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5.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6.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drawings/drawing7.xml" ContentType="application/vnd.openxmlformats-officedocument.drawing+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drawings/drawing8.xml" ContentType="application/vnd.openxmlformats-officedocument.drawing+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drawings/drawing9.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drawings/drawing10.xml" ContentType="application/vnd.openxmlformats-officedocument.drawing+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drawings/drawing11.xml" ContentType="application/vnd.openxmlformats-officedocument.drawing+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DieseArbeitsmappe" defaultThemeVersion="124226"/>
  <mc:AlternateContent xmlns:mc="http://schemas.openxmlformats.org/markup-compatibility/2006">
    <mc:Choice Requires="x15">
      <x15ac:absPath xmlns:x15ac="http://schemas.microsoft.com/office/spreadsheetml/2010/11/ac" url="W:\Strassenbau\01_Projekte\Land\L2054_GRW_westl_Babenried_Jesenwang\50_FBT\03_Planung\"/>
    </mc:Choice>
  </mc:AlternateContent>
  <xr:revisionPtr revIDLastSave="0" documentId="13_ncr:1_{ECFC280C-37AB-4BCE-B89E-55124D4702F6}" xr6:coauthVersionLast="47" xr6:coauthVersionMax="47" xr10:uidLastSave="{00000000-0000-0000-0000-000000000000}"/>
  <bookViews>
    <workbookView xWindow="-92" yWindow="0" windowWidth="19999" windowHeight="15978" tabRatio="682" firstSheet="2" activeTab="10" xr2:uid="{00000000-000D-0000-FFFF-FFFF00000000}"/>
  </bookViews>
  <sheets>
    <sheet name="Projektgrundlagen" sheetId="15" r:id="rId1"/>
    <sheet name="A anrechb Kosten" sheetId="11" r:id="rId2"/>
    <sheet name="B HZone" sheetId="6" r:id="rId3"/>
    <sheet name="StB-C1 Grundlstg" sheetId="8" r:id="rId4"/>
    <sheet name="HB-C1 Grundlstg Land" sheetId="18" state="hidden" r:id="rId5"/>
    <sheet name="HB-C2 Grundlstg Bund" sheetId="22" state="hidden" r:id="rId6"/>
    <sheet name="StB-D1 Besondere Lstg" sheetId="9" r:id="rId7"/>
    <sheet name="HB-D1 Besondere Lstg Land" sheetId="21" state="hidden" r:id="rId8"/>
    <sheet name="HB-D2 Besondere Lstg Bund" sheetId="23" state="hidden" r:id="rId9"/>
    <sheet name="E Honorarberechnung" sheetId="25" r:id="rId10"/>
    <sheet name="F Honorarübersicht" sheetId="27" r:id="rId11"/>
    <sheet name="G Honorarabrechnung" sheetId="28" r:id="rId12"/>
    <sheet name="H §48 HOAI" sheetId="4" r:id="rId13"/>
    <sheet name="Z Preisspiegel" sheetId="29" state="veryHidden" r:id="rId14"/>
  </sheets>
  <definedNames>
    <definedName name="an_summe_angebot" localSheetId="9">'E Honorarberechnung'!$J$153</definedName>
    <definedName name="_xlnm.Print_Area" localSheetId="1">'A anrechb Kosten'!$A$1:$H$78</definedName>
    <definedName name="_xlnm.Print_Area" localSheetId="2">'B HZone'!$A$1:$J$40</definedName>
    <definedName name="_xlnm.Print_Area" localSheetId="9">'E Honorarberechnung'!$A$1:$K$155</definedName>
    <definedName name="_xlnm.Print_Area" localSheetId="10">'F Honorarübersicht'!$A$1:$P$31</definedName>
    <definedName name="_xlnm.Print_Area" localSheetId="11">'G Honorarabrechnung'!$A$1:$J$50</definedName>
    <definedName name="_xlnm.Print_Area" localSheetId="12">'H §48 HOAI'!$A$1:$I$75</definedName>
    <definedName name="_xlnm.Print_Area" localSheetId="4">'HB-C1 Grundlstg Land'!$A$1:$K$198</definedName>
    <definedName name="_xlnm.Print_Area" localSheetId="5">'HB-C2 Grundlstg Bund'!$A$1:$K$204</definedName>
    <definedName name="_xlnm.Print_Area" localSheetId="7">'HB-D1 Besondere Lstg Land'!$A$1:$O$130</definedName>
    <definedName name="_xlnm.Print_Area" localSheetId="8">'HB-D2 Besondere Lstg Bund'!$A$1:$Y$113</definedName>
    <definedName name="_xlnm.Print_Area" localSheetId="0">Projektgrundlagen!$A$1:$H$92</definedName>
    <definedName name="_xlnm.Print_Area" localSheetId="3">'StB-C1 Grundlstg'!$A$1:$K$399</definedName>
    <definedName name="_xlnm.Print_Area" localSheetId="6">'StB-D1 Besondere Lstg'!$A$1:$L$222</definedName>
    <definedName name="_xlnm.Print_Titles" localSheetId="1">'A anrechb Kosten'!$1:$14</definedName>
    <definedName name="_xlnm.Print_Titles" localSheetId="9">'E Honorarberechnung'!$1:$12</definedName>
    <definedName name="_xlnm.Print_Titles" localSheetId="10">'F Honorarübersicht'!$1:$9</definedName>
    <definedName name="_xlnm.Print_Titles" localSheetId="11">'G Honorarabrechnung'!$1:$9</definedName>
    <definedName name="_xlnm.Print_Titles" localSheetId="4">'HB-C1 Grundlstg Land'!$1:$12</definedName>
    <definedName name="_xlnm.Print_Titles" localSheetId="5">'HB-C2 Grundlstg Bund'!$1:$12</definedName>
    <definedName name="_xlnm.Print_Titles" localSheetId="7">'HB-D1 Besondere Lstg Land'!$1:$12</definedName>
    <definedName name="_xlnm.Print_Titles" localSheetId="8">'HB-D2 Besondere Lstg Bund'!$1:$12</definedName>
    <definedName name="_xlnm.Print_Titles" localSheetId="3">'StB-C1 Grundlstg'!$1:$12</definedName>
    <definedName name="_xlnm.Print_Titles" localSheetId="6">'StB-D1 Besondere Lstg'!$1:$12</definedName>
    <definedName name="Link_A_anrKosten">'A anrechb Kosten'!$E$5</definedName>
    <definedName name="Link_B_HonorarZ">'B HZone'!$D$5</definedName>
    <definedName name="Link_E_Honorar">'E Honorarberechnung'!$F$5:$H$5</definedName>
    <definedName name="Link_F_Uebersicht">'F Honorarübersicht'!$D$5:$I$5</definedName>
    <definedName name="Link_G_Abrechnung">'G Honorarabrechnung'!$D$6:$I$6</definedName>
    <definedName name="Link_H_HOAI">'H §48 HOAI'!$B$2</definedName>
    <definedName name="Link_HBC1_Grundlstg">'HB-C1 Grundlstg Land'!$F$5</definedName>
    <definedName name="Link_HBC2_Grundlstg">'HB-C2 Grundlstg Bund'!$F$5</definedName>
    <definedName name="Link_HBD1_BesLstg">'HB-D1 Besondere Lstg Land'!$F$5</definedName>
    <definedName name="Link_HBD2_BesLstg">'HB-D2 Besondere Lstg Bund'!$F$5</definedName>
    <definedName name="Link_StBC1_Grundlstg">'StB-C1 Grundlstg'!$F$5</definedName>
    <definedName name="Link_StBD1_BesLstg">'StB-D1 Besondere Lstg'!$F$5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1" l="1"/>
  <c r="D12" i="27" l="1"/>
  <c r="K65" i="23" l="1"/>
  <c r="K61" i="23"/>
  <c r="K77" i="21"/>
  <c r="K109" i="21"/>
  <c r="K107" i="21"/>
  <c r="K105" i="21"/>
  <c r="K83" i="21"/>
  <c r="K125" i="21"/>
  <c r="K123" i="21"/>
  <c r="K121" i="21"/>
  <c r="K118" i="21"/>
  <c r="K116" i="21"/>
  <c r="K72" i="21"/>
  <c r="K70" i="21"/>
  <c r="K68" i="21"/>
  <c r="K63" i="21"/>
  <c r="K61" i="21"/>
  <c r="K59" i="21"/>
  <c r="K54" i="21"/>
  <c r="K52" i="21"/>
  <c r="K50" i="21"/>
  <c r="K45" i="21"/>
  <c r="K43" i="21"/>
  <c r="K41" i="21"/>
  <c r="K36" i="21"/>
  <c r="K34" i="21"/>
  <c r="K32" i="21"/>
  <c r="K27" i="21"/>
  <c r="K25" i="21"/>
  <c r="K18" i="21"/>
  <c r="K16" i="21"/>
  <c r="K14" i="21"/>
  <c r="I17" i="28" l="1"/>
  <c r="G17" i="28"/>
  <c r="P83" i="21" l="1"/>
  <c r="O83" i="21"/>
  <c r="B53" i="29" l="1"/>
  <c r="B52" i="29"/>
  <c r="B51" i="29"/>
  <c r="B50" i="29"/>
  <c r="B49" i="29"/>
  <c r="B48" i="29"/>
  <c r="B47" i="29"/>
  <c r="C51" i="29"/>
  <c r="C49" i="29"/>
  <c r="C47" i="29"/>
  <c r="C44" i="29"/>
  <c r="C41" i="29"/>
  <c r="C19" i="29"/>
  <c r="C18" i="29"/>
  <c r="C17" i="29"/>
  <c r="C14" i="29"/>
  <c r="C13" i="29"/>
  <c r="F3" i="29"/>
  <c r="E3" i="29"/>
  <c r="D3" i="29"/>
  <c r="C3" i="29"/>
  <c r="B3" i="29"/>
  <c r="A6" i="15" l="1"/>
  <c r="A5" i="15"/>
  <c r="J169" i="22" l="1"/>
  <c r="J21" i="22"/>
  <c r="J163" i="18"/>
  <c r="J21" i="18" l="1"/>
  <c r="K85" i="21" l="1"/>
  <c r="K63" i="23"/>
  <c r="K69" i="23"/>
  <c r="G23" i="11" l="1"/>
  <c r="P125" i="21" l="1"/>
  <c r="O125" i="21"/>
  <c r="P123" i="21"/>
  <c r="O123" i="21"/>
  <c r="P121" i="21"/>
  <c r="O121" i="21"/>
  <c r="P118" i="21"/>
  <c r="O118" i="21"/>
  <c r="P116" i="21"/>
  <c r="O116" i="21"/>
  <c r="P114" i="21"/>
  <c r="O114" i="21"/>
  <c r="K114" i="21" s="1"/>
  <c r="P109" i="21"/>
  <c r="O109" i="21"/>
  <c r="P107" i="21"/>
  <c r="O107" i="21"/>
  <c r="P105" i="21"/>
  <c r="O105" i="21"/>
  <c r="P85" i="21"/>
  <c r="O85" i="21"/>
  <c r="P79" i="21"/>
  <c r="O79" i="21"/>
  <c r="K79" i="21" s="1"/>
  <c r="P81" i="21"/>
  <c r="O81" i="21"/>
  <c r="K81" i="21" s="1"/>
  <c r="P14" i="21"/>
  <c r="O14" i="21"/>
  <c r="P16" i="21"/>
  <c r="O16" i="21"/>
  <c r="P18" i="21"/>
  <c r="O18" i="21"/>
  <c r="P23" i="21"/>
  <c r="O23" i="21"/>
  <c r="K23" i="21" s="1"/>
  <c r="P25" i="21"/>
  <c r="O25" i="21"/>
  <c r="P27" i="21"/>
  <c r="O27" i="21"/>
  <c r="P32" i="21"/>
  <c r="O32" i="21"/>
  <c r="P34" i="21"/>
  <c r="O34" i="21"/>
  <c r="P36" i="21"/>
  <c r="O36" i="21"/>
  <c r="P41" i="21"/>
  <c r="O41" i="21"/>
  <c r="P43" i="21"/>
  <c r="O43" i="21"/>
  <c r="P45" i="21"/>
  <c r="O45" i="21"/>
  <c r="P50" i="21"/>
  <c r="O50" i="21"/>
  <c r="P52" i="21"/>
  <c r="O52" i="21"/>
  <c r="P54" i="21"/>
  <c r="O54" i="21"/>
  <c r="P59" i="21"/>
  <c r="O59" i="21"/>
  <c r="P61" i="21"/>
  <c r="O61" i="21"/>
  <c r="P63" i="21"/>
  <c r="O63" i="21"/>
  <c r="P68" i="21"/>
  <c r="O68" i="21"/>
  <c r="P70" i="21"/>
  <c r="O70" i="21"/>
  <c r="P72" i="21"/>
  <c r="O72" i="21"/>
  <c r="O77" i="21"/>
  <c r="P77" i="21"/>
  <c r="P108" i="23" l="1"/>
  <c r="O108" i="23"/>
  <c r="P106" i="23"/>
  <c r="O106" i="23"/>
  <c r="P104" i="23"/>
  <c r="O104" i="23"/>
  <c r="P102" i="23"/>
  <c r="O102" i="23"/>
  <c r="P100" i="23"/>
  <c r="O100" i="23"/>
  <c r="P98" i="23"/>
  <c r="O98" i="23"/>
  <c r="K98" i="23" s="1"/>
  <c r="P93" i="23"/>
  <c r="O93" i="23"/>
  <c r="P91" i="23"/>
  <c r="O91" i="23"/>
  <c r="P89" i="23"/>
  <c r="O89" i="23"/>
  <c r="O67" i="23"/>
  <c r="O65" i="23"/>
  <c r="O61" i="23"/>
  <c r="P63" i="23"/>
  <c r="O63" i="23"/>
  <c r="P61" i="23"/>
  <c r="P67" i="23"/>
  <c r="P65" i="23"/>
  <c r="P69" i="23"/>
  <c r="O69" i="23"/>
  <c r="K108" i="23"/>
  <c r="K106" i="23"/>
  <c r="K104" i="23"/>
  <c r="K102" i="23"/>
  <c r="K100" i="23"/>
  <c r="K56" i="23" l="1"/>
  <c r="K54" i="23"/>
  <c r="K52" i="23"/>
  <c r="K50" i="23"/>
  <c r="K48" i="23"/>
  <c r="K46" i="23"/>
  <c r="K41" i="23"/>
  <c r="K39" i="23"/>
  <c r="K37" i="23"/>
  <c r="K35" i="23"/>
  <c r="K33" i="23"/>
  <c r="K31" i="23"/>
  <c r="K14" i="23"/>
  <c r="K16" i="23"/>
  <c r="K26" i="23"/>
  <c r="K24" i="23"/>
  <c r="K22" i="23"/>
  <c r="K93" i="23"/>
  <c r="K91" i="23"/>
  <c r="P56" i="23"/>
  <c r="O56" i="23"/>
  <c r="P54" i="23"/>
  <c r="O54" i="23"/>
  <c r="P52" i="23"/>
  <c r="O52" i="23"/>
  <c r="P50" i="23"/>
  <c r="O50" i="23"/>
  <c r="P48" i="23"/>
  <c r="O48" i="23"/>
  <c r="P46" i="23"/>
  <c r="O46" i="23"/>
  <c r="P41" i="23"/>
  <c r="O41" i="23"/>
  <c r="P39" i="23"/>
  <c r="O39" i="23"/>
  <c r="P37" i="23"/>
  <c r="O37" i="23"/>
  <c r="P35" i="23"/>
  <c r="O35" i="23"/>
  <c r="P33" i="23"/>
  <c r="O33" i="23"/>
  <c r="P31" i="23"/>
  <c r="O31" i="23"/>
  <c r="P26" i="23"/>
  <c r="O26" i="23"/>
  <c r="P24" i="23"/>
  <c r="O24" i="23"/>
  <c r="P22" i="23"/>
  <c r="O22" i="23"/>
  <c r="P18" i="23"/>
  <c r="O18" i="23"/>
  <c r="K18" i="23" s="1"/>
  <c r="P16" i="23"/>
  <c r="O16" i="23"/>
  <c r="P14" i="23"/>
  <c r="O14" i="23"/>
  <c r="O20" i="23"/>
  <c r="K20" i="23" s="1"/>
  <c r="P20" i="23"/>
  <c r="H3" i="23"/>
  <c r="H2" i="23"/>
  <c r="H3" i="21"/>
  <c r="H2" i="21"/>
  <c r="B2" i="27" l="1"/>
  <c r="J2" i="27"/>
  <c r="J3" i="27"/>
  <c r="K3" i="27"/>
  <c r="B5" i="27"/>
  <c r="D5" i="27"/>
  <c r="J5" i="27"/>
  <c r="K5" i="27"/>
  <c r="B6" i="27"/>
  <c r="D6" i="27"/>
  <c r="D7" i="27"/>
  <c r="D8" i="27"/>
  <c r="N12" i="27"/>
  <c r="D13" i="27"/>
  <c r="B15" i="27"/>
  <c r="C18" i="27"/>
  <c r="C19" i="27"/>
  <c r="C20" i="27"/>
  <c r="C21" i="27"/>
  <c r="C23" i="27"/>
  <c r="C24" i="27"/>
  <c r="C25" i="27"/>
  <c r="C27" i="27"/>
  <c r="C28" i="27"/>
  <c r="A13" i="15"/>
  <c r="A14" i="15"/>
  <c r="A16" i="15"/>
  <c r="A17" i="15"/>
  <c r="B15" i="28" l="1"/>
  <c r="B14" i="28"/>
  <c r="C29" i="28"/>
  <c r="C24" i="28"/>
  <c r="C25" i="28"/>
  <c r="C26" i="28"/>
  <c r="C28" i="28"/>
  <c r="C21" i="28"/>
  <c r="C22" i="28"/>
  <c r="C20" i="28"/>
  <c r="C19" i="28"/>
  <c r="D8" i="28"/>
  <c r="D7" i="28"/>
  <c r="D6" i="28"/>
  <c r="B6" i="28"/>
  <c r="H5" i="28"/>
  <c r="G5" i="28"/>
  <c r="D5" i="28"/>
  <c r="B5" i="28"/>
  <c r="H3" i="28"/>
  <c r="G3" i="28"/>
  <c r="G2" i="28"/>
  <c r="B2" i="28"/>
  <c r="F42" i="28"/>
  <c r="I40" i="28"/>
  <c r="I39" i="28"/>
  <c r="I38" i="28"/>
  <c r="I37" i="28"/>
  <c r="I36" i="28"/>
  <c r="I35" i="28"/>
  <c r="I29" i="28"/>
  <c r="I28" i="28"/>
  <c r="I27" i="28"/>
  <c r="G27" i="28"/>
  <c r="I26" i="28"/>
  <c r="I25" i="28"/>
  <c r="I24" i="28"/>
  <c r="I23" i="28"/>
  <c r="G23" i="28"/>
  <c r="I22" i="28"/>
  <c r="I21" i="28"/>
  <c r="M3" i="28"/>
  <c r="F32" i="15" s="1"/>
  <c r="S3" i="27"/>
  <c r="F31" i="15" s="1"/>
  <c r="D25" i="25" l="1"/>
  <c r="D35" i="25"/>
  <c r="B5" i="25"/>
  <c r="J3" i="25"/>
  <c r="I3" i="25"/>
  <c r="I2" i="25"/>
  <c r="B2" i="25"/>
  <c r="D104" i="25" s="1"/>
  <c r="M15" i="27" s="1"/>
  <c r="F8" i="25"/>
  <c r="F7" i="25"/>
  <c r="F6" i="25"/>
  <c r="B6" i="25"/>
  <c r="J5" i="25"/>
  <c r="I5" i="25"/>
  <c r="F5" i="25"/>
  <c r="T122" i="25"/>
  <c r="O94" i="25" s="1"/>
  <c r="T119" i="25"/>
  <c r="O90" i="25" s="1"/>
  <c r="I151" i="25"/>
  <c r="C153" i="25" s="1"/>
  <c r="D145" i="25"/>
  <c r="D143" i="25"/>
  <c r="D142" i="25"/>
  <c r="D141" i="25"/>
  <c r="D135" i="25"/>
  <c r="D133" i="25"/>
  <c r="D131" i="25"/>
  <c r="D129" i="25"/>
  <c r="D127" i="25"/>
  <c r="D125" i="25"/>
  <c r="D123" i="25"/>
  <c r="D121" i="25"/>
  <c r="D119" i="25"/>
  <c r="C119" i="25"/>
  <c r="I107" i="25"/>
  <c r="A85" i="25"/>
  <c r="O84" i="25"/>
  <c r="A84" i="25"/>
  <c r="O83" i="25"/>
  <c r="A83" i="25"/>
  <c r="N82" i="25"/>
  <c r="M82" i="25"/>
  <c r="A82" i="25"/>
  <c r="D74" i="25"/>
  <c r="I73" i="25"/>
  <c r="D73" i="25"/>
  <c r="A72" i="25"/>
  <c r="O61" i="25"/>
  <c r="N59" i="25"/>
  <c r="M59" i="25"/>
  <c r="L47" i="25"/>
  <c r="O47" i="25" s="1"/>
  <c r="L46" i="25"/>
  <c r="A36" i="25"/>
  <c r="A30" i="25"/>
  <c r="D29" i="25"/>
  <c r="A19" i="25"/>
  <c r="N18" i="25"/>
  <c r="M18" i="25"/>
  <c r="A18" i="25"/>
  <c r="P3" i="25"/>
  <c r="F30" i="15" s="1"/>
  <c r="M45" i="25" l="1"/>
  <c r="O46" i="25"/>
  <c r="C107" i="25"/>
  <c r="O15" i="27" s="1"/>
  <c r="E17" i="28" s="1"/>
  <c r="N45" i="25" l="1"/>
  <c r="O45" i="25" s="1"/>
  <c r="J134" i="18"/>
  <c r="J138" i="22"/>
  <c r="U10" i="27" l="1"/>
  <c r="F8" i="23"/>
  <c r="B8" i="23"/>
  <c r="F7" i="23"/>
  <c r="B7" i="23"/>
  <c r="F6" i="23"/>
  <c r="B6" i="23"/>
  <c r="J5" i="23"/>
  <c r="H5" i="23"/>
  <c r="F5" i="23"/>
  <c r="B5" i="23"/>
  <c r="P3" i="23"/>
  <c r="F29" i="15" s="1"/>
  <c r="J3" i="23"/>
  <c r="B2" i="23"/>
  <c r="I23" i="15"/>
  <c r="J199" i="22"/>
  <c r="J197" i="22"/>
  <c r="J195" i="22"/>
  <c r="J190" i="22"/>
  <c r="J188" i="22"/>
  <c r="J185" i="22"/>
  <c r="J183" i="22"/>
  <c r="J180" i="22"/>
  <c r="J177" i="22"/>
  <c r="J175" i="22"/>
  <c r="J173" i="22"/>
  <c r="J171" i="22"/>
  <c r="J162" i="22"/>
  <c r="J160" i="22"/>
  <c r="J157" i="22"/>
  <c r="J155" i="22"/>
  <c r="J152" i="22"/>
  <c r="J150" i="22"/>
  <c r="J147" i="22"/>
  <c r="J144" i="22"/>
  <c r="J136" i="22"/>
  <c r="J134" i="22"/>
  <c r="J132" i="22"/>
  <c r="J130" i="22"/>
  <c r="J128" i="22"/>
  <c r="J126" i="22"/>
  <c r="J121" i="22"/>
  <c r="J119" i="22"/>
  <c r="J117" i="22"/>
  <c r="J115" i="22"/>
  <c r="J108" i="22"/>
  <c r="J106" i="22"/>
  <c r="J104" i="22"/>
  <c r="J102" i="22"/>
  <c r="J100" i="22"/>
  <c r="J98" i="22"/>
  <c r="J89" i="22"/>
  <c r="J87" i="22"/>
  <c r="J85" i="22"/>
  <c r="J83" i="22"/>
  <c r="J81" i="22"/>
  <c r="J79" i="22"/>
  <c r="J77" i="22"/>
  <c r="J75" i="22"/>
  <c r="J73" i="22"/>
  <c r="J71" i="22"/>
  <c r="J69" i="22"/>
  <c r="J67" i="22"/>
  <c r="J65" i="22"/>
  <c r="J63" i="22"/>
  <c r="J61" i="22"/>
  <c r="J54" i="22"/>
  <c r="J52" i="22"/>
  <c r="J50" i="22"/>
  <c r="J48" i="22"/>
  <c r="J46" i="22"/>
  <c r="J44" i="22"/>
  <c r="J42" i="22"/>
  <c r="J38" i="22"/>
  <c r="J36" i="22"/>
  <c r="J34" i="22"/>
  <c r="J32" i="22"/>
  <c r="J30" i="22"/>
  <c r="J25" i="22"/>
  <c r="J23" i="22"/>
  <c r="J19" i="22"/>
  <c r="J17" i="22"/>
  <c r="A14" i="22"/>
  <c r="M13" i="22"/>
  <c r="L93" i="22" s="1"/>
  <c r="J93" i="22" s="1"/>
  <c r="A13" i="22"/>
  <c r="F8" i="22"/>
  <c r="B8" i="22"/>
  <c r="F7" i="22"/>
  <c r="B7" i="22"/>
  <c r="F6" i="22"/>
  <c r="B6" i="22"/>
  <c r="I5" i="22"/>
  <c r="G5" i="22"/>
  <c r="F5" i="22"/>
  <c r="B5" i="22"/>
  <c r="O3" i="22"/>
  <c r="F26" i="15" s="1"/>
  <c r="I3" i="22"/>
  <c r="G3" i="22"/>
  <c r="G2" i="22"/>
  <c r="B2" i="22"/>
  <c r="H16" i="27" l="1"/>
  <c r="N3" i="23"/>
  <c r="H90" i="25"/>
  <c r="D90" i="25"/>
  <c r="H94" i="25"/>
  <c r="D94" i="25"/>
  <c r="L56" i="22"/>
  <c r="J56" i="22" s="1"/>
  <c r="J179" i="18"/>
  <c r="J174" i="18"/>
  <c r="J171" i="18"/>
  <c r="J153" i="18"/>
  <c r="J148" i="18"/>
  <c r="J143" i="18"/>
  <c r="K58" i="23" l="1"/>
  <c r="S122" i="25" s="1"/>
  <c r="J26" i="27" s="1"/>
  <c r="K28" i="23"/>
  <c r="K43" i="23"/>
  <c r="S120" i="25" s="1"/>
  <c r="K110" i="23"/>
  <c r="F11" i="23"/>
  <c r="S119" i="25" l="1"/>
  <c r="J22" i="27" s="1"/>
  <c r="F8" i="21" l="1"/>
  <c r="B8" i="21"/>
  <c r="F7" i="21"/>
  <c r="B7" i="21"/>
  <c r="F6" i="21"/>
  <c r="B6" i="21"/>
  <c r="J5" i="21"/>
  <c r="H5" i="21"/>
  <c r="F5" i="21"/>
  <c r="B5" i="21"/>
  <c r="P3" i="21"/>
  <c r="F28" i="15" s="1"/>
  <c r="J3" i="21"/>
  <c r="B2" i="21"/>
  <c r="J193" i="18"/>
  <c r="J191" i="18"/>
  <c r="J189" i="18"/>
  <c r="J184" i="18"/>
  <c r="J182" i="18"/>
  <c r="J177" i="18"/>
  <c r="J169" i="18"/>
  <c r="J167" i="18"/>
  <c r="J165" i="18"/>
  <c r="J158" i="18"/>
  <c r="J156" i="18"/>
  <c r="J151" i="18"/>
  <c r="J146" i="18"/>
  <c r="J140" i="18"/>
  <c r="J132" i="18"/>
  <c r="J130" i="18"/>
  <c r="J128" i="18"/>
  <c r="J126" i="18"/>
  <c r="J124" i="18"/>
  <c r="J122" i="18"/>
  <c r="J117" i="18"/>
  <c r="J115" i="18"/>
  <c r="J113" i="18"/>
  <c r="J111" i="18"/>
  <c r="J106" i="18"/>
  <c r="J104" i="18"/>
  <c r="J102" i="18"/>
  <c r="J100" i="18"/>
  <c r="J98" i="18"/>
  <c r="J96" i="18"/>
  <c r="J89" i="18"/>
  <c r="J87" i="18"/>
  <c r="J85" i="18"/>
  <c r="J83" i="18"/>
  <c r="J81" i="18"/>
  <c r="J79" i="18"/>
  <c r="J77" i="18"/>
  <c r="J75" i="18"/>
  <c r="J73" i="18"/>
  <c r="J71" i="18"/>
  <c r="J69" i="18"/>
  <c r="J67" i="18"/>
  <c r="J65" i="18"/>
  <c r="J63" i="18"/>
  <c r="J61" i="18"/>
  <c r="J54" i="18"/>
  <c r="J52" i="18"/>
  <c r="J50" i="18"/>
  <c r="J48" i="18"/>
  <c r="J46" i="18"/>
  <c r="J44" i="18"/>
  <c r="J42" i="18"/>
  <c r="J38" i="18"/>
  <c r="J36" i="18"/>
  <c r="J34" i="18"/>
  <c r="J32" i="18"/>
  <c r="J30" i="18"/>
  <c r="J25" i="18"/>
  <c r="J23" i="18"/>
  <c r="J19" i="18"/>
  <c r="J17" i="18"/>
  <c r="A14" i="18"/>
  <c r="M13" i="18"/>
  <c r="A13" i="18"/>
  <c r="F8" i="18"/>
  <c r="B8" i="18"/>
  <c r="F7" i="18"/>
  <c r="B7" i="18"/>
  <c r="F6" i="18"/>
  <c r="B6" i="18"/>
  <c r="I5" i="18"/>
  <c r="G5" i="18"/>
  <c r="F5" i="18"/>
  <c r="B5" i="18"/>
  <c r="O3" i="18"/>
  <c r="F25" i="15" s="1"/>
  <c r="I3" i="18"/>
  <c r="G3" i="18"/>
  <c r="G2" i="18"/>
  <c r="B2" i="18"/>
  <c r="L56" i="18" l="1"/>
  <c r="L91" i="18"/>
  <c r="J56" i="18"/>
  <c r="A154" i="9"/>
  <c r="A156" i="9"/>
  <c r="A11" i="11"/>
  <c r="A134" i="9"/>
  <c r="A132" i="9"/>
  <c r="P3" i="9"/>
  <c r="F27" i="15" s="1"/>
  <c r="F8" i="9"/>
  <c r="B8" i="9"/>
  <c r="F7" i="9"/>
  <c r="B7" i="9"/>
  <c r="F6" i="9"/>
  <c r="B6" i="9"/>
  <c r="J5" i="9"/>
  <c r="H5" i="9"/>
  <c r="F5" i="9"/>
  <c r="B5" i="9"/>
  <c r="J3" i="9"/>
  <c r="H3" i="9"/>
  <c r="H2" i="9"/>
  <c r="B2" i="9"/>
  <c r="O3" i="8"/>
  <c r="F24" i="15" s="1"/>
  <c r="J91" i="18" l="1"/>
  <c r="G21" i="11"/>
  <c r="G37" i="11" s="1"/>
  <c r="A14" i="8"/>
  <c r="A13" i="8"/>
  <c r="M13" i="8"/>
  <c r="L113" i="8" s="1"/>
  <c r="L207" i="8" l="1"/>
  <c r="J113" i="8"/>
  <c r="F8" i="8"/>
  <c r="B8" i="8"/>
  <c r="F7" i="8"/>
  <c r="B7" i="8"/>
  <c r="F6" i="8"/>
  <c r="B6" i="8"/>
  <c r="I5" i="8"/>
  <c r="G5" i="8"/>
  <c r="F5" i="8"/>
  <c r="B5" i="8"/>
  <c r="I3" i="8"/>
  <c r="G3" i="8"/>
  <c r="G2" i="8"/>
  <c r="B2" i="8"/>
  <c r="A15" i="6"/>
  <c r="A12" i="6"/>
  <c r="D8" i="6"/>
  <c r="D7" i="6"/>
  <c r="D6" i="6"/>
  <c r="B6" i="6"/>
  <c r="H5" i="6"/>
  <c r="G5" i="6"/>
  <c r="D5" i="6"/>
  <c r="B5" i="6"/>
  <c r="H3" i="6"/>
  <c r="G3" i="6"/>
  <c r="G2" i="6"/>
  <c r="B2" i="6"/>
  <c r="A13" i="11"/>
  <c r="A12" i="11"/>
  <c r="E8" i="11"/>
  <c r="E7" i="11"/>
  <c r="E6" i="11"/>
  <c r="B6" i="11"/>
  <c r="G5" i="11"/>
  <c r="F5" i="11"/>
  <c r="E5" i="11"/>
  <c r="B5" i="11"/>
  <c r="G3" i="11"/>
  <c r="F3" i="11"/>
  <c r="F2" i="11"/>
  <c r="B2" i="11"/>
  <c r="D6" i="11"/>
  <c r="C6" i="11"/>
  <c r="D5" i="11"/>
  <c r="C5" i="11"/>
  <c r="M6" i="4"/>
  <c r="F33" i="15" s="1"/>
  <c r="N3" i="6"/>
  <c r="F23" i="15" s="1"/>
  <c r="L3" i="11"/>
  <c r="F22" i="15" s="1"/>
  <c r="J207" i="8" l="1"/>
  <c r="M3" i="22"/>
  <c r="I22" i="15"/>
  <c r="I21" i="15"/>
  <c r="L3" i="15"/>
  <c r="C299" i="29" l="1"/>
  <c r="D298" i="29"/>
  <c r="E297" i="29"/>
  <c r="F296" i="29"/>
  <c r="B296" i="29"/>
  <c r="C295" i="29"/>
  <c r="D294" i="29"/>
  <c r="E293" i="29"/>
  <c r="F292" i="29"/>
  <c r="B292" i="29"/>
  <c r="C291" i="29"/>
  <c r="D290" i="29"/>
  <c r="E289" i="29"/>
  <c r="F288" i="29"/>
  <c r="B288" i="29"/>
  <c r="C287" i="29"/>
  <c r="D286" i="29"/>
  <c r="E285" i="29"/>
  <c r="F284" i="29"/>
  <c r="B284" i="29"/>
  <c r="C283" i="29"/>
  <c r="D282" i="29"/>
  <c r="E281" i="29"/>
  <c r="F280" i="29"/>
  <c r="B280" i="29"/>
  <c r="C279" i="29"/>
  <c r="D278" i="29"/>
  <c r="E277" i="29"/>
  <c r="F276" i="29"/>
  <c r="B276" i="29"/>
  <c r="C275" i="29"/>
  <c r="D274" i="29"/>
  <c r="E273" i="29"/>
  <c r="F272" i="29"/>
  <c r="B272" i="29"/>
  <c r="C271" i="29"/>
  <c r="D270" i="29"/>
  <c r="E269" i="29"/>
  <c r="F268" i="29"/>
  <c r="B268" i="29"/>
  <c r="C267" i="29"/>
  <c r="D266" i="29"/>
  <c r="E265" i="29"/>
  <c r="F264" i="29"/>
  <c r="B264" i="29"/>
  <c r="C263" i="29"/>
  <c r="D262" i="29"/>
  <c r="E261" i="29"/>
  <c r="F260" i="29"/>
  <c r="B260" i="29"/>
  <c r="C259" i="29"/>
  <c r="D258" i="29"/>
  <c r="E257" i="29"/>
  <c r="F256" i="29"/>
  <c r="B256" i="29"/>
  <c r="C255" i="29"/>
  <c r="D254" i="29"/>
  <c r="E253" i="29"/>
  <c r="F252" i="29"/>
  <c r="B252" i="29"/>
  <c r="C251" i="29"/>
  <c r="D250" i="29"/>
  <c r="E249" i="29"/>
  <c r="F248" i="29"/>
  <c r="B248" i="29"/>
  <c r="C247" i="29"/>
  <c r="D246" i="29"/>
  <c r="E245" i="29"/>
  <c r="F244" i="29"/>
  <c r="B244" i="29"/>
  <c r="C243" i="29"/>
  <c r="F299" i="29"/>
  <c r="B299" i="29"/>
  <c r="C298" i="29"/>
  <c r="D297" i="29"/>
  <c r="E296" i="29"/>
  <c r="F295" i="29"/>
  <c r="B295" i="29"/>
  <c r="C294" i="29"/>
  <c r="D293" i="29"/>
  <c r="E292" i="29"/>
  <c r="F291" i="29"/>
  <c r="B291" i="29"/>
  <c r="C290" i="29"/>
  <c r="D289" i="29"/>
  <c r="E288" i="29"/>
  <c r="F287" i="29"/>
  <c r="B287" i="29"/>
  <c r="C286" i="29"/>
  <c r="D285" i="29"/>
  <c r="E284" i="29"/>
  <c r="F283" i="29"/>
  <c r="B283" i="29"/>
  <c r="C282" i="29"/>
  <c r="D281" i="29"/>
  <c r="E280" i="29"/>
  <c r="F279" i="29"/>
  <c r="B279" i="29"/>
  <c r="C278" i="29"/>
  <c r="D277" i="29"/>
  <c r="E276" i="29"/>
  <c r="F275" i="29"/>
  <c r="B275" i="29"/>
  <c r="C274" i="29"/>
  <c r="D273" i="29"/>
  <c r="E272" i="29"/>
  <c r="F271" i="29"/>
  <c r="B271" i="29"/>
  <c r="C270" i="29"/>
  <c r="D269" i="29"/>
  <c r="E268" i="29"/>
  <c r="F267" i="29"/>
  <c r="B267" i="29"/>
  <c r="C266" i="29"/>
  <c r="D265" i="29"/>
  <c r="E264" i="29"/>
  <c r="F263" i="29"/>
  <c r="B263" i="29"/>
  <c r="C262" i="29"/>
  <c r="D261" i="29"/>
  <c r="E260" i="29"/>
  <c r="F259" i="29"/>
  <c r="B259" i="29"/>
  <c r="C258" i="29"/>
  <c r="D257" i="29"/>
  <c r="E256" i="29"/>
  <c r="F255" i="29"/>
  <c r="B255" i="29"/>
  <c r="C254" i="29"/>
  <c r="D253" i="29"/>
  <c r="E252" i="29"/>
  <c r="F251" i="29"/>
  <c r="B251" i="29"/>
  <c r="C250" i="29"/>
  <c r="D249" i="29"/>
  <c r="E248" i="29"/>
  <c r="F247" i="29"/>
  <c r="B247" i="29"/>
  <c r="C246" i="29"/>
  <c r="D245" i="29"/>
  <c r="E244" i="29"/>
  <c r="F243" i="29"/>
  <c r="B243" i="29"/>
  <c r="C242" i="29"/>
  <c r="D241" i="29"/>
  <c r="E240" i="29"/>
  <c r="F239" i="29"/>
  <c r="B239" i="29"/>
  <c r="C238" i="29"/>
  <c r="D237" i="29"/>
  <c r="E236" i="29"/>
  <c r="F235" i="29"/>
  <c r="B235" i="29"/>
  <c r="C234" i="29"/>
  <c r="E298" i="29"/>
  <c r="B297" i="29"/>
  <c r="D295" i="29"/>
  <c r="F293" i="29"/>
  <c r="C292" i="29"/>
  <c r="E290" i="29"/>
  <c r="B289" i="29"/>
  <c r="D287" i="29"/>
  <c r="F285" i="29"/>
  <c r="C284" i="29"/>
  <c r="E282" i="29"/>
  <c r="B281" i="29"/>
  <c r="D279" i="29"/>
  <c r="F277" i="29"/>
  <c r="C276" i="29"/>
  <c r="E274" i="29"/>
  <c r="B273" i="29"/>
  <c r="D271" i="29"/>
  <c r="F269" i="29"/>
  <c r="C268" i="29"/>
  <c r="E266" i="29"/>
  <c r="B265" i="29"/>
  <c r="D263" i="29"/>
  <c r="F261" i="29"/>
  <c r="C260" i="29"/>
  <c r="E258" i="29"/>
  <c r="B257" i="29"/>
  <c r="D255" i="29"/>
  <c r="F253" i="29"/>
  <c r="C252" i="29"/>
  <c r="E250" i="29"/>
  <c r="B249" i="29"/>
  <c r="D247" i="29"/>
  <c r="F245" i="29"/>
  <c r="C244" i="29"/>
  <c r="E242" i="29"/>
  <c r="E241" i="29"/>
  <c r="D240" i="29"/>
  <c r="D239" i="29"/>
  <c r="D238" i="29"/>
  <c r="C237" i="29"/>
  <c r="C236" i="29"/>
  <c r="C235" i="29"/>
  <c r="B234" i="29"/>
  <c r="C233" i="29"/>
  <c r="D232" i="29"/>
  <c r="E231" i="29"/>
  <c r="F230" i="29"/>
  <c r="B230" i="29"/>
  <c r="C229" i="29"/>
  <c r="D228" i="29"/>
  <c r="E227" i="29"/>
  <c r="F226" i="29"/>
  <c r="B226" i="29"/>
  <c r="C225" i="29"/>
  <c r="D224" i="29"/>
  <c r="E223" i="29"/>
  <c r="F222" i="29"/>
  <c r="B222" i="29"/>
  <c r="C221" i="29"/>
  <c r="D220" i="29"/>
  <c r="E219" i="29"/>
  <c r="F218" i="29"/>
  <c r="B218" i="29"/>
  <c r="C217" i="29"/>
  <c r="D216" i="29"/>
  <c r="E215" i="29"/>
  <c r="F214" i="29"/>
  <c r="B214" i="29"/>
  <c r="C213" i="29"/>
  <c r="D212" i="29"/>
  <c r="E211" i="29"/>
  <c r="F210" i="29"/>
  <c r="B210" i="29"/>
  <c r="C209" i="29"/>
  <c r="D208" i="29"/>
  <c r="E207" i="29"/>
  <c r="F206" i="29"/>
  <c r="B206" i="29"/>
  <c r="C205" i="29"/>
  <c r="D204" i="29"/>
  <c r="E203" i="29"/>
  <c r="F202" i="29"/>
  <c r="B202" i="29"/>
  <c r="E299" i="29"/>
  <c r="F297" i="29"/>
  <c r="E295" i="29"/>
  <c r="C293" i="29"/>
  <c r="D291" i="29"/>
  <c r="C289" i="29"/>
  <c r="F286" i="29"/>
  <c r="B285" i="29"/>
  <c r="F282" i="29"/>
  <c r="D280" i="29"/>
  <c r="E278" i="29"/>
  <c r="D276" i="29"/>
  <c r="B274" i="29"/>
  <c r="C272" i="29"/>
  <c r="B270" i="29"/>
  <c r="E267" i="29"/>
  <c r="F265" i="29"/>
  <c r="E263" i="29"/>
  <c r="C261" i="29"/>
  <c r="D259" i="29"/>
  <c r="C257" i="29"/>
  <c r="F254" i="29"/>
  <c r="B253" i="29"/>
  <c r="F250" i="29"/>
  <c r="D248" i="29"/>
  <c r="E246" i="29"/>
  <c r="D244" i="29"/>
  <c r="D242" i="29"/>
  <c r="B241" i="29"/>
  <c r="E239" i="29"/>
  <c r="B238" i="29"/>
  <c r="F236" i="29"/>
  <c r="D235" i="29"/>
  <c r="F233" i="29"/>
  <c r="F232" i="29"/>
  <c r="F231" i="29"/>
  <c r="E230" i="29"/>
  <c r="E229" i="29"/>
  <c r="E228" i="29"/>
  <c r="D227" i="29"/>
  <c r="D226" i="29"/>
  <c r="D225" i="29"/>
  <c r="C224" i="29"/>
  <c r="C223" i="29"/>
  <c r="C222" i="29"/>
  <c r="B221" i="29"/>
  <c r="B220" i="29"/>
  <c r="B219" i="29"/>
  <c r="F217" i="29"/>
  <c r="F216" i="29"/>
  <c r="F215" i="29"/>
  <c r="E214" i="29"/>
  <c r="E213" i="29"/>
  <c r="E212" i="29"/>
  <c r="D211" i="29"/>
  <c r="D210" i="29"/>
  <c r="D209" i="29"/>
  <c r="C208" i="29"/>
  <c r="C207" i="29"/>
  <c r="C206" i="29"/>
  <c r="B205" i="29"/>
  <c r="B204" i="29"/>
  <c r="B203" i="29"/>
  <c r="B201" i="29"/>
  <c r="C200" i="29"/>
  <c r="D199" i="29"/>
  <c r="E198" i="29"/>
  <c r="F197" i="29"/>
  <c r="B197" i="29"/>
  <c r="C196" i="29"/>
  <c r="D195" i="29"/>
  <c r="E194" i="29"/>
  <c r="F193" i="29"/>
  <c r="B193" i="29"/>
  <c r="C192" i="29"/>
  <c r="D191" i="29"/>
  <c r="E190" i="29"/>
  <c r="F189" i="29"/>
  <c r="B189" i="29"/>
  <c r="C188" i="29"/>
  <c r="D187" i="29"/>
  <c r="E186" i="29"/>
  <c r="F185" i="29"/>
  <c r="B185" i="29"/>
  <c r="C184" i="29"/>
  <c r="D183" i="29"/>
  <c r="E182" i="29"/>
  <c r="F181" i="29"/>
  <c r="B181" i="29"/>
  <c r="C180" i="29"/>
  <c r="D179" i="29"/>
  <c r="E178" i="29"/>
  <c r="F177" i="29"/>
  <c r="B177" i="29"/>
  <c r="C176" i="29"/>
  <c r="D175" i="29"/>
  <c r="E174" i="29"/>
  <c r="F173" i="29"/>
  <c r="B173" i="29"/>
  <c r="C172" i="29"/>
  <c r="D171" i="29"/>
  <c r="E170" i="29"/>
  <c r="F169" i="29"/>
  <c r="B169" i="29"/>
  <c r="C168" i="29"/>
  <c r="D167" i="29"/>
  <c r="E166" i="29"/>
  <c r="F165" i="29"/>
  <c r="B165" i="29"/>
  <c r="C164" i="29"/>
  <c r="D163" i="29"/>
  <c r="E162" i="29"/>
  <c r="F161" i="29"/>
  <c r="B161" i="29"/>
  <c r="C160" i="29"/>
  <c r="D159" i="29"/>
  <c r="E158" i="29"/>
  <c r="F157" i="29"/>
  <c r="B157" i="29"/>
  <c r="C156" i="29"/>
  <c r="D155" i="29"/>
  <c r="E154" i="29"/>
  <c r="F153" i="29"/>
  <c r="B153" i="29"/>
  <c r="C152" i="29"/>
  <c r="D151" i="29"/>
  <c r="E150" i="29"/>
  <c r="F149" i="29"/>
  <c r="B149" i="29"/>
  <c r="C148" i="29"/>
  <c r="D147" i="29"/>
  <c r="E146" i="29"/>
  <c r="F145" i="29"/>
  <c r="B145" i="29"/>
  <c r="C144" i="29"/>
  <c r="D143" i="29"/>
  <c r="E142" i="29"/>
  <c r="F141" i="29"/>
  <c r="B141" i="29"/>
  <c r="C140" i="29"/>
  <c r="D139" i="29"/>
  <c r="E138" i="29"/>
  <c r="F137" i="29"/>
  <c r="B137" i="29"/>
  <c r="C136" i="29"/>
  <c r="D135" i="29"/>
  <c r="E134" i="29"/>
  <c r="F133" i="29"/>
  <c r="B133" i="29"/>
  <c r="C132" i="29"/>
  <c r="D131" i="29"/>
  <c r="E130" i="29"/>
  <c r="F129" i="29"/>
  <c r="B129" i="29"/>
  <c r="C128" i="29"/>
  <c r="D127" i="29"/>
  <c r="E126" i="29"/>
  <c r="F125" i="29"/>
  <c r="B125" i="29"/>
  <c r="C124" i="29"/>
  <c r="D123" i="29"/>
  <c r="E122" i="29"/>
  <c r="F121" i="29"/>
  <c r="B121" i="29"/>
  <c r="C120" i="29"/>
  <c r="D119" i="29"/>
  <c r="E118" i="29"/>
  <c r="F117" i="29"/>
  <c r="F298" i="29"/>
  <c r="C296" i="29"/>
  <c r="B293" i="29"/>
  <c r="B290" i="29"/>
  <c r="E287" i="29"/>
  <c r="D284" i="29"/>
  <c r="F281" i="29"/>
  <c r="F278" i="29"/>
  <c r="E275" i="29"/>
  <c r="C273" i="29"/>
  <c r="E270" i="29"/>
  <c r="D267" i="29"/>
  <c r="D264" i="29"/>
  <c r="B262" i="29"/>
  <c r="F258" i="29"/>
  <c r="C256" i="29"/>
  <c r="C253" i="29"/>
  <c r="B250" i="29"/>
  <c r="E247" i="29"/>
  <c r="B245" i="29"/>
  <c r="B242" i="29"/>
  <c r="C240" i="29"/>
  <c r="E238" i="29"/>
  <c r="D236" i="29"/>
  <c r="E234" i="29"/>
  <c r="B233" i="29"/>
  <c r="D231" i="29"/>
  <c r="C230" i="29"/>
  <c r="F228" i="29"/>
  <c r="C227" i="29"/>
  <c r="F225" i="29"/>
  <c r="E224" i="29"/>
  <c r="B223" i="29"/>
  <c r="E221" i="29"/>
  <c r="C220" i="29"/>
  <c r="E218" i="29"/>
  <c r="D217" i="29"/>
  <c r="B216" i="29"/>
  <c r="D214" i="29"/>
  <c r="B213" i="29"/>
  <c r="F211" i="29"/>
  <c r="C210" i="29"/>
  <c r="F208" i="29"/>
  <c r="D207" i="29"/>
  <c r="F205" i="29"/>
  <c r="E204" i="29"/>
  <c r="C203" i="29"/>
  <c r="E201" i="29"/>
  <c r="E200" i="29"/>
  <c r="E199" i="29"/>
  <c r="D198" i="29"/>
  <c r="D197" i="29"/>
  <c r="D196" i="29"/>
  <c r="C195" i="29"/>
  <c r="C194" i="29"/>
  <c r="C193" i="29"/>
  <c r="B192" i="29"/>
  <c r="B191" i="29"/>
  <c r="B190" i="29"/>
  <c r="F188" i="29"/>
  <c r="F187" i="29"/>
  <c r="F186" i="29"/>
  <c r="E185" i="29"/>
  <c r="E184" i="29"/>
  <c r="E183" i="29"/>
  <c r="D182" i="29"/>
  <c r="D181" i="29"/>
  <c r="D180" i="29"/>
  <c r="C179" i="29"/>
  <c r="C178" i="29"/>
  <c r="C177" i="29"/>
  <c r="B176" i="29"/>
  <c r="B175" i="29"/>
  <c r="B174" i="29"/>
  <c r="F172" i="29"/>
  <c r="F171" i="29"/>
  <c r="F170" i="29"/>
  <c r="E169" i="29"/>
  <c r="E168" i="29"/>
  <c r="E167" i="29"/>
  <c r="D166" i="29"/>
  <c r="D165" i="29"/>
  <c r="D164" i="29"/>
  <c r="C163" i="29"/>
  <c r="C162" i="29"/>
  <c r="C161" i="29"/>
  <c r="B160" i="29"/>
  <c r="B159" i="29"/>
  <c r="B158" i="29"/>
  <c r="F156" i="29"/>
  <c r="F155" i="29"/>
  <c r="F154" i="29"/>
  <c r="E153" i="29"/>
  <c r="E152" i="29"/>
  <c r="E151" i="29"/>
  <c r="D150" i="29"/>
  <c r="D149" i="29"/>
  <c r="D148" i="29"/>
  <c r="C147" i="29"/>
  <c r="C146" i="29"/>
  <c r="C145" i="29"/>
  <c r="B144" i="29"/>
  <c r="B143" i="29"/>
  <c r="B142" i="29"/>
  <c r="F140" i="29"/>
  <c r="F139" i="29"/>
  <c r="F138" i="29"/>
  <c r="E137" i="29"/>
  <c r="E136" i="29"/>
  <c r="E135" i="29"/>
  <c r="D134" i="29"/>
  <c r="D133" i="29"/>
  <c r="D132" i="29"/>
  <c r="C131" i="29"/>
  <c r="C130" i="29"/>
  <c r="C129" i="29"/>
  <c r="B128" i="29"/>
  <c r="B127" i="29"/>
  <c r="B126" i="29"/>
  <c r="F124" i="29"/>
  <c r="F123" i="29"/>
  <c r="F122" i="29"/>
  <c r="E121" i="29"/>
  <c r="E120" i="29"/>
  <c r="E119" i="29"/>
  <c r="D118" i="29"/>
  <c r="D117" i="29"/>
  <c r="E116" i="29"/>
  <c r="F115" i="29"/>
  <c r="B115" i="29"/>
  <c r="C114" i="29"/>
  <c r="D113" i="29"/>
  <c r="E112" i="29"/>
  <c r="F111" i="29"/>
  <c r="B111" i="29"/>
  <c r="C110" i="29"/>
  <c r="D109" i="29"/>
  <c r="E108" i="29"/>
  <c r="F107" i="29"/>
  <c r="B107" i="29"/>
  <c r="C106" i="29"/>
  <c r="D105" i="29"/>
  <c r="E104" i="29"/>
  <c r="F103" i="29"/>
  <c r="B103" i="29"/>
  <c r="C102" i="29"/>
  <c r="D101" i="29"/>
  <c r="E100" i="29"/>
  <c r="F99" i="29"/>
  <c r="B99" i="29"/>
  <c r="C98" i="29"/>
  <c r="D97" i="29"/>
  <c r="E96" i="29"/>
  <c r="F95" i="29"/>
  <c r="B95" i="29"/>
  <c r="C94" i="29"/>
  <c r="D93" i="29"/>
  <c r="E92" i="29"/>
  <c r="F91" i="29"/>
  <c r="B91" i="29"/>
  <c r="C90" i="29"/>
  <c r="D89" i="29"/>
  <c r="E88" i="29"/>
  <c r="F87" i="29"/>
  <c r="B87" i="29"/>
  <c r="B86" i="29"/>
  <c r="C85" i="29"/>
  <c r="C84" i="29"/>
  <c r="D83" i="29"/>
  <c r="D82" i="29"/>
  <c r="E81" i="29"/>
  <c r="F80" i="29"/>
  <c r="B80" i="29"/>
  <c r="C79" i="29"/>
  <c r="D78" i="29"/>
  <c r="E77" i="29"/>
  <c r="E76" i="29"/>
  <c r="F75" i="29"/>
  <c r="B75" i="29"/>
  <c r="C74" i="29"/>
  <c r="D73" i="29"/>
  <c r="E72" i="29"/>
  <c r="F71" i="29"/>
  <c r="B71" i="29"/>
  <c r="C70" i="29"/>
  <c r="D69" i="29"/>
  <c r="E68" i="29"/>
  <c r="F67" i="29"/>
  <c r="B67" i="29"/>
  <c r="C66" i="29"/>
  <c r="D65" i="29"/>
  <c r="E64" i="29"/>
  <c r="F63" i="29"/>
  <c r="B63" i="29"/>
  <c r="C62" i="29"/>
  <c r="B298" i="29"/>
  <c r="F294" i="29"/>
  <c r="D292" i="29"/>
  <c r="F289" i="29"/>
  <c r="E286" i="29"/>
  <c r="E283" i="29"/>
  <c r="C281" i="29"/>
  <c r="B278" i="29"/>
  <c r="D275" i="29"/>
  <c r="D272" i="29"/>
  <c r="C269" i="29"/>
  <c r="F266" i="29"/>
  <c r="C264" i="29"/>
  <c r="B261" i="29"/>
  <c r="B258" i="29"/>
  <c r="E255" i="29"/>
  <c r="D252" i="29"/>
  <c r="F249" i="29"/>
  <c r="F246" i="29"/>
  <c r="E243" i="29"/>
  <c r="F241" i="29"/>
  <c r="B240" i="29"/>
  <c r="F237" i="29"/>
  <c r="B236" i="29"/>
  <c r="D234" i="29"/>
  <c r="E232" i="29"/>
  <c r="C231" i="29"/>
  <c r="F229" i="29"/>
  <c r="C228" i="29"/>
  <c r="B227" i="29"/>
  <c r="E225" i="29"/>
  <c r="B224" i="29"/>
  <c r="E222" i="29"/>
  <c r="D221" i="29"/>
  <c r="F219" i="29"/>
  <c r="D218" i="29"/>
  <c r="B217" i="29"/>
  <c r="D215" i="29"/>
  <c r="C214" i="29"/>
  <c r="F212" i="29"/>
  <c r="C211" i="29"/>
  <c r="F209" i="29"/>
  <c r="E208" i="29"/>
  <c r="B207" i="29"/>
  <c r="E205" i="29"/>
  <c r="C204" i="29"/>
  <c r="E202" i="29"/>
  <c r="D201" i="29"/>
  <c r="D200" i="29"/>
  <c r="C199" i="29"/>
  <c r="C198" i="29"/>
  <c r="C197" i="29"/>
  <c r="B196" i="29"/>
  <c r="B195" i="29"/>
  <c r="B194" i="29"/>
  <c r="F192" i="29"/>
  <c r="F191" i="29"/>
  <c r="F190" i="29"/>
  <c r="E189" i="29"/>
  <c r="E188" i="29"/>
  <c r="E187" i="29"/>
  <c r="D186" i="29"/>
  <c r="D185" i="29"/>
  <c r="D184" i="29"/>
  <c r="C183" i="29"/>
  <c r="C182" i="29"/>
  <c r="C181" i="29"/>
  <c r="B180" i="29"/>
  <c r="B179" i="29"/>
  <c r="B178" i="29"/>
  <c r="F176" i="29"/>
  <c r="F175" i="29"/>
  <c r="F174" i="29"/>
  <c r="E173" i="29"/>
  <c r="E172" i="29"/>
  <c r="E171" i="29"/>
  <c r="D170" i="29"/>
  <c r="D169" i="29"/>
  <c r="D168" i="29"/>
  <c r="C167" i="29"/>
  <c r="C166" i="29"/>
  <c r="C165" i="29"/>
  <c r="B164" i="29"/>
  <c r="B163" i="29"/>
  <c r="B162" i="29"/>
  <c r="F160" i="29"/>
  <c r="F159" i="29"/>
  <c r="E157" i="29"/>
  <c r="E156" i="29"/>
  <c r="E155" i="29"/>
  <c r="D154" i="29"/>
  <c r="D153" i="29"/>
  <c r="D152" i="29"/>
  <c r="C151" i="29"/>
  <c r="C150" i="29"/>
  <c r="C149" i="29"/>
  <c r="B148" i="29"/>
  <c r="B147" i="29"/>
  <c r="B146" i="29"/>
  <c r="F144" i="29"/>
  <c r="F143" i="29"/>
  <c r="F142" i="29"/>
  <c r="E141" i="29"/>
  <c r="E140" i="29"/>
  <c r="E139" i="29"/>
  <c r="D138" i="29"/>
  <c r="D137" i="29"/>
  <c r="D136" i="29"/>
  <c r="C135" i="29"/>
  <c r="C134" i="29"/>
  <c r="C133" i="29"/>
  <c r="B132" i="29"/>
  <c r="B131" i="29"/>
  <c r="B130" i="29"/>
  <c r="F128" i="29"/>
  <c r="F127" i="29"/>
  <c r="E125" i="29"/>
  <c r="E124" i="29"/>
  <c r="E123" i="29"/>
  <c r="D122" i="29"/>
  <c r="D121" i="29"/>
  <c r="D120" i="29"/>
  <c r="C119" i="29"/>
  <c r="C118" i="29"/>
  <c r="C117" i="29"/>
  <c r="D116" i="29"/>
  <c r="E115" i="29"/>
  <c r="F114" i="29"/>
  <c r="B114" i="29"/>
  <c r="C113" i="29"/>
  <c r="D112" i="29"/>
  <c r="E111" i="29"/>
  <c r="B110" i="29"/>
  <c r="C109" i="29"/>
  <c r="D108" i="29"/>
  <c r="E107" i="29"/>
  <c r="F106" i="29"/>
  <c r="B106" i="29"/>
  <c r="C105" i="29"/>
  <c r="D104" i="29"/>
  <c r="E103" i="29"/>
  <c r="E294" i="29"/>
  <c r="D288" i="29"/>
  <c r="D283" i="29"/>
  <c r="C277" i="29"/>
  <c r="E271" i="29"/>
  <c r="B266" i="29"/>
  <c r="D260" i="29"/>
  <c r="E254" i="29"/>
  <c r="C249" i="29"/>
  <c r="D243" i="29"/>
  <c r="C239" i="29"/>
  <c r="E235" i="29"/>
  <c r="C232" i="29"/>
  <c r="D229" i="29"/>
  <c r="E226" i="29"/>
  <c r="F223" i="29"/>
  <c r="F220" i="29"/>
  <c r="C218" i="29"/>
  <c r="C215" i="29"/>
  <c r="C212" i="29"/>
  <c r="E209" i="29"/>
  <c r="E206" i="29"/>
  <c r="F203" i="29"/>
  <c r="C201" i="29"/>
  <c r="B199" i="29"/>
  <c r="E192" i="29"/>
  <c r="D190" i="29"/>
  <c r="D188" i="29"/>
  <c r="C186" i="29"/>
  <c r="B184" i="29"/>
  <c r="B182" i="29"/>
  <c r="E177" i="29"/>
  <c r="E175" i="29"/>
  <c r="D173" i="29"/>
  <c r="C171" i="29"/>
  <c r="C169" i="29"/>
  <c r="B167" i="29"/>
  <c r="F164" i="29"/>
  <c r="F162" i="29"/>
  <c r="E160" i="29"/>
  <c r="D158" i="29"/>
  <c r="D156" i="29"/>
  <c r="C154" i="29"/>
  <c r="B152" i="29"/>
  <c r="B150" i="29"/>
  <c r="F147" i="29"/>
  <c r="E145" i="29"/>
  <c r="E143" i="29"/>
  <c r="D141" i="29"/>
  <c r="C139" i="29"/>
  <c r="C137" i="29"/>
  <c r="B135" i="29"/>
  <c r="F130" i="29"/>
  <c r="E128" i="29"/>
  <c r="D126" i="29"/>
  <c r="D124" i="29"/>
  <c r="C122" i="29"/>
  <c r="B120" i="29"/>
  <c r="B118" i="29"/>
  <c r="C116" i="29"/>
  <c r="E114" i="29"/>
  <c r="B113" i="29"/>
  <c r="D111" i="29"/>
  <c r="F109" i="29"/>
  <c r="C108" i="29"/>
  <c r="E106" i="29"/>
  <c r="B105" i="29"/>
  <c r="D103" i="29"/>
  <c r="D102" i="29"/>
  <c r="C101" i="29"/>
  <c r="C100" i="29"/>
  <c r="C99" i="29"/>
  <c r="B98" i="29"/>
  <c r="B97" i="29"/>
  <c r="B96" i="29"/>
  <c r="F94" i="29"/>
  <c r="F93" i="29"/>
  <c r="F92" i="29"/>
  <c r="E91" i="29"/>
  <c r="E90" i="29"/>
  <c r="E89" i="29"/>
  <c r="D88" i="29"/>
  <c r="D87" i="29"/>
  <c r="C86" i="29"/>
  <c r="B85" i="29"/>
  <c r="F83" i="29"/>
  <c r="E82" i="29"/>
  <c r="D81" i="29"/>
  <c r="D80" i="29"/>
  <c r="D79" i="29"/>
  <c r="C78" i="29"/>
  <c r="C77" i="29"/>
  <c r="B76" i="29"/>
  <c r="F74" i="29"/>
  <c r="F73" i="29"/>
  <c r="F72" i="29"/>
  <c r="E71" i="29"/>
  <c r="E70" i="29"/>
  <c r="E69" i="29"/>
  <c r="D68" i="29"/>
  <c r="D67" i="29"/>
  <c r="D66" i="29"/>
  <c r="C65" i="29"/>
  <c r="C64" i="29"/>
  <c r="C63" i="29"/>
  <c r="B62" i="29"/>
  <c r="D299" i="29"/>
  <c r="B294" i="29"/>
  <c r="C288" i="29"/>
  <c r="B282" i="29"/>
  <c r="B277" i="29"/>
  <c r="F270" i="29"/>
  <c r="C265" i="29"/>
  <c r="E259" i="29"/>
  <c r="B254" i="29"/>
  <c r="C248" i="29"/>
  <c r="F242" i="29"/>
  <c r="F238" i="29"/>
  <c r="F234" i="29"/>
  <c r="B232" i="29"/>
  <c r="B229" i="29"/>
  <c r="C226" i="29"/>
  <c r="D223" i="29"/>
  <c r="E220" i="29"/>
  <c r="E217" i="29"/>
  <c r="B215" i="29"/>
  <c r="B212" i="29"/>
  <c r="B209" i="29"/>
  <c r="D206" i="29"/>
  <c r="D203" i="29"/>
  <c r="F200" i="29"/>
  <c r="F198" i="29"/>
  <c r="E196" i="29"/>
  <c r="D194" i="29"/>
  <c r="D192" i="29"/>
  <c r="C190" i="29"/>
  <c r="B188" i="29"/>
  <c r="B186" i="29"/>
  <c r="F183" i="29"/>
  <c r="E181" i="29"/>
  <c r="E179" i="29"/>
  <c r="D177" i="29"/>
  <c r="C175" i="29"/>
  <c r="C173" i="29"/>
  <c r="B171" i="29"/>
  <c r="F168" i="29"/>
  <c r="F166" i="29"/>
  <c r="E164" i="29"/>
  <c r="D162" i="29"/>
  <c r="D160" i="29"/>
  <c r="C158" i="29"/>
  <c r="B156" i="29"/>
  <c r="B154" i="29"/>
  <c r="F151" i="29"/>
  <c r="E149" i="29"/>
  <c r="E147" i="29"/>
  <c r="D145" i="29"/>
  <c r="C143" i="29"/>
  <c r="C141" i="29"/>
  <c r="B139" i="29"/>
  <c r="F136" i="29"/>
  <c r="F134" i="29"/>
  <c r="E132" i="29"/>
  <c r="D130" i="29"/>
  <c r="D128" i="29"/>
  <c r="C126" i="29"/>
  <c r="B124" i="29"/>
  <c r="B122" i="29"/>
  <c r="F119" i="29"/>
  <c r="E117" i="29"/>
  <c r="B116" i="29"/>
  <c r="D114" i="29"/>
  <c r="F112" i="29"/>
  <c r="C111" i="29"/>
  <c r="E109" i="29"/>
  <c r="B108" i="29"/>
  <c r="D106" i="29"/>
  <c r="F104" i="29"/>
  <c r="C103" i="29"/>
  <c r="B102" i="29"/>
  <c r="B101" i="29"/>
  <c r="B100" i="29"/>
  <c r="F98" i="29"/>
  <c r="F97" i="29"/>
  <c r="F96" i="29"/>
  <c r="E95" i="29"/>
  <c r="E94" i="29"/>
  <c r="E93" i="29"/>
  <c r="D92" i="29"/>
  <c r="D91" i="29"/>
  <c r="D90" i="29"/>
  <c r="C89" i="29"/>
  <c r="C88" i="29"/>
  <c r="C87" i="29"/>
  <c r="F85" i="29"/>
  <c r="E84" i="29"/>
  <c r="E83" i="29"/>
  <c r="C82" i="29"/>
  <c r="C81" i="29"/>
  <c r="C80" i="29"/>
  <c r="B79" i="29"/>
  <c r="B78" i="29"/>
  <c r="B77" i="29"/>
  <c r="E75" i="29"/>
  <c r="E74" i="29"/>
  <c r="E73" i="29"/>
  <c r="D72" i="29"/>
  <c r="D71" i="29"/>
  <c r="D70" i="29"/>
  <c r="C69" i="29"/>
  <c r="C68" i="29"/>
  <c r="C67" i="29"/>
  <c r="B66" i="29"/>
  <c r="B65" i="29"/>
  <c r="B64" i="29"/>
  <c r="F62" i="29"/>
  <c r="C297" i="29"/>
  <c r="E291" i="29"/>
  <c r="B286" i="29"/>
  <c r="C280" i="29"/>
  <c r="F274" i="29"/>
  <c r="B269" i="29"/>
  <c r="F262" i="29"/>
  <c r="F257" i="29"/>
  <c r="E251" i="29"/>
  <c r="B246" i="29"/>
  <c r="C241" i="29"/>
  <c r="E237" i="29"/>
  <c r="E233" i="29"/>
  <c r="B231" i="29"/>
  <c r="B228" i="29"/>
  <c r="B225" i="29"/>
  <c r="D222" i="29"/>
  <c r="D219" i="29"/>
  <c r="E216" i="29"/>
  <c r="F213" i="29"/>
  <c r="B211" i="29"/>
  <c r="B208" i="29"/>
  <c r="D205" i="29"/>
  <c r="D202" i="29"/>
  <c r="B200" i="29"/>
  <c r="B198" i="29"/>
  <c r="F195" i="29"/>
  <c r="E193" i="29"/>
  <c r="E191" i="29"/>
  <c r="D189" i="29"/>
  <c r="C187" i="29"/>
  <c r="C185" i="29"/>
  <c r="B183" i="29"/>
  <c r="F180" i="29"/>
  <c r="F178" i="29"/>
  <c r="E176" i="29"/>
  <c r="D174" i="29"/>
  <c r="D172" i="29"/>
  <c r="C170" i="29"/>
  <c r="B168" i="29"/>
  <c r="B166" i="29"/>
  <c r="F163" i="29"/>
  <c r="E161" i="29"/>
  <c r="E159" i="29"/>
  <c r="D157" i="29"/>
  <c r="C155" i="29"/>
  <c r="C153" i="29"/>
  <c r="B151" i="29"/>
  <c r="F148" i="29"/>
  <c r="F146" i="29"/>
  <c r="E144" i="29"/>
  <c r="D142" i="29"/>
  <c r="D140" i="29"/>
  <c r="C138" i="29"/>
  <c r="B136" i="29"/>
  <c r="B134" i="29"/>
  <c r="F131" i="29"/>
  <c r="E129" i="29"/>
  <c r="E127" i="29"/>
  <c r="D125" i="29"/>
  <c r="C123" i="29"/>
  <c r="C121" i="29"/>
  <c r="B119" i="29"/>
  <c r="B117" i="29"/>
  <c r="D115" i="29"/>
  <c r="F113" i="29"/>
  <c r="C112" i="29"/>
  <c r="E110" i="29"/>
  <c r="B109" i="29"/>
  <c r="D107" i="29"/>
  <c r="F105" i="29"/>
  <c r="C104" i="29"/>
  <c r="F102" i="29"/>
  <c r="F101" i="29"/>
  <c r="F100" i="29"/>
  <c r="E99" i="29"/>
  <c r="E98" i="29"/>
  <c r="E97" i="29"/>
  <c r="D96" i="29"/>
  <c r="D95" i="29"/>
  <c r="D94" i="29"/>
  <c r="C93" i="29"/>
  <c r="C92" i="29"/>
  <c r="C91" i="29"/>
  <c r="B90" i="29"/>
  <c r="B89" i="29"/>
  <c r="B88" i="29"/>
  <c r="E86" i="29"/>
  <c r="E85" i="29"/>
  <c r="D84" i="29"/>
  <c r="C83" i="29"/>
  <c r="B82" i="29"/>
  <c r="B81" i="29"/>
  <c r="F79" i="29"/>
  <c r="F78" i="29"/>
  <c r="F77" i="29"/>
  <c r="D76" i="29"/>
  <c r="D75" i="29"/>
  <c r="D74" i="29"/>
  <c r="C73" i="29"/>
  <c r="C72" i="29"/>
  <c r="C71" i="29"/>
  <c r="B70" i="29"/>
  <c r="B69" i="29"/>
  <c r="B68" i="29"/>
  <c r="F66" i="29"/>
  <c r="F65" i="29"/>
  <c r="F64" i="29"/>
  <c r="E63" i="29"/>
  <c r="E62" i="29"/>
  <c r="D296" i="29"/>
  <c r="F290" i="29"/>
  <c r="C285" i="29"/>
  <c r="E279" i="29"/>
  <c r="F273" i="29"/>
  <c r="D268" i="29"/>
  <c r="E262" i="29"/>
  <c r="D256" i="29"/>
  <c r="D251" i="29"/>
  <c r="C245" i="29"/>
  <c r="F240" i="29"/>
  <c r="B237" i="29"/>
  <c r="D233" i="29"/>
  <c r="D230" i="29"/>
  <c r="F227" i="29"/>
  <c r="F224" i="29"/>
  <c r="F221" i="29"/>
  <c r="C219" i="29"/>
  <c r="C216" i="29"/>
  <c r="D213" i="29"/>
  <c r="E210" i="29"/>
  <c r="F207" i="29"/>
  <c r="F204" i="29"/>
  <c r="C202" i="29"/>
  <c r="F199" i="29"/>
  <c r="E197" i="29"/>
  <c r="E195" i="29"/>
  <c r="D193" i="29"/>
  <c r="C191" i="29"/>
  <c r="C189" i="29"/>
  <c r="B187" i="29"/>
  <c r="F184" i="29"/>
  <c r="F182" i="29"/>
  <c r="E180" i="29"/>
  <c r="D178" i="29"/>
  <c r="D176" i="29"/>
  <c r="C174" i="29"/>
  <c r="B172" i="29"/>
  <c r="B170" i="29"/>
  <c r="F167" i="29"/>
  <c r="E165" i="29"/>
  <c r="E163" i="29"/>
  <c r="D161" i="29"/>
  <c r="C159" i="29"/>
  <c r="C157" i="29"/>
  <c r="B155" i="29"/>
  <c r="F152" i="29"/>
  <c r="F150" i="29"/>
  <c r="E148" i="29"/>
  <c r="D146" i="29"/>
  <c r="D144" i="29"/>
  <c r="C142" i="29"/>
  <c r="B140" i="29"/>
  <c r="B138" i="29"/>
  <c r="F135" i="29"/>
  <c r="E133" i="29"/>
  <c r="E131" i="29"/>
  <c r="D129" i="29"/>
  <c r="C127" i="29"/>
  <c r="C125" i="29"/>
  <c r="B123" i="29"/>
  <c r="F120" i="29"/>
  <c r="F118" i="29"/>
  <c r="F116" i="29"/>
  <c r="C115" i="29"/>
  <c r="E113" i="29"/>
  <c r="B112" i="29"/>
  <c r="D110" i="29"/>
  <c r="F108" i="29"/>
  <c r="C107" i="29"/>
  <c r="E105" i="29"/>
  <c r="B104" i="29"/>
  <c r="E102" i="29"/>
  <c r="E101" i="29"/>
  <c r="D100" i="29"/>
  <c r="D99" i="29"/>
  <c r="D98" i="29"/>
  <c r="C97" i="29"/>
  <c r="C96" i="29"/>
  <c r="C95" i="29"/>
  <c r="B94" i="29"/>
  <c r="B93" i="29"/>
  <c r="B92" i="29"/>
  <c r="F90" i="29"/>
  <c r="F89" i="29"/>
  <c r="F88" i="29"/>
  <c r="E87" i="29"/>
  <c r="D86" i="29"/>
  <c r="D85" i="29"/>
  <c r="B84" i="29"/>
  <c r="B83" i="29"/>
  <c r="F81" i="29"/>
  <c r="E80" i="29"/>
  <c r="E79" i="29"/>
  <c r="E78" i="29"/>
  <c r="D77" i="29"/>
  <c r="C76" i="29"/>
  <c r="C75" i="29"/>
  <c r="B74" i="29"/>
  <c r="B73" i="29"/>
  <c r="B72" i="29"/>
  <c r="F70" i="29"/>
  <c r="F69" i="29"/>
  <c r="F68" i="29"/>
  <c r="E67" i="29"/>
  <c r="E66" i="29"/>
  <c r="E65" i="29"/>
  <c r="D64" i="29"/>
  <c r="D63" i="29"/>
  <c r="D62" i="29"/>
  <c r="B10" i="27"/>
  <c r="B19" i="27"/>
  <c r="B20" i="28" s="1"/>
  <c r="B21" i="27"/>
  <c r="B22" i="28" s="1"/>
  <c r="B23" i="27"/>
  <c r="B24" i="28" s="1"/>
  <c r="B27" i="27"/>
  <c r="B28" i="28" s="1"/>
  <c r="B28" i="27"/>
  <c r="B29" i="28" s="1"/>
  <c r="B25" i="27"/>
  <c r="B26" i="28" s="1"/>
  <c r="B26" i="27"/>
  <c r="B27" i="28" s="1"/>
  <c r="B18" i="27"/>
  <c r="B19" i="28" s="1"/>
  <c r="B20" i="27"/>
  <c r="B21" i="28" s="1"/>
  <c r="B22" i="27"/>
  <c r="B23" i="28" s="1"/>
  <c r="B24" i="27"/>
  <c r="B25" i="28" s="1"/>
  <c r="C26" i="27"/>
  <c r="C27" i="28" s="1"/>
  <c r="C22" i="27"/>
  <c r="C23" i="28" s="1"/>
  <c r="B46" i="28"/>
  <c r="B10" i="28"/>
  <c r="H53" i="25"/>
  <c r="H77" i="25"/>
  <c r="H96" i="25"/>
  <c r="H95" i="25"/>
  <c r="H89" i="25"/>
  <c r="H88" i="25"/>
  <c r="H87" i="25"/>
  <c r="H93" i="25"/>
  <c r="H86" i="25"/>
  <c r="H92" i="25"/>
  <c r="H91" i="25"/>
  <c r="I201" i="22"/>
  <c r="I192" i="22"/>
  <c r="I58" i="22"/>
  <c r="I123" i="22"/>
  <c r="I95" i="22"/>
  <c r="I110" i="22"/>
  <c r="H11" i="22"/>
  <c r="I141" i="22"/>
  <c r="I27" i="22"/>
  <c r="J123" i="22"/>
  <c r="J95" i="22"/>
  <c r="J164" i="22"/>
  <c r="J192" i="22"/>
  <c r="J110" i="22"/>
  <c r="I164" i="22"/>
  <c r="J141" i="22"/>
  <c r="J27" i="22"/>
  <c r="J201" i="22"/>
  <c r="J58" i="22"/>
  <c r="M3" i="18"/>
  <c r="J27" i="18" s="1"/>
  <c r="N3" i="21"/>
  <c r="M3" i="8"/>
  <c r="N3" i="9"/>
  <c r="I93" i="18"/>
  <c r="I209" i="8"/>
  <c r="G11" i="9"/>
  <c r="I24" i="15"/>
  <c r="G10" i="25" s="1"/>
  <c r="D60" i="25" s="1"/>
  <c r="C58" i="25" l="1"/>
  <c r="A61" i="25"/>
  <c r="A59" i="25"/>
  <c r="A64" i="25"/>
  <c r="P59" i="25"/>
  <c r="I166" i="22"/>
  <c r="K47" i="21"/>
  <c r="R119" i="25" s="1"/>
  <c r="F11" i="21"/>
  <c r="K74" i="21"/>
  <c r="R122" i="25" s="1"/>
  <c r="J166" i="22"/>
  <c r="I112" i="22"/>
  <c r="J112" i="22"/>
  <c r="D20" i="27"/>
  <c r="J203" i="22"/>
  <c r="I58" i="18"/>
  <c r="I186" i="18"/>
  <c r="I108" i="18"/>
  <c r="I195" i="18"/>
  <c r="I137" i="18"/>
  <c r="I119" i="18"/>
  <c r="I203" i="22"/>
  <c r="J93" i="18"/>
  <c r="I160" i="18"/>
  <c r="H11" i="18"/>
  <c r="J195" i="18"/>
  <c r="J160" i="18"/>
  <c r="J137" i="18"/>
  <c r="J108" i="18"/>
  <c r="J119" i="18"/>
  <c r="J58" i="18"/>
  <c r="J186" i="18"/>
  <c r="K65" i="21"/>
  <c r="R121" i="25" s="1"/>
  <c r="K56" i="21"/>
  <c r="R120" i="25" s="1"/>
  <c r="K38" i="21"/>
  <c r="R118" i="25" s="1"/>
  <c r="I27" i="18"/>
  <c r="I291" i="8"/>
  <c r="I242" i="8"/>
  <c r="I115" i="8"/>
  <c r="H11" i="8"/>
  <c r="I396" i="8"/>
  <c r="I384" i="8"/>
  <c r="I319" i="8"/>
  <c r="I42" i="8"/>
  <c r="D18" i="27" s="1"/>
  <c r="I350" i="8"/>
  <c r="O64" i="25" l="1"/>
  <c r="O59" i="25"/>
  <c r="D28" i="27"/>
  <c r="D21" i="27"/>
  <c r="D25" i="27"/>
  <c r="D23" i="27"/>
  <c r="D24" i="27"/>
  <c r="D19" i="27"/>
  <c r="D27" i="27"/>
  <c r="I197" i="18"/>
  <c r="J197" i="18"/>
  <c r="D66" i="25" l="1"/>
  <c r="J63" i="25"/>
  <c r="D63" i="25"/>
  <c r="I16" i="27"/>
  <c r="D30" i="27"/>
  <c r="B43" i="4"/>
  <c r="B42" i="4"/>
  <c r="K87" i="9" l="1"/>
  <c r="K89" i="9"/>
  <c r="K43" i="9"/>
  <c r="K39" i="9"/>
  <c r="K41" i="9"/>
  <c r="K76" i="9"/>
  <c r="K62" i="9"/>
  <c r="K64" i="9"/>
  <c r="K66" i="9"/>
  <c r="K68" i="9"/>
  <c r="K70" i="9"/>
  <c r="K186" i="9" l="1"/>
  <c r="K202" i="9" l="1"/>
  <c r="K205" i="9"/>
  <c r="K78" i="9" l="1"/>
  <c r="I24" i="6" l="1"/>
  <c r="G33" i="11" l="1"/>
  <c r="I30" i="6" l="1"/>
  <c r="I27" i="6"/>
  <c r="I21" i="6"/>
  <c r="I18" i="6"/>
  <c r="G43" i="11" l="1"/>
  <c r="G67" i="11" l="1"/>
  <c r="J353" i="8" l="1"/>
  <c r="J340" i="8"/>
  <c r="J333" i="8"/>
  <c r="J314" i="8"/>
  <c r="J32" i="8"/>
  <c r="J322" i="8"/>
  <c r="J326" i="8"/>
  <c r="K217" i="9" l="1"/>
  <c r="K215" i="9"/>
  <c r="K210" i="9"/>
  <c r="K208" i="9"/>
  <c r="K147" i="9"/>
  <c r="F196" i="29" s="1"/>
  <c r="K145" i="9"/>
  <c r="F194" i="29" s="1"/>
  <c r="K127" i="9"/>
  <c r="K122" i="9"/>
  <c r="K120" i="9"/>
  <c r="K118" i="9"/>
  <c r="K113" i="9"/>
  <c r="K111" i="9"/>
  <c r="K109" i="9"/>
  <c r="F158" i="29" s="1"/>
  <c r="K104" i="9"/>
  <c r="K102" i="9"/>
  <c r="K100" i="9"/>
  <c r="K98" i="9"/>
  <c r="K96" i="9"/>
  <c r="K91" i="9"/>
  <c r="K85" i="9"/>
  <c r="K83" i="9"/>
  <c r="F132" i="29" s="1"/>
  <c r="K74" i="9"/>
  <c r="K72" i="9"/>
  <c r="K60" i="9"/>
  <c r="K58" i="9"/>
  <c r="K56" i="9"/>
  <c r="K54" i="9"/>
  <c r="K52" i="9"/>
  <c r="K50" i="9"/>
  <c r="K45" i="9"/>
  <c r="K37" i="9"/>
  <c r="F86" i="29" s="1"/>
  <c r="K35" i="9"/>
  <c r="F84" i="29" s="1"/>
  <c r="K33" i="9"/>
  <c r="F82" i="29" s="1"/>
  <c r="K31" i="9"/>
  <c r="K29" i="9"/>
  <c r="K27" i="9"/>
  <c r="F76" i="29" s="1"/>
  <c r="K22" i="9"/>
  <c r="K20" i="9"/>
  <c r="K18" i="9"/>
  <c r="K16" i="9"/>
  <c r="K14" i="9"/>
  <c r="K93" i="9" l="1"/>
  <c r="Q119" i="25" s="1"/>
  <c r="J21" i="27" s="1"/>
  <c r="K219" i="9"/>
  <c r="Q124" i="25" s="1"/>
  <c r="K80" i="9"/>
  <c r="Q118" i="25" s="1"/>
  <c r="J20" i="27" s="1"/>
  <c r="K24" i="9"/>
  <c r="K47" i="9"/>
  <c r="K124" i="9"/>
  <c r="Q122" i="25" s="1"/>
  <c r="J25" i="27" s="1"/>
  <c r="K115" i="9"/>
  <c r="Q121" i="25" s="1"/>
  <c r="J24" i="27" s="1"/>
  <c r="K106" i="9"/>
  <c r="Q120" i="25" s="1"/>
  <c r="J23" i="27" s="1"/>
  <c r="Q117" i="25" l="1"/>
  <c r="Q116" i="25"/>
  <c r="I32" i="6" l="1"/>
  <c r="I33" i="6" l="1"/>
  <c r="E7" i="4" s="1"/>
  <c r="I12" i="27" s="1"/>
  <c r="I16" i="25" l="1"/>
  <c r="C10" i="29" s="1"/>
  <c r="B79" i="11"/>
  <c r="G39" i="11" l="1"/>
  <c r="G40" i="11" s="1"/>
  <c r="G69" i="11" l="1"/>
  <c r="H155" i="9"/>
  <c r="H133" i="9"/>
  <c r="J234" i="8" l="1"/>
  <c r="J237" i="8"/>
  <c r="J162" i="8" l="1"/>
  <c r="J381" i="8" l="1"/>
  <c r="J393" i="8"/>
  <c r="J390" i="8"/>
  <c r="J387" i="8"/>
  <c r="J378" i="8"/>
  <c r="J366" i="8"/>
  <c r="J375" i="8"/>
  <c r="J372" i="8"/>
  <c r="J369" i="8"/>
  <c r="J363" i="8"/>
  <c r="J360" i="8"/>
  <c r="J357" i="8"/>
  <c r="J347" i="8"/>
  <c r="J344" i="8"/>
  <c r="J337" i="8"/>
  <c r="J330" i="8"/>
  <c r="J311" i="8"/>
  <c r="J308" i="8"/>
  <c r="J305" i="8"/>
  <c r="J300" i="8"/>
  <c r="J297" i="8"/>
  <c r="J294" i="8"/>
  <c r="J20" i="8"/>
  <c r="J319" i="8" l="1"/>
  <c r="E24" i="27" s="1"/>
  <c r="C30" i="29" s="1"/>
  <c r="J350" i="8"/>
  <c r="E25" i="27" s="1"/>
  <c r="C32" i="29" s="1"/>
  <c r="J384" i="8"/>
  <c r="E27" i="27" s="1"/>
  <c r="C34" i="29" s="1"/>
  <c r="J396" i="8"/>
  <c r="E28" i="27" s="1"/>
  <c r="C36" i="29" s="1"/>
  <c r="J250" i="8"/>
  <c r="J167" i="8"/>
  <c r="J118" i="8"/>
  <c r="J84" i="8"/>
  <c r="P124" i="25" l="1"/>
  <c r="P121" i="25"/>
  <c r="P122" i="25"/>
  <c r="O122" i="25" s="1"/>
  <c r="O93" i="25" s="1"/>
  <c r="P123" i="25"/>
  <c r="J288" i="8"/>
  <c r="J285" i="8"/>
  <c r="J245" i="8"/>
  <c r="J240" i="8"/>
  <c r="J242" i="8" s="1"/>
  <c r="E21" i="27" s="1"/>
  <c r="C26" i="29" s="1"/>
  <c r="J218" i="8"/>
  <c r="J215" i="8"/>
  <c r="J212" i="8"/>
  <c r="J204" i="8"/>
  <c r="J201" i="8"/>
  <c r="J195" i="8"/>
  <c r="J193" i="8"/>
  <c r="J191" i="8"/>
  <c r="J164" i="8"/>
  <c r="J154" i="8"/>
  <c r="J145" i="8"/>
  <c r="J142" i="8"/>
  <c r="J140" i="8"/>
  <c r="J137" i="8"/>
  <c r="J134" i="8"/>
  <c r="J110" i="8"/>
  <c r="J107" i="8"/>
  <c r="J105" i="8"/>
  <c r="J103" i="8"/>
  <c r="J100" i="8"/>
  <c r="J97" i="8"/>
  <c r="J94" i="8"/>
  <c r="J81" i="8"/>
  <c r="J78" i="8"/>
  <c r="J75" i="8"/>
  <c r="J45" i="8"/>
  <c r="J39" i="8"/>
  <c r="J36" i="8"/>
  <c r="J17" i="8"/>
  <c r="J209" i="8" l="1"/>
  <c r="E20" i="27" s="1"/>
  <c r="C24" i="29" s="1"/>
  <c r="P119" i="25"/>
  <c r="O119" i="25" s="1"/>
  <c r="O89" i="25" s="1"/>
  <c r="O121" i="25"/>
  <c r="O92" i="25" s="1"/>
  <c r="J42" i="8"/>
  <c r="J115" i="8"/>
  <c r="E19" i="27" s="1"/>
  <c r="C22" i="29" s="1"/>
  <c r="J291" i="8"/>
  <c r="E23" i="27" s="1"/>
  <c r="C28" i="29" s="1"/>
  <c r="P118" i="25" l="1"/>
  <c r="O118" i="25" s="1"/>
  <c r="O88" i="25" s="1"/>
  <c r="P116" i="25"/>
  <c r="E18" i="27"/>
  <c r="C20" i="29" s="1"/>
  <c r="P117" i="25"/>
  <c r="P120" i="25"/>
  <c r="G70" i="11"/>
  <c r="G74" i="11" s="1"/>
  <c r="E30" i="27" l="1"/>
  <c r="O120" i="25"/>
  <c r="O91" i="25" s="1"/>
  <c r="I74" i="25"/>
  <c r="S10" i="27" s="1"/>
  <c r="N74" i="25"/>
  <c r="P125" i="25"/>
  <c r="G47" i="11"/>
  <c r="G51" i="11" s="1"/>
  <c r="F19" i="27" l="1"/>
  <c r="F21" i="27"/>
  <c r="F23" i="27"/>
  <c r="F27" i="27"/>
  <c r="F28" i="27"/>
  <c r="F16" i="27"/>
  <c r="F18" i="27"/>
  <c r="F20" i="27"/>
  <c r="F24" i="27"/>
  <c r="G16" i="27"/>
  <c r="F25" i="27"/>
  <c r="G48" i="11"/>
  <c r="G52" i="11" s="1"/>
  <c r="E39" i="4"/>
  <c r="F30" i="27" l="1"/>
  <c r="G50" i="11"/>
  <c r="I398" i="8"/>
  <c r="G53" i="11" l="1"/>
  <c r="G55" i="11" s="1"/>
  <c r="G58" i="11" s="1"/>
  <c r="J398" i="8"/>
  <c r="G59" i="11" l="1"/>
  <c r="G60" i="11"/>
  <c r="G72" i="11"/>
  <c r="G75" i="11" s="1"/>
  <c r="G77" i="11" s="1"/>
  <c r="G86" i="21" l="1"/>
  <c r="G80" i="21"/>
  <c r="G70" i="23"/>
  <c r="G64" i="23"/>
  <c r="E14" i="27"/>
  <c r="E15" i="28" s="1"/>
  <c r="I15" i="25"/>
  <c r="C9" i="29" s="1"/>
  <c r="I77" i="11"/>
  <c r="G78" i="11" s="1"/>
  <c r="G61" i="11"/>
  <c r="G63" i="11" s="1"/>
  <c r="E13" i="27" s="1"/>
  <c r="I14" i="25" l="1"/>
  <c r="C8" i="29" s="1"/>
  <c r="E14" i="28"/>
  <c r="I63" i="11"/>
  <c r="E6" i="4"/>
  <c r="C10" i="4" s="1"/>
  <c r="E10" i="4" s="1"/>
  <c r="G64" i="11" l="1"/>
  <c r="M14" i="25"/>
  <c r="J12" i="27" s="1"/>
  <c r="C11" i="4"/>
  <c r="D10" i="4"/>
  <c r="G133" i="9"/>
  <c r="G155" i="9"/>
  <c r="K152" i="9" s="1"/>
  <c r="F201" i="29" s="1"/>
  <c r="E38" i="4"/>
  <c r="A26" i="25" l="1"/>
  <c r="L14" i="25"/>
  <c r="O20" i="25"/>
  <c r="J25" i="25" s="1"/>
  <c r="K130" i="9"/>
  <c r="E11" i="4"/>
  <c r="F11" i="4" s="1"/>
  <c r="D11" i="4"/>
  <c r="F10" i="4" s="1"/>
  <c r="C42" i="4"/>
  <c r="C43" i="4" s="1"/>
  <c r="K212" i="9" l="1"/>
  <c r="Q123" i="25" s="1"/>
  <c r="Q125" i="25" s="1"/>
  <c r="F179" i="29"/>
  <c r="P10" i="23"/>
  <c r="P10" i="21"/>
  <c r="A25" i="25"/>
  <c r="D26" i="25"/>
  <c r="E27" i="25"/>
  <c r="I23" i="25"/>
  <c r="O18" i="25"/>
  <c r="D42" i="4"/>
  <c r="D43" i="4"/>
  <c r="E43" i="4"/>
  <c r="E42" i="4"/>
  <c r="K221" i="9" l="1"/>
  <c r="D23" i="25"/>
  <c r="D42" i="25"/>
  <c r="D51" i="25"/>
  <c r="J13" i="27"/>
  <c r="J14" i="27"/>
  <c r="D48" i="25"/>
  <c r="D50" i="25"/>
  <c r="I55" i="25"/>
  <c r="I54" i="25"/>
  <c r="H55" i="25"/>
  <c r="D55" i="25"/>
  <c r="D54" i="25"/>
  <c r="D49" i="25"/>
  <c r="D41" i="25"/>
  <c r="D38" i="25"/>
  <c r="D37" i="25"/>
  <c r="I31" i="25"/>
  <c r="J31" i="25" s="1"/>
  <c r="D32" i="25"/>
  <c r="D31" i="25"/>
  <c r="D24" i="25"/>
  <c r="H22" i="25"/>
  <c r="J23" i="25"/>
  <c r="J37" i="25" s="1"/>
  <c r="F42" i="4"/>
  <c r="F43" i="4"/>
  <c r="K127" i="21" l="1"/>
  <c r="R124" i="25" s="1"/>
  <c r="K20" i="21"/>
  <c r="R116" i="25" s="1"/>
  <c r="J18" i="27" s="1"/>
  <c r="J41" i="25"/>
  <c r="C11" i="29" s="1"/>
  <c r="I32" i="25"/>
  <c r="J32" i="25" s="1"/>
  <c r="I24" i="25"/>
  <c r="J24" i="25" s="1"/>
  <c r="O13" i="27" l="1"/>
  <c r="P41" i="25"/>
  <c r="J38" i="25"/>
  <c r="J42" i="25" s="1"/>
  <c r="J51" i="25" s="1"/>
  <c r="K67" i="23"/>
  <c r="O116" i="25"/>
  <c r="O86" i="25" s="1"/>
  <c r="J48" i="25"/>
  <c r="P42" i="25" l="1"/>
  <c r="O11" i="23" s="1"/>
  <c r="C12" i="29"/>
  <c r="O10" i="23"/>
  <c r="O10" i="21"/>
  <c r="F110" i="29"/>
  <c r="J55" i="25"/>
  <c r="J66" i="25" s="1"/>
  <c r="O14" i="27"/>
  <c r="K89" i="23"/>
  <c r="C16" i="29"/>
  <c r="J50" i="25"/>
  <c r="S124" i="25"/>
  <c r="J28" i="27" s="1"/>
  <c r="J49" i="25"/>
  <c r="O11" i="21" l="1"/>
  <c r="H11" i="21" s="1"/>
  <c r="J54" i="25"/>
  <c r="J56" i="25" s="1"/>
  <c r="C15" i="29"/>
  <c r="H11" i="23"/>
  <c r="K95" i="23"/>
  <c r="K112" i="23" s="1"/>
  <c r="O124" i="25"/>
  <c r="O96" i="25" s="1"/>
  <c r="F126" i="29" l="1"/>
  <c r="K111" i="21"/>
  <c r="R123" i="25" s="1"/>
  <c r="S123" i="25"/>
  <c r="J74" i="25"/>
  <c r="J67" i="25"/>
  <c r="K29" i="21"/>
  <c r="J27" i="27" l="1"/>
  <c r="O123" i="25"/>
  <c r="O95" i="25" s="1"/>
  <c r="S125" i="25"/>
  <c r="J75" i="25"/>
  <c r="K129" i="21"/>
  <c r="J78" i="25" s="1"/>
  <c r="J79" i="25" s="1"/>
  <c r="R117" i="25"/>
  <c r="J19" i="27" s="1"/>
  <c r="J30" i="27" s="1"/>
  <c r="C39" i="29" s="1"/>
  <c r="O82" i="25" l="1"/>
  <c r="O117" i="25"/>
  <c r="O87" i="25" s="1"/>
  <c r="R125" i="25"/>
  <c r="J86" i="25" l="1"/>
  <c r="J87" i="25"/>
  <c r="J94" i="25"/>
  <c r="J91" i="25"/>
  <c r="J92" i="25"/>
  <c r="J93" i="25"/>
  <c r="J90" i="25"/>
  <c r="J89" i="25"/>
  <c r="J84" i="25"/>
  <c r="J83" i="25"/>
  <c r="J96" i="25"/>
  <c r="J95" i="25"/>
  <c r="J88" i="25"/>
  <c r="J104" i="25" l="1"/>
  <c r="J105" i="25" s="1"/>
  <c r="J107" i="25" s="1"/>
  <c r="J146" i="25" s="1"/>
  <c r="G28" i="27" l="1"/>
  <c r="G23" i="27"/>
  <c r="G26" i="27"/>
  <c r="G19" i="27"/>
  <c r="G18" i="27"/>
  <c r="H18" i="27" s="1"/>
  <c r="I18" i="27" s="1"/>
  <c r="C21" i="29" s="1"/>
  <c r="G20" i="27"/>
  <c r="G27" i="27"/>
  <c r="H27" i="27" s="1"/>
  <c r="I27" i="27" s="1"/>
  <c r="G25" i="27"/>
  <c r="G24" i="27"/>
  <c r="G21" i="27"/>
  <c r="H21" i="27" s="1"/>
  <c r="I21" i="27" s="1"/>
  <c r="G22" i="27"/>
  <c r="H22" i="27" s="1"/>
  <c r="I22" i="27" s="1"/>
  <c r="H28" i="27"/>
  <c r="H20" i="27"/>
  <c r="H26" i="27"/>
  <c r="H25" i="27"/>
  <c r="H24" i="27"/>
  <c r="H23" i="27"/>
  <c r="H19" i="27"/>
  <c r="J145" i="25"/>
  <c r="C53" i="29" s="1"/>
  <c r="J143" i="25"/>
  <c r="J141" i="25"/>
  <c r="J142" i="25"/>
  <c r="I24" i="27" l="1"/>
  <c r="C31" i="29" s="1"/>
  <c r="I28" i="27"/>
  <c r="C37" i="29" s="1"/>
  <c r="I25" i="27"/>
  <c r="C33" i="29" s="1"/>
  <c r="I19" i="27"/>
  <c r="C23" i="29" s="1"/>
  <c r="I26" i="27"/>
  <c r="K26" i="27" s="1"/>
  <c r="I23" i="27"/>
  <c r="C29" i="29" s="1"/>
  <c r="G30" i="27"/>
  <c r="C35" i="29"/>
  <c r="K21" i="27"/>
  <c r="C27" i="29"/>
  <c r="C50" i="29"/>
  <c r="C48" i="29"/>
  <c r="C52" i="29"/>
  <c r="K22" i="27"/>
  <c r="J147" i="25"/>
  <c r="J150" i="25" s="1"/>
  <c r="K27" i="27"/>
  <c r="H30" i="27"/>
  <c r="I20" i="27"/>
  <c r="C25" i="29" s="1"/>
  <c r="K18" i="27"/>
  <c r="K24" i="27" l="1"/>
  <c r="K28" i="27"/>
  <c r="K19" i="27"/>
  <c r="K25" i="27"/>
  <c r="K23" i="27"/>
  <c r="J151" i="25"/>
  <c r="C54" i="29"/>
  <c r="K20" i="27"/>
  <c r="I30" i="27"/>
  <c r="C38" i="29" s="1"/>
  <c r="K30" i="27" l="1"/>
  <c r="C40" i="29" s="1"/>
  <c r="J153" i="25"/>
  <c r="C55" i="29"/>
  <c r="C56" i="29" l="1"/>
  <c r="G3" i="29"/>
  <c r="L27" i="27"/>
  <c r="M27" i="27" s="1"/>
  <c r="N27" i="27" s="1"/>
  <c r="O27" i="27" s="1"/>
  <c r="E28" i="28" s="1"/>
  <c r="G28" i="28" s="1"/>
  <c r="L28" i="27"/>
  <c r="M28" i="27" s="1"/>
  <c r="N28" i="27" s="1"/>
  <c r="O28" i="27" s="1"/>
  <c r="E29" i="28" s="1"/>
  <c r="G29" i="28" s="1"/>
  <c r="L26" i="27"/>
  <c r="M26" i="27" s="1"/>
  <c r="N26" i="27" s="1"/>
  <c r="O26" i="27" s="1"/>
  <c r="E27" i="28" s="1"/>
  <c r="L21" i="27"/>
  <c r="M21" i="27" s="1"/>
  <c r="N21" i="27" s="1"/>
  <c r="O21" i="27" s="1"/>
  <c r="E22" i="28" s="1"/>
  <c r="G22" i="28" s="1"/>
  <c r="L23" i="27"/>
  <c r="M23" i="27" s="1"/>
  <c r="N23" i="27" s="1"/>
  <c r="O23" i="27" s="1"/>
  <c r="E24" i="28" s="1"/>
  <c r="G24" i="28" s="1"/>
  <c r="L22" i="27"/>
  <c r="M22" i="27" s="1"/>
  <c r="N22" i="27" s="1"/>
  <c r="O22" i="27" s="1"/>
  <c r="E23" i="28" s="1"/>
  <c r="L25" i="27"/>
  <c r="M25" i="27" s="1"/>
  <c r="N25" i="27" s="1"/>
  <c r="O25" i="27" s="1"/>
  <c r="E26" i="28" s="1"/>
  <c r="G26" i="28" s="1"/>
  <c r="L24" i="27"/>
  <c r="M24" i="27" s="1"/>
  <c r="N24" i="27" s="1"/>
  <c r="O24" i="27" s="1"/>
  <c r="E25" i="28" s="1"/>
  <c r="G25" i="28" s="1"/>
  <c r="L18" i="27"/>
  <c r="L19" i="27"/>
  <c r="M19" i="27" s="1"/>
  <c r="N19" i="27" s="1"/>
  <c r="O19" i="27" s="1"/>
  <c r="E20" i="28" s="1"/>
  <c r="G20" i="28" s="1"/>
  <c r="I20" i="28" s="1"/>
  <c r="L20" i="27"/>
  <c r="M20" i="27" s="1"/>
  <c r="N20" i="27" s="1"/>
  <c r="O20" i="27" s="1"/>
  <c r="E21" i="28" s="1"/>
  <c r="G21" i="28" s="1"/>
  <c r="L30" i="27" l="1"/>
  <c r="C42" i="29" s="1"/>
  <c r="M18" i="27"/>
  <c r="N18" i="27" s="1"/>
  <c r="N30" i="27" s="1"/>
  <c r="C45" i="29" s="1"/>
  <c r="I19" i="28"/>
  <c r="I31" i="28" s="1"/>
  <c r="I42" i="28" s="1"/>
  <c r="I45" i="28" s="1"/>
  <c r="M30" i="27" l="1"/>
  <c r="C43" i="29" s="1"/>
  <c r="O18" i="27"/>
  <c r="O30" i="27" s="1"/>
  <c r="C46" i="29" s="1"/>
  <c r="I46" i="28"/>
  <c r="I49" i="28" s="1"/>
  <c r="E19" i="28" l="1"/>
  <c r="E31" i="28" l="1"/>
  <c r="G19" i="28"/>
  <c r="G31" i="28" s="1"/>
  <c r="G42" i="28" s="1"/>
</calcChain>
</file>

<file path=xl/sharedStrings.xml><?xml version="1.0" encoding="utf-8"?>
<sst xmlns="http://schemas.openxmlformats.org/spreadsheetml/2006/main" count="2086" uniqueCount="1232">
  <si>
    <t>nach Kostenberechnung</t>
  </si>
  <si>
    <t>Zeile [Z]</t>
  </si>
  <si>
    <t>4.1</t>
  </si>
  <si>
    <t>4.2</t>
  </si>
  <si>
    <t>4.3</t>
  </si>
  <si>
    <t>4.4</t>
  </si>
  <si>
    <t>4.5</t>
  </si>
  <si>
    <t>4.6</t>
  </si>
  <si>
    <t>4.7</t>
  </si>
  <si>
    <t>5.1</t>
  </si>
  <si>
    <t>7.1</t>
  </si>
  <si>
    <t xml:space="preserve"> </t>
  </si>
  <si>
    <t>nach Kostenschätzung</t>
  </si>
  <si>
    <t>Honorarzone</t>
  </si>
  <si>
    <t>Bewertungs-
merkmal</t>
  </si>
  <si>
    <t>(1-5 Punkte)</t>
  </si>
  <si>
    <t>(1)</t>
  </si>
  <si>
    <t>(2)</t>
  </si>
  <si>
    <t>(3)</t>
  </si>
  <si>
    <t>(4)</t>
  </si>
  <si>
    <t>(5)</t>
  </si>
  <si>
    <t>(1-15 Punkte)</t>
  </si>
  <si>
    <t>(1-3)</t>
  </si>
  <si>
    <t>(4-6)</t>
  </si>
  <si>
    <t>(7-9)</t>
  </si>
  <si>
    <t>(10-12)</t>
  </si>
  <si>
    <t>(13-15)</t>
  </si>
  <si>
    <t>(1-10 Punkte)</t>
  </si>
  <si>
    <t>(1-2)</t>
  </si>
  <si>
    <t>(3-4)</t>
  </si>
  <si>
    <t>(5-6)</t>
  </si>
  <si>
    <t>(7-8)</t>
  </si>
  <si>
    <t>(9-10)</t>
  </si>
  <si>
    <t xml:space="preserve">Fachspezifische Bedingungen
</t>
  </si>
  <si>
    <t xml:space="preserve">Technische Ausrüstung und Ausstattung
</t>
  </si>
  <si>
    <t xml:space="preserve">Einbindung in die Umgebung oder in das Objektumfeld
</t>
  </si>
  <si>
    <t>Anrechenbare Kosten LPh 1 bis 7 und 9</t>
  </si>
  <si>
    <t>Anrechenbare Kosten LPh 8</t>
  </si>
  <si>
    <t>9.02</t>
  </si>
  <si>
    <t>9.01</t>
  </si>
  <si>
    <t>8.07</t>
  </si>
  <si>
    <t>8.06</t>
  </si>
  <si>
    <t>8.04</t>
  </si>
  <si>
    <t>Erstellen eines Bauwerkbuches</t>
  </si>
  <si>
    <t>8.03</t>
  </si>
  <si>
    <t>8.01</t>
  </si>
  <si>
    <t>7.02</t>
  </si>
  <si>
    <t>Prüfen und Werten von Nebenangeboten</t>
  </si>
  <si>
    <t>7.01</t>
  </si>
  <si>
    <t>6.02</t>
  </si>
  <si>
    <t>6.01</t>
  </si>
  <si>
    <t>5.04</t>
  </si>
  <si>
    <t>Aufstellen von Ablauf- und Netzplänen</t>
  </si>
  <si>
    <t>5.03</t>
  </si>
  <si>
    <t>Koordination des Gesamtprojektes</t>
  </si>
  <si>
    <t>5.02</t>
  </si>
  <si>
    <t>Objektübergreifende, integrierte Bauablaufplanung</t>
  </si>
  <si>
    <t>5.01</t>
  </si>
  <si>
    <t>4.02</t>
  </si>
  <si>
    <t>4.01</t>
  </si>
  <si>
    <t>3.07</t>
  </si>
  <si>
    <t>3.06</t>
  </si>
  <si>
    <t>Fiktivkostenberechnungen (Kostenteilung)</t>
  </si>
  <si>
    <t>3.05</t>
  </si>
  <si>
    <t>3.04</t>
  </si>
  <si>
    <t>Mitwirken bei Verwaltungsvereinbarungen</t>
  </si>
  <si>
    <t>3.03</t>
  </si>
  <si>
    <t>Detaillierte signaltechnische Berechnung</t>
  </si>
  <si>
    <t>3.02</t>
  </si>
  <si>
    <t>Fortschreiben von Nutzen-Kosten-Untersuchungen</t>
  </si>
  <si>
    <t>3.01</t>
  </si>
  <si>
    <t>2.06</t>
  </si>
  <si>
    <t>2.05</t>
  </si>
  <si>
    <t>Wirtschaftlichkeitsprüfung</t>
  </si>
  <si>
    <t>2.04</t>
  </si>
  <si>
    <t>Anfertigen von Nutzen-Kosten-Untersuchungen</t>
  </si>
  <si>
    <t>2.03</t>
  </si>
  <si>
    <t>Untersuchungen zur Nachhaltigkeit</t>
  </si>
  <si>
    <t>2.02</t>
  </si>
  <si>
    <t>Erstellen von Leitungsbestandsplänen</t>
  </si>
  <si>
    <t>2.01</t>
  </si>
  <si>
    <t>1.03</t>
  </si>
  <si>
    <t>1.02</t>
  </si>
  <si>
    <t>1.01</t>
  </si>
  <si>
    <t>c</t>
  </si>
  <si>
    <t>b</t>
  </si>
  <si>
    <t>a</t>
  </si>
  <si>
    <t>j</t>
  </si>
  <si>
    <t>i</t>
  </si>
  <si>
    <t>h</t>
  </si>
  <si>
    <t>g</t>
  </si>
  <si>
    <t>f</t>
  </si>
  <si>
    <t>e</t>
  </si>
  <si>
    <t>d</t>
  </si>
  <si>
    <t>Überarbeiten des Erläuterungsberichtes für das öffentlich-rechtliche Genehmigungsverfahren
Vorbereiten der Vervielfältigung
Überarbeiten der Unterlagen bei Auflagen / erforderlichen Änderungen im Genehmigungsverfahren</t>
  </si>
  <si>
    <t>in gesonderten Plänen</t>
  </si>
  <si>
    <t>in den Lageplänen</t>
  </si>
  <si>
    <t xml:space="preserve">Darstellen der Ver- und Entsorgungsleitungen </t>
  </si>
  <si>
    <t>-</t>
  </si>
  <si>
    <t>o</t>
  </si>
  <si>
    <t>n</t>
  </si>
  <si>
    <t>m</t>
  </si>
  <si>
    <t>Nachweis der Lichtraumprofile</t>
  </si>
  <si>
    <t>l</t>
  </si>
  <si>
    <t>k</t>
  </si>
  <si>
    <t xml:space="preserve">Fußgänger- und Radfahreraufkommen, ruhender Verkehr </t>
  </si>
  <si>
    <t xml:space="preserve">ÖPNV </t>
  </si>
  <si>
    <t xml:space="preserve">Geschwindigkeiten </t>
  </si>
  <si>
    <t>Unfälle</t>
  </si>
  <si>
    <t>bekannte Störungen im Verkehrsablauf</t>
  </si>
  <si>
    <t xml:space="preserve">Verkehrsmengen (Verkehrszusammensetzung, zeitliche Verteilung) </t>
  </si>
  <si>
    <t xml:space="preserve">städtebauliche Vorhaben (in Ortslagen) </t>
  </si>
  <si>
    <t xml:space="preserve">Bauleitplanungen </t>
  </si>
  <si>
    <t xml:space="preserve">Ver- und Entsorgungsleitungen </t>
  </si>
  <si>
    <t>verkehrstechnische Anlagen</t>
  </si>
  <si>
    <t>wassertechnische Anlagen</t>
  </si>
  <si>
    <t>Verkehrsanlagen einschl. Ingenieurbauwerke</t>
  </si>
  <si>
    <t xml:space="preserve">Aufzeigen des Leistungsumfanges und der erforderlichen Vorarbeiten </t>
  </si>
  <si>
    <t>Darlegen der Auswirkungen auf Zwangspunkte</t>
  </si>
  <si>
    <t xml:space="preserve">Leistungsphase 1: Grundlagenermittlung </t>
  </si>
  <si>
    <t>Leistungsphase 2: Vorplanung</t>
  </si>
  <si>
    <t>Leistungsphase 3: Entwurfsplanung</t>
  </si>
  <si>
    <t>Leistungsphase 4: Genehmigungsplanung</t>
  </si>
  <si>
    <t>Leistungsphase 5: Ausführungsplanung</t>
  </si>
  <si>
    <t>Leistungsphase 6: Vorbereitung der Vergabe</t>
  </si>
  <si>
    <t>Leistungsphase 8: Bauoberleitung</t>
  </si>
  <si>
    <t>Leistungsphase 7: Mitwirkung bei der Vergabe</t>
  </si>
  <si>
    <t>Leistungsphase 9: Objektbetreuung</t>
  </si>
  <si>
    <t>Überwachen der Ausführung von Tragwerken nach Anlage 14.2 (HOAI) Honorarzone I und II mit sehr geringen und geringen Planungsanforderungen auf Übereinstimmung mit dem Standsicherheitsnachweis</t>
  </si>
  <si>
    <t>HOAI</t>
  </si>
  <si>
    <t>8.05</t>
  </si>
  <si>
    <t>8.02</t>
  </si>
  <si>
    <t>Einheit</t>
  </si>
  <si>
    <t>Menge</t>
  </si>
  <si>
    <t>1.04</t>
  </si>
  <si>
    <t>2.07</t>
  </si>
  <si>
    <t>3.08</t>
  </si>
  <si>
    <t>4.03</t>
  </si>
  <si>
    <t>5.05</t>
  </si>
  <si>
    <t>6.03</t>
  </si>
  <si>
    <t>7.03</t>
  </si>
  <si>
    <t>8.08</t>
  </si>
  <si>
    <t>4.8</t>
  </si>
  <si>
    <t>5.2</t>
  </si>
  <si>
    <t xml:space="preserve">Kosten für Ingenieurbauwerke </t>
  </si>
  <si>
    <t>7.2</t>
  </si>
  <si>
    <t>9.1</t>
  </si>
  <si>
    <t>9.2</t>
  </si>
  <si>
    <t>9.3</t>
  </si>
  <si>
    <t>11.1</t>
  </si>
  <si>
    <t>11.2</t>
  </si>
  <si>
    <t>11.3</t>
  </si>
  <si>
    <t xml:space="preserve">Die Leistung wird zugeordnet der Honorarzone: </t>
  </si>
  <si>
    <t xml:space="preserve">Summe der ermittelten Punktanzahl: </t>
  </si>
  <si>
    <t>1.05</t>
  </si>
  <si>
    <t xml:space="preserve">Auswahl und Besichtigen ähnlicher Objekte </t>
  </si>
  <si>
    <t>Stundensätze für Leistungsänderungen (soweit nicht über HOAI zu vergüten)</t>
  </si>
  <si>
    <t>Ingenieur nach Ing.-Gesetz</t>
  </si>
  <si>
    <t>Techniker</t>
  </si>
  <si>
    <t>Zellverknüpfungen</t>
  </si>
  <si>
    <t>unter Berücksichtigung der „Beschreibung der Planungsaufgaben und Planungsziele“</t>
  </si>
  <si>
    <t>Luftreinhaltepläne</t>
  </si>
  <si>
    <t>Lärmaktionspläne</t>
  </si>
  <si>
    <t>Verkehrsentwicklungsplanung</t>
  </si>
  <si>
    <t>Bauleitplanung</t>
  </si>
  <si>
    <t>Zusammenstellen der die Aufgabe beeinflussenden Planungsabsichten. Hierzu gehören insbesondere auch örtliche Planungen wie z.B.:</t>
  </si>
  <si>
    <t>Ermitteln des Umfanges der erforderlichen Fachbeiträge (z.B. Vermessungsleistungen, Immissionsschutz, städtebaulicher Beitrag, denkmalpflegerischer Beitrag, verkehrsplanerische Leistungen, Baugrunduntersuchung etc.)</t>
  </si>
  <si>
    <t>Beschreibung des Ist-Zustandes
Beschreibung des Planungszieles in Abstimmung auf die weitere Bearbeitung
Aufzeigen aller Sachverhalte, die die Maßnahme / das Objekt beeinflussen
Erarbeiten eines Arbeits- und Terminplanes unter Berücksichtigung der Fachbeiträge</t>
  </si>
  <si>
    <t>Durchführen von Ortsbesichtigungen zum Abschätzen der erforderlichen Leistung.
Über die Auswertung der beschafften Unterlagen hinaus, sind alle dort nicht erfassten, für die Bearbeitung des Projektes bedeutsamen Gegebenheiten in der Örtlichkeit zu erkunden.</t>
  </si>
  <si>
    <t>Bauleitpläne</t>
  </si>
  <si>
    <t>Auswerten der Bestandspläne über</t>
  </si>
  <si>
    <t>Baumbestand</t>
  </si>
  <si>
    <t>denkmalgeschützte Anlagen</t>
  </si>
  <si>
    <t>städtebauliche Situation (in Ortslagen)</t>
  </si>
  <si>
    <t>Auswerten von vorliegenden Verkehrsdaten in Analyse und Prognose</t>
  </si>
  <si>
    <t>Auswerten der Planungen Dritter, welche die Aufgabenstellung  beeinflussen, über</t>
  </si>
  <si>
    <t>In Ortslagen sind weiterhin die städtebaulichen Randbedingungen zu beachten.</t>
  </si>
  <si>
    <t>Leistungsnachweis des gewählten Querschnitts</t>
  </si>
  <si>
    <t>Erstellung eines groben Rahmenterminplanes für die Planung und Umsetzung der Vorzugsvariante unter Berücksichtigung der Fachbeiträge
Einarbeiten der vorgebrachten Anregungen und Hinweise sowie des Ergebnisses des Sicherheitsaudits in das Planungskonzept in Abstimmung mit dem Auftraggeber</t>
  </si>
  <si>
    <t xml:space="preserve">Ermitteln der überschlägigen Mengen
Schätzen der Kosten für jede Variante anhand von Erfahrungswerten in Abstimmung mit dem Auftraggeber und Vergleich mit den Kosten aus der Bedarfsplanung </t>
  </si>
  <si>
    <t>Zusammenfassen, Erläutern und Dokumentieren</t>
  </si>
  <si>
    <t>Stufenweises Ausarbeiten der Verkehrsanlage in zeichnerischer und rechnerischer Form unter Berücksichtigung aller fachspezifischen Anforderungen:</t>
  </si>
  <si>
    <t>Überarbeiten des Übersichtslageplanes</t>
  </si>
  <si>
    <t>einschl. aller Knotenpunkte und etwaiger Folgemaßnahmen</t>
  </si>
  <si>
    <t>für die Verkehrsanlagen sowie für die kreuzenden und einmündenden Straßen</t>
  </si>
  <si>
    <t>Nachweise der Leistungsfähigkeit der Verkehrsanlage, insbesondere der Knotenpunkte nach HBS (Handbuch für die Bemessung von Straßenverkehrsanlagen)</t>
  </si>
  <si>
    <t>Sicherheitsaudit</t>
  </si>
  <si>
    <t>Naturschutzrechtlicher Fachbeitrag</t>
  </si>
  <si>
    <t>Geotechnischer Fachbeitrag</t>
  </si>
  <si>
    <t>Immissionstechnischer Fachbeitrag</t>
  </si>
  <si>
    <t>In Ortslagen: städtebaulicher Fachbeitrag</t>
  </si>
  <si>
    <t>Verkehrstechnischer Fachbeitrag</t>
  </si>
  <si>
    <t>Erläutern des Entwurfs und Verhandeln mit Behörden u. a. an der Planung fachlich Beteiligten über die Genehmigungsfähigkeit
Einarbeiten der Ergebnisse der Fachbeiträge in den Entwurf z.B.:</t>
  </si>
  <si>
    <t>Kostenkontrolle durch Vergleich der Kostenberechnung mit der Kostenschätzung aus Leistungsphase 2</t>
  </si>
  <si>
    <t>Übernehmen und Einarbeiten der Ergebnisse der gesonderten Kostenberechnungen (z.B. LBP, Immissionsschutz, Verkehrstechnik)</t>
  </si>
  <si>
    <t>Gliedern der Kostenberechnung nach AKVS (Anweisung zur Kostenermittlung und Veranschlagung von Straßenbaumaßnahmen) 
oder nach Angaben des Auftraggebers</t>
  </si>
  <si>
    <t>Erkunden von Einheitspreisen</t>
  </si>
  <si>
    <t xml:space="preserve"> für höhenfreie Knoten</t>
  </si>
  <si>
    <t xml:space="preserve"> für begleitende Strecken</t>
  </si>
  <si>
    <t xml:space="preserve"> für kreuzende Strecken</t>
  </si>
  <si>
    <t xml:space="preserve"> für durchgehende Strecke</t>
  </si>
  <si>
    <t>Ermitteln der Sichtverhältnisse</t>
  </si>
  <si>
    <t>eine Verziehung, deren Abstände an den Stationen der Querprofile ermittelt werden</t>
  </si>
  <si>
    <t>korrespondierende Querprofile</t>
  </si>
  <si>
    <t>Trenninselspitzen</t>
  </si>
  <si>
    <t>Schnittpunkte</t>
  </si>
  <si>
    <t>senkrechte Abstände</t>
  </si>
  <si>
    <t>Berechnen der lagemäßigen Abhängigkeiten zweier Achsen als</t>
  </si>
  <si>
    <t>Berechnen der Achskleinpunkte</t>
  </si>
  <si>
    <t>für Achsen der begleitenden Strecken</t>
  </si>
  <si>
    <t>für Achsen der kreuzenden Strecken</t>
  </si>
  <si>
    <t>Berechnen der Achshauptpunkte</t>
  </si>
  <si>
    <t>Rechnerische Festlegung des Objekts</t>
  </si>
  <si>
    <t>für Achsen der durchgehenden Strecke</t>
  </si>
  <si>
    <t>die Verkehrsführung für das Projekt während der Bauzeit</t>
  </si>
  <si>
    <t>die Umfahrungen von örtlichen Arbeitsstellen</t>
  </si>
  <si>
    <t>die Übergänge vom Projekt auf den Bestand</t>
  </si>
  <si>
    <t>     </t>
  </si>
  <si>
    <t>Zusammenstellen des endgültigen Entwurfes mit Ergänzung der zusätzlich erarbeiteten Entwurfsunterlagen</t>
  </si>
  <si>
    <t>Aufbereiten der Entwurfsunterlagen für das öffentlich-rechtliche Genehmigungsverfahren
Aufstellen des Regelungsverzeichnisses gemäß RE 2012</t>
  </si>
  <si>
    <t>Aufstellen eines eigenständigen Grunderwerbsplanes;
Darstellen der zu erwerbenden, vorübergehend in Anspruch zu nehmenden und dauernd beschränkten Flächen im Grunderwerbsplan
Aufstellen des Grunderwerbsverzeichnisses gemäß RE 2012</t>
  </si>
  <si>
    <t>Umwelt- und Naturschutz</t>
  </si>
  <si>
    <t>Höhenpläne</t>
  </si>
  <si>
    <t xml:space="preserve"> Lagepläne</t>
  </si>
  <si>
    <t>Querprofile</t>
  </si>
  <si>
    <t>Straßenquerschnitte</t>
  </si>
  <si>
    <t>Übersichtslageplan</t>
  </si>
  <si>
    <t>Wasserrechtliche Belange</t>
  </si>
  <si>
    <t xml:space="preserve">Vom Auftraggeber benannte Sonderpläne: </t>
  </si>
  <si>
    <t>Abstimmen mit Behörden</t>
  </si>
  <si>
    <t>Verhandeln mit Behörden und Einholung der Genehmigung (z.B. wasserrechtliche Genehmigung)</t>
  </si>
  <si>
    <t>Teilnahme an Bürgersprechstunden und Erörterungsterminen
Protokollführung; Vor- und Nachbereitung der Termine</t>
  </si>
  <si>
    <t>·</t>
  </si>
  <si>
    <t>Berechnungen des Deckenbuches</t>
  </si>
  <si>
    <t>für Achsen der durchgehenden Strecke, Intervall in [m]:</t>
  </si>
  <si>
    <t>für Achsen der kreuzenden Strecke, Intervall in [m]:</t>
  </si>
  <si>
    <t>für Achsen der begleitenden  Strecke, Intervall in [m]:</t>
  </si>
  <si>
    <t>für kreuzende Strecken, Intervall in [m]:</t>
  </si>
  <si>
    <t>für durchgehende Strecken, Intervall in [m]:</t>
  </si>
  <si>
    <t>für  begleitende Stecken, Intervall in [m]:</t>
  </si>
  <si>
    <t xml:space="preserve"> zusätzlich an den Stationen der im Intervall nicht erfassten Querprofile </t>
  </si>
  <si>
    <t>Berechnungen des Planumbuches</t>
  </si>
  <si>
    <t>für durchgehende Strecke</t>
  </si>
  <si>
    <t>für kreuzende Strecken</t>
  </si>
  <si>
    <t>für begleitende Strecken</t>
  </si>
  <si>
    <t>Aufbereiten der Entwurfsunterlagen für die Ausführung</t>
  </si>
  <si>
    <t xml:space="preserve">Bearbeiten der Querschnitte der Verkehrsanlage (in Ortslagen: Bearbeiten der Querschnitte des gesamten Straßenraums) im Maßstab 1 : ...     </t>
  </si>
  <si>
    <t>Ausarbeiten der Höhenpläne im Maßstab 1 : …</t>
  </si>
  <si>
    <t>Ausarbeiten der Querprofile im Maßstab 1 : …</t>
  </si>
  <si>
    <t>Übersichtslageplan, Maßstab 1 : …</t>
  </si>
  <si>
    <t xml:space="preserve">Straßenquerschnitte, Maßstab 1 : ... </t>
  </si>
  <si>
    <t>Lagepläne, Maßstab 1 : …</t>
  </si>
  <si>
    <t>Höhenpläne, Maßstab 1 : …</t>
  </si>
  <si>
    <t>Aufbereiten der Querprofile für die Ausführung</t>
  </si>
  <si>
    <t>Herstellen sonstiger Pläne</t>
  </si>
  <si>
    <t>Knotendetailpläne</t>
  </si>
  <si>
    <t>Schutz- und Leiteinrichtungen</t>
  </si>
  <si>
    <t>Markierungs- und Beschilderungspläne</t>
  </si>
  <si>
    <t>Sonstige vom Auftraggeber benannte Planunterlagen:</t>
  </si>
  <si>
    <t>einschließlich des Verkehrsführungskonzeptes</t>
  </si>
  <si>
    <t>Vervollständigen der Ausführungsplanung während der Objektausführung</t>
  </si>
  <si>
    <t>Aufstellen der Vergabeunterlagen auf der Grundlage der Ergebnisse der vorausgehenden Leistungsphasen sowie unter Berücksichtigung der Auflagen aus einem Genehmigungsverfahren und Vereinbarungen mit Dritten
Erstellen des Vergabevermerkes
Aufstellen der Leistungsbeschreibung mit Baubeschreibung und Leistungsverzeichnis
Die für die Ausschreibung erforderlichen Vordrucke sind zu ergänzen und sämtliche Vergabeunterlagen nach VHB Bayern zusammenzustellen.</t>
  </si>
  <si>
    <t>Für die hier zu erstellenden Vergabeunterlagen werden noch folgende Bautätigkeiten durch den AG beauftragt bzw. die Beauftragung vorbereitet:</t>
  </si>
  <si>
    <t>Festlegen der wesentlichen Ausführungsphasen</t>
  </si>
  <si>
    <t>Bepreisen des erstellten Leistungsverzeichnisses anhand ortsüblicher Preise</t>
  </si>
  <si>
    <t>In der Kostenkontrolle festgestellte Abweichungen sind zu dokumentieren und zu begründen.
Die Kosten sind ggf. fortzuschreiben.</t>
  </si>
  <si>
    <t>Aufstellen der übrigen Unterlagen für die Vergabe von Bauleistungen
Zusammenstellen der Verdingungsunterlagen für alle Leistungsbereiche. Dies umfasst die Erstellung eines kopier- und versandfertigen Vergabeunterlagen-Exemplars.
Anforderungen für die digitale Vergabe:</t>
  </si>
  <si>
    <t xml:space="preserve">Aufstellen der Bekanntmachung der Bauleistung </t>
  </si>
  <si>
    <t>Vorbereiten von Aufklärungsgesprächen inklusive Erstellen der erforderlichen Schriftstücke
Protokollieren des Aufklärungsgespräches, Vor- und Nachbereitung des Gesprächs</t>
  </si>
  <si>
    <t xml:space="preserve">Fertigstellung des Vergabevermerkes </t>
  </si>
  <si>
    <t>Erstellen der Vergabevorschläge, Dokumentation des Vergabeverfahrens</t>
  </si>
  <si>
    <t>Vorbereiten der Unterlagen für die Zuschlagserteilung sowie die Erstellung aller erforderlichen Schriftstücke zum Abschließen des Verfahrens</t>
  </si>
  <si>
    <t>Mitwirken bei der Auftragserteilung</t>
  </si>
  <si>
    <t>Überwachen der vertraglich vereinbarten Termine und Fristen</t>
  </si>
  <si>
    <t>Aufstellen, Fortschreiben und Überwachen eines Terminplans (Balkendiagramm)</t>
  </si>
  <si>
    <t>Kostenfeststellung, Vergleich der Kostenfeststellung mit der Auftragssumme</t>
  </si>
  <si>
    <t>Laufende Kontrolle über die zu erwartende Abrechnungssumme und Information des AG.
Abweichungen der Kosten sind zu dokumentieren und zu begründen.</t>
  </si>
  <si>
    <t xml:space="preserve">Antrag auf behördliche Abnahmen und Teilnahme daran
</t>
  </si>
  <si>
    <t>Vorbereitung und Teilnahme an behördlichen Abnahmen (z.B. Verkehrsbehörde, Feuerwehr) einschließlich Fertigung der Niederschrift über die Ergebnisse</t>
  </si>
  <si>
    <t>Überwachen der Prüfungen der Funktionsfähigkeit der Anlagenteile und der Gesamtanlage in Abstimmung mit anderen an der Ausführung fachlich Beteiligten</t>
  </si>
  <si>
    <r>
      <t>Übergabe des Objekts</t>
    </r>
    <r>
      <rPr>
        <i/>
        <sz val="8"/>
        <color rgb="FF0070C0"/>
        <rFont val="Arial"/>
        <family val="2"/>
      </rPr>
      <t/>
    </r>
  </si>
  <si>
    <t>Auflisten der Verjährungsfristen der Mängelansprüche</t>
  </si>
  <si>
    <t>Mitwirken bei der Freigabe von Sicherheitsleistungen</t>
  </si>
  <si>
    <t>zu Leistungsphase 1</t>
  </si>
  <si>
    <t>zu Leistungsphase 2</t>
  </si>
  <si>
    <t>zu Leistungsphase 3</t>
  </si>
  <si>
    <t>zu Leistungsphase 4</t>
  </si>
  <si>
    <t>zu Leistungsphase 5</t>
  </si>
  <si>
    <t>zu Leistungsphase 6</t>
  </si>
  <si>
    <t>zu Leistungsphase 7</t>
  </si>
  <si>
    <t xml:space="preserve">Kostenkontrolle
</t>
  </si>
  <si>
    <t xml:space="preserve">Prüfen von Nachträgen 
</t>
  </si>
  <si>
    <t>zu Leistungsphase 8</t>
  </si>
  <si>
    <t>Überwachen der Ausführung von Tragwerken</t>
  </si>
  <si>
    <t>zu Leistungsphase 9</t>
  </si>
  <si>
    <t>Prüfung des Nachtragsangebotes</t>
  </si>
  <si>
    <t>Einholen von Nachweisen und ggf. erforderlichen Aufklärungen des Bau-AN</t>
  </si>
  <si>
    <t>Vorbereitung und Protokollierung von Nachtragsverhandlungen</t>
  </si>
  <si>
    <t>Dokumentation des Nachtragsvorgangs</t>
  </si>
  <si>
    <t xml:space="preserve">Erstellen von Bestandsplänen
</t>
  </si>
  <si>
    <t xml:space="preserve">Bei Verkehrsanlagen:
Erstellen von Bestandsplänen für folgende Verkehrsanlagen: </t>
  </si>
  <si>
    <t>Mitwirken beim Einweisen des Bauauftragnehmers in die Baumaßnahme (Bauanlaufbesprechung)</t>
  </si>
  <si>
    <t>Entwurf des Nachtrags (u. a. Erstellen des Nachtrags-LVs in GAEB-Format 
(DA 83))</t>
  </si>
  <si>
    <t>Regional- und Landschaftsplanung</t>
  </si>
  <si>
    <t>wasserwirtschaftliche Fachplanungen</t>
  </si>
  <si>
    <t>Zusammenfassen, Erläutern und Dokumentieren der Ergebnisse</t>
  </si>
  <si>
    <t>Ortsbesichtigung</t>
  </si>
  <si>
    <t>Überarbeiten des Planungskonzepts nach Bedenken und Anregungen</t>
  </si>
  <si>
    <t>Kostenschätzung, Vergleich mit den finanziellen Rahmenbedingungen</t>
  </si>
  <si>
    <t>Überschlägige Festlegung der Abmessungen von Ingenieurbauwerken</t>
  </si>
  <si>
    <t>Bauzeiten- und Kostenplan</t>
  </si>
  <si>
    <t>Ermittelte
Punktzahl</t>
  </si>
  <si>
    <t>vom Auftraggeber genannte Sonderpläne:</t>
  </si>
  <si>
    <t>3.1</t>
  </si>
  <si>
    <t>Angabe der Baukosten</t>
  </si>
  <si>
    <t>Berechnung der Anrechenbaren Kosten für Leistungsphase 1 bis 7 und 9</t>
  </si>
  <si>
    <t>6.1</t>
  </si>
  <si>
    <t>7.3</t>
  </si>
  <si>
    <t>7.4</t>
  </si>
  <si>
    <t>7.5</t>
  </si>
  <si>
    <t>11.4</t>
  </si>
  <si>
    <t>11.5</t>
  </si>
  <si>
    <t xml:space="preserve">Summe </t>
  </si>
  <si>
    <t>5</t>
  </si>
  <si>
    <t>6</t>
  </si>
  <si>
    <t>7</t>
  </si>
  <si>
    <t>8</t>
  </si>
  <si>
    <t>9</t>
  </si>
  <si>
    <t>10</t>
  </si>
  <si>
    <t>11</t>
  </si>
  <si>
    <t>12</t>
  </si>
  <si>
    <t>Grundleistungen</t>
  </si>
  <si>
    <t>Besondere Leistungen</t>
  </si>
  <si>
    <t>Nebenkosten</t>
  </si>
  <si>
    <t>MwSt.</t>
  </si>
  <si>
    <t xml:space="preserve">Bewertung </t>
  </si>
  <si>
    <t>Objektbetreuung</t>
  </si>
  <si>
    <t>Grundlagenermittlung</t>
  </si>
  <si>
    <t>Zusätzliche Angaben zum Vertrag</t>
  </si>
  <si>
    <t>Fachlich Verantwortlicher</t>
  </si>
  <si>
    <t>Zu den auszuwertenden Unterlagen gehören neben dem Planfeststellungsbeschluss mit seinen Anlagen (insbesondere der LBP, das Bauwerksverzeichnis, Grunderwerbsplan und Grunderwerbsverzeichnis) auch die Unterlagen zur FFH-VP sowie Vereinbarungen mit Dritten.</t>
  </si>
  <si>
    <t>Berechnungen:</t>
  </si>
  <si>
    <t>Entwurfsunterlagen:</t>
  </si>
  <si>
    <t>8.1</t>
  </si>
  <si>
    <t>15.1</t>
  </si>
  <si>
    <t>Leistungsphasen</t>
  </si>
  <si>
    <t>Vorbereitung der Vergabe</t>
  </si>
  <si>
    <t xml:space="preserve">Umfang der Funktionsbereiche oder der konstruktiven oder technischen Anforderungen
</t>
  </si>
  <si>
    <t>Planungen Dritter:</t>
  </si>
  <si>
    <t>Beschaffen und Auswerten amtlicher Karten</t>
  </si>
  <si>
    <t>Beschaffen und Auswerten der zur Lösung der Aufgabenstellung notwendigen Unterlagen nach Abstimmung mit dem Auftraggeber, sowie Durchführen ergänzender örtlicher Erkundungen (Abgleich mit der Örtlichkeit)</t>
  </si>
  <si>
    <t>Analysieren der Grundlagen</t>
  </si>
  <si>
    <t>Konkretisieren der Planungsziele unter Berücksichtigung der Randbedingungen und der Fachbeiträge (z.B. UVS bzw. in Ortslagen: städtebaulicher Fachbeitrag)</t>
  </si>
  <si>
    <t>auf Durchführbarkeit, sowie skizzieren verschiedener Lösungsmöglichkeiten und Erläutern der wesentlichen Vor- und Nachteile
Überschlägige Mengen- und Kostenermittlung der Varianten anhand von Erfahrungswerten</t>
  </si>
  <si>
    <t>Überschlägige verkehrstechnische Bemessung der Verkehrsanlage</t>
  </si>
  <si>
    <t>Ermitteln der Schallimmissionen von der Verkehrsanlage an kritischen Stellen nach Tabellenwerten
Untersuchen der möglichen Schallschutzmaßnahmen, ausgenommen detaillierte schalltechnische Untersuchungen</t>
  </si>
  <si>
    <t>Aufzeigen der wesentlichen fachspezifischen Sachverhalte, die die Aufgabenstellung beeinflussen mit Angabe der Konsequenzen für die Aufgabenstellung
Festlegung der Vorzugsvariante</t>
  </si>
  <si>
    <t>unter Berücksichtigung von Zwangspunkten wie Zufahrten und Zugänge, vorhandene und geplante Ver- und Entsorgungsanlagen</t>
  </si>
  <si>
    <t>Entwerfen der Straßenentwässerung; Bemessen und Eintragen in den Straßenentwurf</t>
  </si>
  <si>
    <t>Aufbereiten der Entwurfsunterlagen aus der Leistungsphase 3 für das öffentlich-rechtliche Genehmigungsverfahren in Hinblick auf z.B.</t>
  </si>
  <si>
    <t xml:space="preserve">Durcharbeiten der Ergebnisse der Leistungsphasen 3 und 4 (stufenweise Erarbeitung und Darstellung der Lösung) unter Berücksichtigung aller fachspezifischen Anforderungen und Verwendung der Fachbeiträge bis zur ausführungsreifen Lösung 
Hierzu gehört auch das Zusammenstellen, Auswerten und Berücksichtigen der umweltrelevanten Vorgaben, die sich aus dem allgemeinen Umweltrecht ergeben. </t>
  </si>
  <si>
    <t>Nachvollziehbare Ermittlung der Mengen für die geplante Bauleistung anhand der vorliegenden Bestands- und Ausführungsunterlagen einschließlich Massenbilanz für die Kostenfortschreibung</t>
  </si>
  <si>
    <t>Diese Bautätigkeiten sind mit den zu beschreibenden Leistungen abzugleichen. Auswirkungen auf den Bauablauf sind zu erfassen und zu optimieren. Änderungsmöglichkeiten in den anderen Bauausschreibungen sind dem AG aufzuzeigen (z.B. zum Vermeiden von Mehrfachbeauftragungen). 
Aufnahme der Ergebnisse aus Abstimmung und Koordination der anderen Leistungsbeschreibungen in die zu erstellende Leistungsbeschreibung</t>
  </si>
  <si>
    <t>Festlegen der grundsätzlichen Gliederung der Vergabeunterlagen in Abschnitte (Lose) und der wesentlichen Ausführungsphasen in Abstimmung mit dem AG</t>
  </si>
  <si>
    <t>Erarbeiten eines Prüfungs- und Wertungsvorschlages der Angebote
Fortschreibung des Vergabevermerkes</t>
  </si>
  <si>
    <t>Veranlassen und Mitwirken daran, die ausführenden Unternehmen in Verzug zu setzen einschließlich Entwurf des Verzugsschreibens</t>
  </si>
  <si>
    <t>Fachliche Bewertung der festgestellten Mängel auf der Grundlage der Schadensfeststellungen während der Verjährungsfristen
Die maßgebenden Verjährungsfristen ergeben sich aus den Verträgen.</t>
  </si>
  <si>
    <t>Begehen des Objektes mit den ausführenden Unternehmen und dem AG zur Mängelfeststellung vor Ablauf der Verjährungsfristen für Mängelansprüche</t>
  </si>
  <si>
    <t>Bewertung, ob die Sicherheitsbürgschaft zurückgegeben werden kann oder eine erneute Bürgschaft gemäß VHB Bayern zu hinterlegen ist</t>
  </si>
  <si>
    <t>Untersuchen der Lösungen in Lage und Höhe
Ausarbeiten maßgebender Straßenquerschnitte</t>
  </si>
  <si>
    <t xml:space="preserve">Kontrolle der Kosten während der Baudurchführung: 
Verfolgung der Kostenentwicklung der einzelnen Verträge und der einzelnen Baulose sowie deren Auswirkung auf die Kosten der Gesamtmaßnahme 
Dabei ist abzuschätzen, wie sich die Kostenänderungen in Einzelbereichen auf die Gesamtmaßnahme auswirken (Kostenprognose). Die Ursache der Kostenänderung der einzelnen Verträge und der einzelnen Baulose sind zu ergründen und auf ihre Auswirkungen auf die anderen Verträge und Baulose zu überprüfen. Der Auftraggeber ist laufend zu unterrichten. </t>
  </si>
  <si>
    <t>Anrechenbare Kosten</t>
  </si>
  <si>
    <t>EURO</t>
  </si>
  <si>
    <t xml:space="preserve">Katasterdaten beschaffen, soweit nicht aus der vorlaufenden planungsbegleitenden Vermessung vorliegend </t>
  </si>
  <si>
    <t>Überschlägiges Ermitteln der Bauzeit und Erstellen eines Bauzeitenplans
Der Bauablauf ist unter Berücksichtigung natur- und umweltschutzfachlicher sowie anderer Erfordernisse, z.B. arbeits-schutzrechtlicher Regelungen, festzulegen.
Aufstellen eines Finanzierungsplans und Ermittlung des jährlichen Mittelbedarfs
Ermittlung der Verteilung der Gesamtkosten auf die beteiligten Kostenträger gemäß gesetzlicher Regelungen oder sonstigen Vereinbarungen mit Dritten</t>
  </si>
  <si>
    <t>Ermitteln des Leistungsumfangs und Festlegen ergänzender Fachleistungen in Abstimmung mit dem Auftraggeber</t>
  </si>
  <si>
    <t>Einholen von Stellungnahmen zu Nebenangeboten oder sonstigen fachspezifischen Leistungsinhalten der Angebote</t>
  </si>
  <si>
    <t>Aufstellung und Bearbeitung von Daten zur Verfolgung von Mängelansprüche (z.B. Fristenblatt gemäß VHB Bayern)</t>
  </si>
  <si>
    <t>Zusammenstellen und Übergabe von Unterlagen für die Rechnungslegung gemäß VHB Bayern für das Objekt. 
Hierzu gehören u. a. Unterlagen zur Baustoff- und Bauteilprüfung, Wartungsvorschriften, Bautagebuch und Bautagesberichte und sonstige objektspezifische Unterlagen.</t>
  </si>
  <si>
    <t>Zusammenstellen der Vorplanungsergebnisse in schriftlicher und zeichnerischer Form
(Übersichtskarte, Übersichtslageplan, Übersichtshöhenplan, vereinfachter Regelquerschnitt) mit Erläuterung der endgültigen Vorzugsvariante 
Es ist darzustellen, welche Varianten betrachtet wurden, aus welchem Grund sie untersucht wurden und welche Varianten aus welchem Grund wieder fallengelassen wurden.</t>
  </si>
  <si>
    <t>Ausarbeiten des Lageplanes der Verkehrsanlage (in Ortslagen: mit Darstellung des gesamten Straßenraumes)
im Maßstab1 : …</t>
  </si>
  <si>
    <t>Termin vorbereiten (Vorschlag zum Besprechungsablauf; Erläuterung des Entwurfs), Protokollführung, 
Termin nachbereiten
Einarbeiten der Ergebnisse der vorgebrachten Anregungen und Hinweise in den Entwurf
Erläutern des Entwurfs vor politischen Gremien und Bürgerversammlungen</t>
  </si>
  <si>
    <t>Anrechenbare Kosten EURO</t>
  </si>
  <si>
    <t>sehr gering</t>
  </si>
  <si>
    <t>gering</t>
  </si>
  <si>
    <t>durchschnittlich</t>
  </si>
  <si>
    <t>hoch</t>
  </si>
  <si>
    <t>sehr hoch</t>
  </si>
  <si>
    <t>Zone 1 
Min
EURO</t>
  </si>
  <si>
    <t>Zone 2 
Min
EURO</t>
  </si>
  <si>
    <t>Zone 3 
Min
EURO</t>
  </si>
  <si>
    <t>Zone 4  
Min
EURO</t>
  </si>
  <si>
    <t>Zone 5 
Min
EURO</t>
  </si>
  <si>
    <t>Zone 5 
Max
EURO</t>
  </si>
  <si>
    <t>Kosten
EURO</t>
  </si>
  <si>
    <t>Honorar Min
EURO</t>
  </si>
  <si>
    <t>Honorar Max
EURO</t>
  </si>
  <si>
    <t>Ergebnis
EURO</t>
  </si>
  <si>
    <t>In der Kostenkontrolle festgestellte Abweichungen (Kosten gemäß Preisspiegel / Loh 6 e) sind zu dokumentieren und zu begründen. Die Kosten sind ggf. fortzuschreiben.</t>
  </si>
  <si>
    <t>Mitwirkung bei der Übergabe des Objektes durch den AG an den/die Baulastträger einschließlich Zusammenstellung und Übergabe der erforderlichen Unterlagen gemäß VHB Bayern in Abstimmungen mit dem AG</t>
  </si>
  <si>
    <t>10.1</t>
  </si>
  <si>
    <t>3.2</t>
  </si>
  <si>
    <t>18.1</t>
  </si>
  <si>
    <t>Stunden für Leistungsänderungen</t>
  </si>
  <si>
    <t>Minderung aufgrund Wiederholung um</t>
  </si>
  <si>
    <t>Prozentsatz</t>
  </si>
  <si>
    <r>
      <t xml:space="preserve">Kosten der Baukonstruktion 
</t>
    </r>
    <r>
      <rPr>
        <u/>
        <sz val="8"/>
        <color theme="1"/>
        <rFont val="Arial"/>
        <family val="2"/>
      </rPr>
      <t/>
    </r>
  </si>
  <si>
    <t>6.2</t>
  </si>
  <si>
    <t>Summe fiktiver Aufwandsansatz</t>
  </si>
  <si>
    <t xml:space="preserve">Reisekosten </t>
  </si>
  <si>
    <t>EURO/h netto</t>
  </si>
  <si>
    <t xml:space="preserve">Sonstige Vereinbarungen: </t>
  </si>
  <si>
    <t xml:space="preserve">Entwurf des Nachtragsauftragsschreibens einschließlich erstellen des Auftrags-LVs in GAEB-Format (DA 86) </t>
  </si>
  <si>
    <t>Zusammenstellen der Vergabeunterlagen *</t>
  </si>
  <si>
    <t>Einholen von Angeboten *</t>
  </si>
  <si>
    <t>Prüfen und Werten der Angebote, Aufstellen der Preisspiegel *</t>
  </si>
  <si>
    <t>Führen von Bietergesprächen *</t>
  </si>
  <si>
    <t xml:space="preserve">Mitwirken beim Zusammenstellen der Vertragsunterlagen für alle Leistungsbereiche </t>
  </si>
  <si>
    <t>zur Herbeiführung der Vergleichbarkeit der Angebote</t>
  </si>
  <si>
    <t>Zusammenstellen der Vertragsunterlagen *</t>
  </si>
  <si>
    <t xml:space="preserve">Geologische und baugrundtechnische Gegebenheiten
</t>
  </si>
  <si>
    <r>
      <t xml:space="preserve">durch Bepunktung </t>
    </r>
    <r>
      <rPr>
        <sz val="8"/>
        <color theme="1"/>
        <rFont val="Arial"/>
        <family val="2"/>
      </rPr>
      <t>gem § 48 (3) und (4) HOAI</t>
    </r>
  </si>
  <si>
    <t>netto</t>
  </si>
  <si>
    <r>
      <t xml:space="preserve">Honorarzone </t>
    </r>
    <r>
      <rPr>
        <sz val="8"/>
        <color theme="1"/>
        <rFont val="Arial"/>
        <family val="2"/>
      </rPr>
      <t xml:space="preserve">gem. § 48 (2) HOAI </t>
    </r>
  </si>
  <si>
    <t>Bearbeiten von Nachträgen gemäß VHB Bayern u. a.</t>
  </si>
  <si>
    <t xml:space="preserve">Örtliche Bauüberwachung (BÜ) Verkehrsanlagen
</t>
  </si>
  <si>
    <t>Im Rahmen der o.g. allgemein beschriebenen Leistung sind insbesondere folgende Teilleistungen zu erbringen:</t>
  </si>
  <si>
    <t>Plausibilitätsprüfung bei der Absteckung,</t>
  </si>
  <si>
    <t>Führen von Bautagebüchern gem. VHB und Fotodokumentation des Bauablaufes (insbesondere der nach Fertigstellung der Baumaßnahme überbauten bzw. verdeckten Bauteile)</t>
  </si>
  <si>
    <t>Überwachung des Nachunternehmereinsatzes auf Übereinstimmung mit den im Bauvertrag genannten Nachunternehmern</t>
  </si>
  <si>
    <t>Dokumentation der Behinderungen und Unterbrechung der Ausführung, sowie Leistungs-/bzw. Mengenänderungen im Bautagebuch,</t>
  </si>
  <si>
    <t>Mitwirken bei der Bearbeitung von Vertragsänderungen und -ergänzungen (Sachverhaltsdarstellung, Prüfung auf Vollständigkeit der Nachtragsangebote)</t>
  </si>
  <si>
    <t>Prüfung der Aufmaße, Mengenberechnungen und Rechnungen sowie sonstiger zahlungsbegründender Unterlagen und Nachweise (Wiegescheine, Lieferscheine, Stundenlohnzettel, usw.)</t>
  </si>
  <si>
    <t>Mitwirken bei behördlichen Abnahmen (z. B. Verkehrsbehörde, Feuerwehr)</t>
  </si>
  <si>
    <t>Überwachen der Beseitigung der bei der Abnahme der Leistung festgestellten Mängel</t>
  </si>
  <si>
    <t>Fortschreibung der zahlungsbegründenden Unterlagen im Hinblick auf die Schlussrechnungslegung und –prüfung,</t>
  </si>
  <si>
    <t>Laufende Beurteilung  und Information an den Auftraggeber über zu 
erwartende Abrechnungssumme.</t>
  </si>
  <si>
    <t>Überwachung der bauvertragsgemäßen Entsorgung gefährlicher Abfälle i. S. d. KrWG.</t>
  </si>
  <si>
    <t>Dokumentieren des Ist- Zustandes der Bautabuflächen vor Baubeginn (Fotodokumentation, Beschreibung des aktuellen Nutzungszustands), die für die Bauarbeiten nicht oder nur zeitlich begrenzt in Anspruch genommen oder in sonstiger Form nicht beeinträchtigt werden dürfen und Kontrolle dieser Flächen während des Bauablaufs</t>
  </si>
  <si>
    <t>Hinweise auf spezielle, eventuell erst bei der Bauausführung erkennbare relevante Vermeidungs- und Schutzmaßnahmen. Abstimmen mit dem Auftraggeber und ggf. den zuständigen Behörden</t>
  </si>
  <si>
    <t>Mitwirken bei der Klärung von Schadensfällen, die Umweltbeeinträchtigungen hervorgerufen haben</t>
  </si>
  <si>
    <t>Mitwirken bei der Abnahme der Bauleistungen mit umweltrelevanten Wirkungen und ggf. der Mängelbeseitigung</t>
  </si>
  <si>
    <t>Prüfung von Rechnungen von bzw. an Dritte</t>
  </si>
  <si>
    <t>Prüfung von Kostenanteilen Dritter (z.B. bei EKrG-Maßnahmen)</t>
  </si>
  <si>
    <t>Beraten und Aufklären der an der Baumaßnahme interessierten Stellen (z.B. Naturschutzbehörden und –verbände) und Betroffenen (z.B. Anlieger) über Art, räumlichen und zeitlichen Umfang, Sinn und Zweck von umweltfachlichen Maßnahmen</t>
  </si>
  <si>
    <t>Dokumentieren der erbrachten Leistungen der Umweltbaubegleitung in Begehungs- und Besprechungsprotokollen. Diese sollen mindestens Angaben enthalten zu:</t>
  </si>
  <si>
    <t>Örtlichkeit</t>
  </si>
  <si>
    <t>Art, Umfang und Begründung der Auflage bzw. Baumaßnahme</t>
  </si>
  <si>
    <t>Umsetzung und Termin</t>
  </si>
  <si>
    <t>Kontrollen nach Art, Umfang und Zeitpunkt</t>
  </si>
  <si>
    <t>ggf. Hinweise auf verbleibende Mängel bzw. weiter zu veranlassende Maßnahmen</t>
  </si>
  <si>
    <t>Nachweise, Dokumentation</t>
  </si>
  <si>
    <t>Dokumentieren des umweltrelevanten Bauablaufs und Zusammenstellen der Ergebnisse durchgeführter Maßnahmen (Protokolle, Vermerke, Fotos), besonders im Hinblick auf künftige Maßnahmen</t>
  </si>
  <si>
    <t>Gemeinsame Aufmaße mit den bauausführenden Unternehmen</t>
  </si>
  <si>
    <t>Überwachung der Räumungs- und Rekultivierungsmaßnahmen der Baustelle und der Baubetriebsflächen</t>
  </si>
  <si>
    <t>Die örtliche Bauüberwachung bei Verkehrsanlagen umfasst das Überwachen der Ausführung des Objektes auf Übereinstimmung mit den zur Ausführung freigegebenen Unterlagen, dem Bauvertrag,  einschließlich der darin festgelegten Termine oder Fristen, sowie den allgemein anerkannten Regeln der Technik und den einschlägigen Vorschriften unter Berücksichtigung umweltfachlicher Vorgaben.</t>
  </si>
  <si>
    <t>Mitwirken beim Überwachen der Prüfung der Funktionsfähigkeit der 
Anlagenteile und der Gesamtanlage und beim Zusammenstellen der im Bauvertrag geforderten Unterlagen (z.B. Funktionsfähigkeit einer Straßenanlage vor Verkehrsfreigabe)</t>
  </si>
  <si>
    <t>Hinweise zur Bedienung für den Bieter</t>
  </si>
  <si>
    <t>3.09</t>
  </si>
  <si>
    <t>Berechnung der Anrechenbaren Kosten für Leistungsphase 8</t>
  </si>
  <si>
    <t>Bei gemeinsamer Durchführung von Baumaßnahmen mit Dritten</t>
  </si>
  <si>
    <t>8.09</t>
  </si>
  <si>
    <t>8.10</t>
  </si>
  <si>
    <t>Mitwirkung bei der Überwachung der vertraglich vereinbarten Termine und Fristen einschließlich der Überwachung der angemessenen Förderung der Ausführung (z. B. durch ausreichende Arbeitskräfte, Geräte, Gerüste, Stoffe oder Bauteile)</t>
  </si>
  <si>
    <t>Verlangen bzw. Veranlassung und Auswertung der Eignungs-, Eigenüberwachungs- und ggf. Fremdüberwachungsprüfungen</t>
  </si>
  <si>
    <t>Mitwirken bei der bauvertraglichen Abnahme von Leistungen und Lieferungen</t>
  </si>
  <si>
    <t>Prüfung der Schlussrechnung inkl. Zusammenstellung der rechnungsbegründenden Unterlagen gem. VHB</t>
  </si>
  <si>
    <t>Wertung Honorarangebot über fiktiven Aufwandsansatz</t>
  </si>
  <si>
    <t>z.B. Mehrfertigungen</t>
  </si>
  <si>
    <t>(&lt;&gt; HT)</t>
  </si>
  <si>
    <t>Angaben zur Art des Honorars</t>
  </si>
  <si>
    <t>(Eingabe mehrfach)</t>
  </si>
  <si>
    <t>(Keine Eingabe)</t>
  </si>
  <si>
    <t>(= HT)</t>
  </si>
  <si>
    <t>(Eingabe richtig)</t>
  </si>
  <si>
    <t>Bieter:</t>
  </si>
  <si>
    <t>§ 7 (1)</t>
  </si>
  <si>
    <t>(Felder werden nur rot, wenn Vorgabe durch AG erfolgt ist)</t>
  </si>
  <si>
    <t>Entsprechend der Unverbindlichkeit der Honorarsätze kann vom Bieter eine Erhöhung oder Minderung des Honorars in Prozent angeboten werden.</t>
  </si>
  <si>
    <t>pauschal in Prozent des Nettohonorars:</t>
  </si>
  <si>
    <t>insgesamt pauschal in EURO:</t>
  </si>
  <si>
    <t>Ergänzende Vereinbarung zu den Nebenkosten</t>
  </si>
  <si>
    <t>Minderung des Basishonorars:</t>
  </si>
  <si>
    <t>Erhöhung des Basishonorars:</t>
  </si>
  <si>
    <t>zzgl. MwSt.</t>
  </si>
  <si>
    <t>Basishonorarsatz</t>
  </si>
  <si>
    <t>Oberer Honorarsatz</t>
  </si>
  <si>
    <t>3.10</t>
  </si>
  <si>
    <t>3.11</t>
  </si>
  <si>
    <t>3.12</t>
  </si>
  <si>
    <t>3.13</t>
  </si>
  <si>
    <t>3.14</t>
  </si>
  <si>
    <t>3.15</t>
  </si>
  <si>
    <t>2.08</t>
  </si>
  <si>
    <t>2.09</t>
  </si>
  <si>
    <t>2.10</t>
  </si>
  <si>
    <t>4.04</t>
  </si>
  <si>
    <t>4.05</t>
  </si>
  <si>
    <t>zuzüglich:</t>
  </si>
  <si>
    <t>Begründung:</t>
  </si>
  <si>
    <t>abzüglich:</t>
  </si>
  <si>
    <t>Projektgrundlagen</t>
  </si>
  <si>
    <t>Bezeichnung Tabellenblatt:</t>
  </si>
  <si>
    <t>Projektgrundlagen / Hinweise</t>
  </si>
  <si>
    <t>Maßnahmennr:</t>
  </si>
  <si>
    <t>Vergabenr.:</t>
  </si>
  <si>
    <t>Maßnahme:</t>
  </si>
  <si>
    <t>Angaben zur Maßnahme</t>
  </si>
  <si>
    <t>Fachbereich</t>
  </si>
  <si>
    <t>1.1</t>
  </si>
  <si>
    <t>Straßenbau</t>
  </si>
  <si>
    <t>1.2</t>
  </si>
  <si>
    <t>Hochbau</t>
  </si>
  <si>
    <t>Finanzierung</t>
  </si>
  <si>
    <t>2.1</t>
  </si>
  <si>
    <t>Landesmaßnahme / Dritte</t>
  </si>
  <si>
    <t>2.2</t>
  </si>
  <si>
    <t>Bundesmaßnahme</t>
  </si>
  <si>
    <t>Teil dieser Angebotsabfrage, -erstellung und Abrechnung sind:</t>
  </si>
  <si>
    <t>Steuerung Arbeitsmappe:</t>
  </si>
  <si>
    <t>Teil</t>
  </si>
  <si>
    <t>Inhalt</t>
  </si>
  <si>
    <r>
      <t>Bezeichnung Tabellenblatt</t>
    </r>
    <r>
      <rPr>
        <sz val="10"/>
        <color theme="1"/>
        <rFont val="Arial"/>
        <family val="2"/>
      </rPr>
      <t xml:space="preserve"> </t>
    </r>
    <r>
      <rPr>
        <sz val="8"/>
        <color theme="1"/>
        <rFont val="Arial"/>
        <family val="2"/>
      </rPr>
      <t>(mit Link)</t>
    </r>
  </si>
  <si>
    <t>A</t>
  </si>
  <si>
    <t>Ermittlung der anrechenbaren Kosten</t>
  </si>
  <si>
    <t>Hochbau  Land</t>
  </si>
  <si>
    <t>B</t>
  </si>
  <si>
    <t>Ermittlung der Honorarzone</t>
  </si>
  <si>
    <t>Hochbau  Bund</t>
  </si>
  <si>
    <t>StB-C1</t>
  </si>
  <si>
    <t>Festlegung der Grundleistungen Straßenbau</t>
  </si>
  <si>
    <t>HB-C1</t>
  </si>
  <si>
    <t>Festlegung der Grundleistungen Hochbau - Land</t>
  </si>
  <si>
    <t>HB-C2</t>
  </si>
  <si>
    <t>Festlegung der Grundleistungen Hochbau - Bund</t>
  </si>
  <si>
    <t>StB-D1</t>
  </si>
  <si>
    <t>Festlegung der Besonderen Leistungen Straßenbau</t>
  </si>
  <si>
    <t>HB-D1</t>
  </si>
  <si>
    <t>HB-D2</t>
  </si>
  <si>
    <t>E</t>
  </si>
  <si>
    <t>Berechnung des Honorars</t>
  </si>
  <si>
    <t>F</t>
  </si>
  <si>
    <t>Honorarübersicht</t>
  </si>
  <si>
    <t>G</t>
  </si>
  <si>
    <t>Abrechnung des Honorars</t>
  </si>
  <si>
    <t>H</t>
  </si>
  <si>
    <t>Hinweise zur Bedienung für den Auftraggeber</t>
  </si>
  <si>
    <r>
      <t xml:space="preserve">
Zur Bearbeitung wird die Excel-Arbeitsmappenansicht „Normal“ empfohlen.
Eintragungen in </t>
    </r>
    <r>
      <rPr>
        <b/>
        <sz val="10"/>
        <color theme="1"/>
        <rFont val="Arial"/>
        <family val="2"/>
      </rPr>
      <t>Felder mit blauem Hintergrund und roter Umrandung</t>
    </r>
    <r>
      <rPr>
        <sz val="10"/>
        <color theme="1"/>
        <rFont val="Arial"/>
        <family val="2"/>
      </rPr>
      <t xml:space="preserve"> (gekennzeichnet mit seitlichem roten Pfeil) sind vom </t>
    </r>
    <r>
      <rPr>
        <b/>
        <sz val="10"/>
        <color theme="1"/>
        <rFont val="Arial"/>
        <family val="2"/>
      </rPr>
      <t>Auftraggeber</t>
    </r>
    <r>
      <rPr>
        <sz val="10"/>
        <color theme="1"/>
        <rFont val="Arial"/>
        <family val="2"/>
      </rPr>
      <t xml:space="preserve"> zwingend auszufüllen. 
Es wird empfohlen, nichtbenötigte Tabellenblätter auszublenden (</t>
    </r>
    <r>
      <rPr>
        <b/>
        <sz val="10"/>
        <color theme="1"/>
        <rFont val="Arial"/>
        <family val="2"/>
      </rPr>
      <t>nicht löschen!</t>
    </r>
    <r>
      <rPr>
        <sz val="10"/>
        <color theme="1"/>
        <rFont val="Arial"/>
        <family val="2"/>
      </rPr>
      <t xml:space="preserve">). Dies ist auch mit ganzen Zeilen oder Spalten möglich.
Beim Einfügen von zusätzlichen Zeilen mit Kontrollkästchen, müssen die Zellverknüpfungen manuel angepasst werden.
Bei mehreren Angebotsdateien ist die Bezeichnung der Honorarangebotsdatei manuell in das "Angebotsdokument" zu übertragen.
Um unbeabsichtigten Änderungen insbesondere in den Formeln vorzubeugen, wurden die Tabellenblätter geschützt. </t>
    </r>
  </si>
  <si>
    <t>Objektplanung Verkehrsanlagen</t>
  </si>
  <si>
    <t>VII.15.4</t>
  </si>
  <si>
    <t>Teil A</t>
  </si>
  <si>
    <r>
      <t>nach Kostenrahmen</t>
    </r>
    <r>
      <rPr>
        <sz val="8"/>
        <color theme="1"/>
        <rFont val="Arial"/>
        <family val="2"/>
      </rPr>
      <t xml:space="preserve"> (nur bei Straßenbau)</t>
    </r>
  </si>
  <si>
    <t>[netto]</t>
  </si>
  <si>
    <r>
      <t xml:space="preserve">Summe Kosten nach § 42 (1) und § 4 (3) HOAI </t>
    </r>
    <r>
      <rPr>
        <sz val="10"/>
        <color theme="1"/>
        <rFont val="Arial"/>
        <family val="2"/>
      </rPr>
      <t xml:space="preserve"> </t>
    </r>
    <r>
      <rPr>
        <sz val="8"/>
        <color theme="1"/>
        <rFont val="Arial"/>
        <family val="2"/>
      </rPr>
      <t>[Z1+ Z 2]</t>
    </r>
  </si>
  <si>
    <r>
      <rPr>
        <sz val="10"/>
        <color theme="1"/>
        <rFont val="Arial"/>
        <family val="2"/>
      </rPr>
      <t xml:space="preserve">einschließlich Erd- und Felsarbeiten </t>
    </r>
    <r>
      <rPr>
        <u/>
        <sz val="10"/>
        <color theme="1"/>
        <rFont val="Arial"/>
        <family val="2"/>
      </rPr>
      <t>und</t>
    </r>
    <r>
      <rPr>
        <sz val="10"/>
        <color theme="1"/>
        <rFont val="Arial"/>
        <family val="2"/>
      </rPr>
      <t xml:space="preserve"> Ausstattung von Anlagen des Straßenverkehrs, soweit vom Auftragnehmer geplant oder überwacht</t>
    </r>
    <r>
      <rPr>
        <sz val="8"/>
        <color theme="1"/>
        <rFont val="Arial"/>
        <family val="2"/>
      </rPr>
      <t xml:space="preserve"> § 46 (1) HOAI 
</t>
    </r>
    <r>
      <rPr>
        <b/>
        <u/>
        <sz val="8"/>
        <color theme="1"/>
        <rFont val="Arial"/>
        <family val="2"/>
      </rPr>
      <t>ohne</t>
    </r>
    <r>
      <rPr>
        <sz val="8"/>
        <color theme="1"/>
        <rFont val="Arial"/>
        <family val="2"/>
      </rPr>
      <t xml:space="preserve"> Kosten für Leistungen nach § 46 (3) HOAI (siehe Zeile 4)</t>
    </r>
  </si>
  <si>
    <r>
      <t>Der Wert beinhaltet mehrere vergleichbare Verkehrsanlagen gem.</t>
    </r>
    <r>
      <rPr>
        <sz val="8"/>
        <color theme="1"/>
        <rFont val="Arial"/>
        <family val="2"/>
      </rPr>
      <t xml:space="preserve"> § 11 (2) HOAI </t>
    </r>
  </si>
  <si>
    <r>
      <rPr>
        <sz val="10"/>
        <color theme="1"/>
        <rFont val="Arial"/>
        <family val="2"/>
      </rPr>
      <t xml:space="preserve">Kosten der </t>
    </r>
    <r>
      <rPr>
        <b/>
        <sz val="10"/>
        <rFont val="Arial"/>
        <family val="2"/>
      </rPr>
      <t>mitzuverarbeitenden Bausubstanz</t>
    </r>
    <r>
      <rPr>
        <sz val="10"/>
        <rFont val="Arial"/>
        <family val="2"/>
      </rPr>
      <t xml:space="preserve"> mvB </t>
    </r>
    <r>
      <rPr>
        <sz val="8"/>
        <color theme="1"/>
        <rFont val="Arial"/>
        <family val="2"/>
      </rPr>
      <t>(§ 4 (3) HOAI)</t>
    </r>
  </si>
  <si>
    <r>
      <t>Gesamtkosten Baukonstruktion</t>
    </r>
    <r>
      <rPr>
        <sz val="10"/>
        <color theme="1"/>
        <rFont val="Arial"/>
        <family val="2"/>
      </rPr>
      <t xml:space="preserve"> [Z 1 + Z 2]</t>
    </r>
  </si>
  <si>
    <r>
      <rPr>
        <sz val="10"/>
        <color theme="1"/>
        <rFont val="Arial"/>
        <family val="2"/>
      </rPr>
      <t xml:space="preserve">davon </t>
    </r>
    <r>
      <rPr>
        <b/>
        <sz val="10"/>
        <color theme="1"/>
        <rFont val="Arial"/>
        <family val="2"/>
      </rPr>
      <t xml:space="preserve">Kosten für Erd- und Felsarbeiten </t>
    </r>
  </si>
  <si>
    <r>
      <rPr>
        <sz val="10"/>
        <color theme="1"/>
        <rFont val="Arial"/>
        <family val="2"/>
      </rPr>
      <t>Herrichten des Grundstücks</t>
    </r>
    <r>
      <rPr>
        <sz val="8"/>
        <color theme="1"/>
        <rFont val="Arial"/>
        <family val="2"/>
      </rPr>
      <t xml:space="preserve"> (§ 46 (3) Nr. 1 HOAI)</t>
    </r>
  </si>
  <si>
    <r>
      <rPr>
        <sz val="10"/>
        <color theme="1"/>
        <rFont val="Arial"/>
        <family val="2"/>
      </rPr>
      <t xml:space="preserve">Öffentliche Erschließung </t>
    </r>
    <r>
      <rPr>
        <sz val="8"/>
        <color theme="1"/>
        <rFont val="Arial"/>
        <family val="2"/>
      </rPr>
      <t>(§ 46 (3) Nr. 2 HOAI)</t>
    </r>
  </si>
  <si>
    <r>
      <rPr>
        <sz val="10"/>
        <color theme="1"/>
        <rFont val="Arial"/>
        <family val="2"/>
      </rPr>
      <t xml:space="preserve">Nichtöffentliche Erschließung </t>
    </r>
    <r>
      <rPr>
        <sz val="8"/>
        <color theme="1"/>
        <rFont val="Arial"/>
        <family val="2"/>
      </rPr>
      <t>(§ 46 (3) Nr. 2 HOAI)</t>
    </r>
  </si>
  <si>
    <r>
      <rPr>
        <sz val="10"/>
        <color theme="1"/>
        <rFont val="Arial"/>
        <family val="2"/>
      </rPr>
      <t>Außenanlagen</t>
    </r>
    <r>
      <rPr>
        <sz val="8"/>
        <color theme="1"/>
        <rFont val="Arial"/>
        <family val="2"/>
      </rPr>
      <t xml:space="preserve"> (§ 46 (3) Nr. 2 HOAI)</t>
    </r>
  </si>
  <si>
    <r>
      <rPr>
        <sz val="10"/>
        <color theme="1"/>
        <rFont val="Arial"/>
        <family val="2"/>
      </rPr>
      <t>Umlegen und Verlegen von Leitungen</t>
    </r>
    <r>
      <rPr>
        <sz val="8"/>
        <color theme="1"/>
        <rFont val="Arial"/>
        <family val="2"/>
      </rPr>
      <t xml:space="preserve"> (§ 46 (3) Nr. 2 HOAI)</t>
    </r>
  </si>
  <si>
    <r>
      <rPr>
        <sz val="10"/>
        <color theme="1"/>
        <rFont val="Arial"/>
        <family val="2"/>
      </rPr>
      <t>Nebenanlagen v. Anlagen des Straßenverkehrs</t>
    </r>
    <r>
      <rPr>
        <sz val="8"/>
        <color theme="1"/>
        <rFont val="Arial"/>
        <family val="2"/>
      </rPr>
      <t xml:space="preserve"> (§ 46 (3) Nr. 3 HOAI)</t>
    </r>
  </si>
  <si>
    <r>
      <rPr>
        <sz val="10"/>
        <color theme="1"/>
        <rFont val="Arial"/>
        <family val="2"/>
      </rPr>
      <t>Verkehrsregelnde Maßnahmen während der Bauzeit</t>
    </r>
    <r>
      <rPr>
        <sz val="8"/>
        <color theme="1"/>
        <rFont val="Arial"/>
        <family val="2"/>
      </rPr>
      <t xml:space="preserve"> (§ 46 (3) Nr. 4 HOAI)</t>
    </r>
  </si>
  <si>
    <r>
      <rPr>
        <b/>
        <sz val="10"/>
        <rFont val="Arial"/>
        <family val="2"/>
      </rPr>
      <t xml:space="preserve">Anrechenbare Kosten Erd- und Felsarbeiten </t>
    </r>
    <r>
      <rPr>
        <sz val="8"/>
        <rFont val="Arial"/>
        <family val="2"/>
      </rPr>
      <t xml:space="preserve">
aus Z 3.1, aber nicht mehr als Z 5.1 [Z 3.1 &lt;= Z 5.1] (§ 46 (4) Nr. 1 HOAI)</t>
    </r>
  </si>
  <si>
    <r>
      <rPr>
        <b/>
        <sz val="10"/>
        <rFont val="Arial"/>
        <family val="2"/>
      </rPr>
      <t xml:space="preserve">Anrechenbare Kosten Ingenieurbauwerke </t>
    </r>
    <r>
      <rPr>
        <sz val="10"/>
        <rFont val="Arial"/>
        <family val="2"/>
      </rPr>
      <t xml:space="preserve">
10 % aus Kosten Ingenieurbauwerke </t>
    </r>
    <r>
      <rPr>
        <sz val="8"/>
        <rFont val="Arial"/>
        <family val="2"/>
      </rPr>
      <t xml:space="preserve"> (§ 46 (4) Nr. 2 HOAI) [0,1 x Z 6]</t>
    </r>
  </si>
  <si>
    <r>
      <t xml:space="preserve">Summe Kosten nach § 46  (1) und (3) HOAI </t>
    </r>
    <r>
      <rPr>
        <sz val="10"/>
        <color theme="1"/>
        <rFont val="Arial"/>
        <family val="2"/>
      </rPr>
      <t xml:space="preserve"> [Z 4.1 bis Z 4.7]</t>
    </r>
  </si>
  <si>
    <r>
      <rPr>
        <sz val="10"/>
        <rFont val="Arial"/>
        <family val="2"/>
      </rPr>
      <t>40 % der Sonstigen Anrechenbaren Kosten</t>
    </r>
    <r>
      <rPr>
        <sz val="8"/>
        <rFont val="Arial"/>
        <family val="2"/>
      </rPr>
      <t xml:space="preserve"> [0,40 x Z 5] (§ 46 (4) Nr. 1 HOAI)</t>
    </r>
  </si>
  <si>
    <r>
      <rPr>
        <b/>
        <sz val="10"/>
        <color theme="1"/>
        <rFont val="Arial"/>
        <family val="2"/>
      </rPr>
      <t xml:space="preserve">Kosten für Technische Anlagen/Ausrüstung </t>
    </r>
    <r>
      <rPr>
        <sz val="10"/>
        <color theme="1"/>
        <rFont val="Arial"/>
        <family val="2"/>
      </rPr>
      <t>der Verkehrsanlagen</t>
    </r>
  </si>
  <si>
    <r>
      <rPr>
        <b/>
        <sz val="10"/>
        <rFont val="Arial"/>
        <family val="2"/>
      </rPr>
      <t>Anrechenbare Kosten Technische Anlagen</t>
    </r>
    <r>
      <rPr>
        <sz val="10"/>
        <rFont val="Arial"/>
        <family val="2"/>
      </rPr>
      <t xml:space="preserve"> </t>
    </r>
    <r>
      <rPr>
        <sz val="8"/>
        <rFont val="Arial"/>
        <family val="2"/>
      </rPr>
      <t xml:space="preserve"> [Z 7.3 + Z 7.4] (§ 46 (2) HOAI)</t>
    </r>
  </si>
  <si>
    <t>9.4</t>
  </si>
  <si>
    <r>
      <t xml:space="preserve">Anrechenbare Kosten für Leistungsphasen 1 bis 7 und 9 </t>
    </r>
    <r>
      <rPr>
        <sz val="8"/>
        <rFont val="Arial"/>
        <family val="2"/>
      </rPr>
      <t>[Z 8 - Z 9.4]</t>
    </r>
  </si>
  <si>
    <r>
      <rPr>
        <b/>
        <sz val="10"/>
        <color theme="1"/>
        <rFont val="Arial"/>
        <family val="2"/>
      </rPr>
      <t>Abminderung bei mehr als zwei Fahrstreifen</t>
    </r>
    <r>
      <rPr>
        <sz val="8"/>
        <color theme="1"/>
        <rFont val="Arial"/>
        <family val="2"/>
      </rPr>
      <t xml:space="preserve"> (§ 46 (5) HOAI): </t>
    </r>
  </si>
  <si>
    <t>Abminderung bei mehr als zwei Fahrstreifen</t>
  </si>
  <si>
    <r>
      <rPr>
        <sz val="10"/>
        <rFont val="Arial"/>
        <family val="2"/>
      </rPr>
      <t>3 Fahrstreifen</t>
    </r>
    <r>
      <rPr>
        <sz val="8"/>
        <rFont val="Arial"/>
        <family val="2"/>
      </rPr>
      <t xml:space="preserve"> [0,15 x Z 8]</t>
    </r>
  </si>
  <si>
    <r>
      <rPr>
        <sz val="10"/>
        <rFont val="Arial"/>
        <family val="2"/>
      </rPr>
      <t>4 Fahrstreifen</t>
    </r>
    <r>
      <rPr>
        <sz val="8"/>
        <rFont val="Arial"/>
        <family val="2"/>
      </rPr>
      <t xml:space="preserve"> [0,30 x Z 8]</t>
    </r>
  </si>
  <si>
    <r>
      <rPr>
        <sz val="10"/>
        <rFont val="Arial"/>
        <family val="2"/>
      </rPr>
      <t>mehr als 4 Fahrstreifen</t>
    </r>
    <r>
      <rPr>
        <sz val="8"/>
        <rFont val="Arial"/>
        <family val="2"/>
      </rPr>
      <t xml:space="preserve"> [0,40 x Z 8]</t>
    </r>
  </si>
  <si>
    <r>
      <rPr>
        <sz val="10"/>
        <rFont val="Arial"/>
        <family val="2"/>
      </rPr>
      <t>25 v.H. der Sonstigen Anrechenbaren Kosten</t>
    </r>
    <r>
      <rPr>
        <sz val="8"/>
        <rFont val="Arial"/>
        <family val="2"/>
      </rPr>
      <t xml:space="preserve"> [0,25 x Z 11] (§ 46 (2) Nr. 1 HOAI)</t>
    </r>
  </si>
  <si>
    <r>
      <rPr>
        <b/>
        <sz val="10"/>
        <rFont val="Arial"/>
        <family val="2"/>
      </rPr>
      <t>Anrechenbare Kosten Technische Anlagen</t>
    </r>
    <r>
      <rPr>
        <sz val="10"/>
        <rFont val="Arial"/>
        <family val="2"/>
      </rPr>
      <t xml:space="preserve"> </t>
    </r>
    <r>
      <rPr>
        <sz val="8"/>
        <rFont val="Arial"/>
        <family val="2"/>
      </rPr>
      <t xml:space="preserve"> [Z 11.3 + Z 11.4] (§ 46 (2) HOAI)</t>
    </r>
  </si>
  <si>
    <t>anrechenbare Kosten</t>
  </si>
  <si>
    <t>Teil B</t>
  </si>
  <si>
    <t xml:space="preserve">  Honorarzone</t>
  </si>
  <si>
    <t>Angabe der Honorarzone</t>
  </si>
  <si>
    <t>Anmerkung:</t>
  </si>
  <si>
    <t>bis zu 10 Punkte  = Honorarzone 1</t>
  </si>
  <si>
    <t>11 bis 17 Punkte  = Honorarzone 2</t>
  </si>
  <si>
    <t>18 bis 25 Punkte  = Honorarzone 3</t>
  </si>
  <si>
    <t>26 bis 33 Punkte  = Honorarzone 4</t>
  </si>
  <si>
    <t>34 bis 40 Punkte  = Honorarzone 5</t>
  </si>
  <si>
    <t>Ermittlung der Bewertungspunkte 
nach Schwierigkeitsgrad gem. § 5 (1) HOAI</t>
  </si>
  <si>
    <t>mit konkretisierter Leistungsbeschreibung (kursiv)</t>
  </si>
  <si>
    <r>
      <rPr>
        <b/>
        <sz val="10"/>
        <color theme="1"/>
        <rFont val="Arial"/>
        <family val="2"/>
      </rPr>
      <t>Orientier-ungswert</t>
    </r>
    <r>
      <rPr>
        <b/>
        <sz val="8"/>
        <color theme="1"/>
        <rFont val="Arial"/>
        <family val="2"/>
      </rPr>
      <t xml:space="preserve">
</t>
    </r>
  </si>
  <si>
    <r>
      <rPr>
        <b/>
        <sz val="10"/>
        <color theme="1"/>
        <rFont val="Arial"/>
        <family val="2"/>
      </rPr>
      <t xml:space="preserve">Bewertung </t>
    </r>
    <r>
      <rPr>
        <b/>
        <sz val="8"/>
        <color theme="1"/>
        <rFont val="Arial"/>
        <family val="2"/>
      </rPr>
      <t xml:space="preserve">
</t>
    </r>
  </si>
  <si>
    <r>
      <rPr>
        <b/>
        <sz val="12"/>
        <color theme="1"/>
        <rFont val="Arial"/>
        <family val="2"/>
      </rPr>
      <t xml:space="preserve">Grundleistungen Straßenbau
</t>
    </r>
    <r>
      <rPr>
        <sz val="8"/>
        <color theme="1"/>
        <rFont val="Arial"/>
        <family val="2"/>
      </rPr>
      <t xml:space="preserve">HOAI-Text gemäß Leistungsbild
</t>
    </r>
    <r>
      <rPr>
        <i/>
        <sz val="8"/>
        <color theme="1"/>
        <rFont val="Arial"/>
        <family val="2"/>
      </rPr>
      <t xml:space="preserve">
</t>
    </r>
  </si>
  <si>
    <t>Teil StB-C1</t>
  </si>
  <si>
    <t>Grundleistungen Straßenbau</t>
  </si>
  <si>
    <t>StB Grundleistung</t>
  </si>
  <si>
    <r>
      <t xml:space="preserve">Es handelt sich um eine </t>
    </r>
    <r>
      <rPr>
        <b/>
        <sz val="10"/>
        <color theme="1"/>
        <rFont val="Arial"/>
        <family val="2"/>
      </rPr>
      <t>Vorplanung als Einzelleistung</t>
    </r>
    <r>
      <rPr>
        <sz val="10"/>
        <color theme="1"/>
        <rFont val="Arial"/>
        <family val="2"/>
      </rPr>
      <t xml:space="preserve"> nach § 9 Abs. 1 Nr. 1 HOAI.</t>
    </r>
  </si>
  <si>
    <r>
      <t xml:space="preserve">Es handelt sich um eine </t>
    </r>
    <r>
      <rPr>
        <b/>
        <sz val="10"/>
        <color theme="1"/>
        <rFont val="Arial"/>
        <family val="2"/>
      </rPr>
      <t>Entwurfsplanung als Einzelleistung</t>
    </r>
    <r>
      <rPr>
        <sz val="10"/>
        <color theme="1"/>
        <rFont val="Arial"/>
        <family val="2"/>
      </rPr>
      <t xml:space="preserve"> nach § 9 Abs.1 Nr. 2 HOAI.</t>
    </r>
  </si>
  <si>
    <t>(Eingabe 'Einzelleistung' richtig)</t>
  </si>
  <si>
    <t>Mitwirken in Genehmigungsverfahren einschließlich der Teilnahme an bis zu</t>
  </si>
  <si>
    <t>4 Erläuterungs-, Erörterungsterminen</t>
  </si>
  <si>
    <t xml:space="preserve">Klären der Aufgabenstellung aufgrund der Vorgaben oder der </t>
  </si>
  <si>
    <t>Bedarfsplanung des Auftraggebers</t>
  </si>
  <si>
    <t>Ermitteln der Planungsrandbedingungen sowie Beraten zum</t>
  </si>
  <si>
    <t xml:space="preserve"> gesamten Leistungsbedarf</t>
  </si>
  <si>
    <t xml:space="preserve">Formulieren von Entscheidungshilfen für die Auswahl anderer </t>
  </si>
  <si>
    <t>an der Planung fachlich Beteiligter. *</t>
  </si>
  <si>
    <t xml:space="preserve">Abstimmen der Zielvorstellungen auf die öffentlich rechtlichen </t>
  </si>
  <si>
    <t>Randbedingungen sowie Planungen Dritter</t>
  </si>
  <si>
    <t>Untersuchungen von Lösungsmöglichkeiten mit ihren Einflüssen auf bauliche</t>
  </si>
  <si>
    <t>und konstruktive Gestaltung, Zweckmäßigkeit, Wirtschaftlichkeit unter Beachtung der Umweltverträglichkeit</t>
  </si>
  <si>
    <t xml:space="preserve">Erarbeiten eines Planungskonzepts einschließlich Untersuchung von bis </t>
  </si>
  <si>
    <t xml:space="preserve">zu 3 Varianten  nach gleichen Anforderungen  mit zeichnerischer Darstellung und Bewertung unter Einarbeitung der Beiträge anderer an der Planung fachlich Beteiligter </t>
  </si>
  <si>
    <t xml:space="preserve">Klären und Erläutern der wesentlichen fachspezifischen Zusammenhänge, </t>
  </si>
  <si>
    <t>Vorgänge und Bedingungen</t>
  </si>
  <si>
    <t xml:space="preserve">Vorabstimmen mit Behörden und anderen an der Planung fachlich Beteiligten </t>
  </si>
  <si>
    <t>über die Genehmigungsfähigkeit, gegebenenfalls Mitwirken bei Verhandlungen über die Bezuschussung und Kostenbeteiligung</t>
  </si>
  <si>
    <t>bis zu 2 Terminen</t>
  </si>
  <si>
    <t>Bereitstellen von Unterlagen als Auszüge aus der Voruntersuchung</t>
  </si>
  <si>
    <t>(Vorplanung) zur Verwendung für ein Raumordnungsverfahren</t>
  </si>
  <si>
    <t xml:space="preserve">HOAI  § 9 (1)  - Bei Beauftragung der Vorplanung als Einzelleistung </t>
  </si>
  <si>
    <t>Mitwirken beim Erläutern des Planungskonzepts gegenüber Dritten an</t>
  </si>
  <si>
    <t xml:space="preserve">Erarbeiten des Entwurfs auf Grundlage der Vorplanung durch zeichnerische </t>
  </si>
  <si>
    <t>Darstellung im erforderlichen Umfang und Detaillierungsgrad unter Berücksichtigung aller fachspezifischen Anforderungen
Bereitstellen der Arbeitsergebnisse als Grundlage für die anderen an der Planung fachlich Beteiligten, sowie Integration und Koordination der Fachplanungen</t>
  </si>
  <si>
    <t xml:space="preserve">Ermitteln der zuwendungsfähigen Kosten, Mitwirken beim Aufstellen des </t>
  </si>
  <si>
    <t>Finanzierungsplans sowie Vorbereiten der Anträge auf Finanzierung</t>
  </si>
  <si>
    <t xml:space="preserve">HOAI  § 9 (1)  - Bei Beauftragung der Entwurfsplanung als Einzelleistung </t>
  </si>
  <si>
    <t xml:space="preserve">Erläuterungsbericht unter Verwendung der Beiträge anderer an der Planung </t>
  </si>
  <si>
    <t>fachlich Beteiligter</t>
  </si>
  <si>
    <t xml:space="preserve">fachspezifische Berechnungen, ausgenommen Berechnungen aus anderen </t>
  </si>
  <si>
    <t>Leistungsbildern</t>
  </si>
  <si>
    <t>Vorabstimmen der Genehmigungsfähigkeit mit Behörden und</t>
  </si>
  <si>
    <t>anderen an der Planung fachlich Beteiligten</t>
  </si>
  <si>
    <t>Kostenberechnung einschließlich zugehöriger Mengenermittlung, Vergleich</t>
  </si>
  <si>
    <t xml:space="preserve">Ermitteln der wesentlichen Bauphasen unter Berücksichtigung </t>
  </si>
  <si>
    <t>der Verkehrslenkung und der Aufrechterhaltung des Betriebes während der Bauzeit</t>
  </si>
  <si>
    <t>Erarbeiten und Zusammenstellen der Unterlagen für die erforderlichen</t>
  </si>
  <si>
    <t>öffentlich-rechtlichen Verfahren oder Genehmigungsverfahren einschließlich der Anträge auf Ausnahmen und Befreiungen, Aufstellen des Bauwerksverzeichnisses unter Verwendung der Beiträge anderer an der Planung fachlich Beteiligter</t>
  </si>
  <si>
    <t xml:space="preserve">Erstellen des Grunderwerbsplanes und des Grunderwerbsverzeichnisses </t>
  </si>
  <si>
    <t>unter Verwendung der Beiträge anderer an der Planung fachlich Beteiligter</t>
  </si>
  <si>
    <t>Vervollständigen und Anpassen der Planungsunterlagen, Beschreibungen</t>
  </si>
  <si>
    <t xml:space="preserve">Erarbeiten der Ausführungsplanung auf Grundlage der Ergebnisse der </t>
  </si>
  <si>
    <t>Leistungsphasen 3 und 4 unter Berücksichtigung aller fachspezifischen Anforderungen und Verwendung der Beiträge anderer an der Planung fachlich Beteiligter bis zur ausführungsreifen Lösung</t>
  </si>
  <si>
    <t>Zeichnerische Darstellung, Erläuterungen und zur Objektplanung gehörige</t>
  </si>
  <si>
    <t>Berechnungen mit  allen für die Ausführung notwendigen Einzelangaben einschließlich Detailzeichnungen in den erforderlichen Maßstäben</t>
  </si>
  <si>
    <t xml:space="preserve">Bereitstellen der Arbeitsergebnisse als Grundlage für die anderen an der </t>
  </si>
  <si>
    <t>Planung fachlich Beteiligten und Integrieren ihrer Beiträge bis zur ausführungsreifen Lösung</t>
  </si>
  <si>
    <t>Ermitteln von Mengen nach Einzelpositionen unter Verwendung der Beiträge</t>
  </si>
  <si>
    <t>anderer an der Planung fachlich Beteiligter</t>
  </si>
  <si>
    <t xml:space="preserve">Aufstellen der Vergabeunterlagen, insbesondere Anfertigen der </t>
  </si>
  <si>
    <t>Leistungsbeschreibungen mit Leistungsverzeichnissen sowie der Besonderen Vertragsbedingungen</t>
  </si>
  <si>
    <t xml:space="preserve">Ermitteln der Kosten auf Grundlage der vom Planer (Entwurfsverfasser) </t>
  </si>
  <si>
    <t>bepreisten Leistungsverzeichnisse</t>
  </si>
  <si>
    <t xml:space="preserve">Abstimmen und Zusammenstellen der Leistungen der fachlich Beteiligten, </t>
  </si>
  <si>
    <t>die an der Vergabe mitwirken</t>
  </si>
  <si>
    <t xml:space="preserve">Vergleichen der Ausschreibungsergebnisse mit den vom Planer </t>
  </si>
  <si>
    <t>bepreisten Leistungsverzeichnissen und der Kosten-berechnung</t>
  </si>
  <si>
    <t xml:space="preserve">Aufsicht über die örtliche Bauüberwachung *, Koordinierung der an der </t>
  </si>
  <si>
    <t>Objektüberwachung fachlich Beteiligten, einmaliges Prüfen von Plänen auf Übereinstimmung mit dem auszuführenden Objekt und Mitwirken bei deren Freigabe</t>
  </si>
  <si>
    <t xml:space="preserve">Veranlassen und Mitwirken daran, die ausführenden Unternehmen in Verzug 
</t>
  </si>
  <si>
    <t>zu setzen</t>
  </si>
  <si>
    <t xml:space="preserve">Abnahme von Bauleistungen, Leistungen und Lieferungen unter Mitwirkung der </t>
  </si>
  <si>
    <t>örtlichen Bauüberwachung und anderer an der Planung und Objektüberwachung fachlich Beteiligter, Feststellen von Mängeln, Fertigung einer Niederschrift über das Ergebnis der Abnahme</t>
  </si>
  <si>
    <t>Überwachen der Prüfungen der Funktionsfähigkeit der Anlagenteile und</t>
  </si>
  <si>
    <t>der Gesamtanlage</t>
  </si>
  <si>
    <r>
      <t xml:space="preserve">Zusammenstellen und Übergeben der Dokumentation des Bauablaufs, </t>
    </r>
    <r>
      <rPr>
        <i/>
        <sz val="8"/>
        <color rgb="FF0070C0"/>
        <rFont val="Arial"/>
        <family val="2"/>
      </rPr>
      <t/>
    </r>
  </si>
  <si>
    <t>der Bestandsunterlagen und der Wartungsvorschriften</t>
  </si>
  <si>
    <t xml:space="preserve">Fachliche Bewertung der innerhalb der Verjährungsfristen für </t>
  </si>
  <si>
    <t>Gewährleistungsansprüche festgestellten Mängel, längstens jedoch bis zum Ablauf von fünf Jahren seit Abnahme der Leistung, einschließlich notwendiger Begehungen</t>
  </si>
  <si>
    <t xml:space="preserve">Objektbegehung zur Mängelfeststellung vor Ablauf der Verjährungsfristen </t>
  </si>
  <si>
    <t>für Mängelansprüche gegenüber den ausführenden Unternehmen</t>
  </si>
  <si>
    <t>Teil StB-D1</t>
  </si>
  <si>
    <t>StB Besondere Lstg.</t>
  </si>
  <si>
    <t>Besondere Leistungen Straßenbau</t>
  </si>
  <si>
    <r>
      <t xml:space="preserve">Beschreibung der Besonderen Leistungen Straßenbau
</t>
    </r>
    <r>
      <rPr>
        <sz val="8"/>
        <color theme="1"/>
        <rFont val="Arial"/>
        <family val="2"/>
      </rPr>
      <t>Leistungstext</t>
    </r>
    <r>
      <rPr>
        <sz val="8"/>
        <color rgb="FF0070C0"/>
        <rFont val="Arial"/>
        <family val="2"/>
      </rPr>
      <t xml:space="preserve">
</t>
    </r>
  </si>
  <si>
    <r>
      <rPr>
        <b/>
        <sz val="10"/>
        <color theme="1"/>
        <rFont val="Arial"/>
        <family val="2"/>
      </rPr>
      <t xml:space="preserve">EP  </t>
    </r>
    <r>
      <rPr>
        <b/>
        <sz val="8"/>
        <color theme="1"/>
        <rFont val="Arial"/>
        <family val="2"/>
      </rPr>
      <t xml:space="preserve">
[EURO netto]</t>
    </r>
  </si>
  <si>
    <r>
      <rPr>
        <b/>
        <sz val="10"/>
        <color theme="1"/>
        <rFont val="Arial"/>
        <family val="2"/>
      </rPr>
      <t xml:space="preserve">GP </t>
    </r>
    <r>
      <rPr>
        <b/>
        <sz val="8"/>
        <color theme="1"/>
        <rFont val="Arial"/>
        <family val="2"/>
      </rPr>
      <t xml:space="preserve">
[EURO netto]</t>
    </r>
  </si>
  <si>
    <t xml:space="preserve">mit Gliederung entsprechend den „Richtlinien für die Gestaltung von einheitlichen Entwurfsunterlagen im Straßenbau – RE 2012“  </t>
  </si>
  <si>
    <t>Protokollieren der Besprechungstermine, Vor- und Nachbereitung der Termine inkl. Verschicken von Unterlagen und An- und Abfahrten</t>
  </si>
  <si>
    <t xml:space="preserve">Voruntersuchen der Knotenpunkte im Maßstab 1 : ...
</t>
  </si>
  <si>
    <t xml:space="preserve">Ermitteln der Schallimmissionen an kritischen Stellen anhand der Nomogramme im Anhang der RLS oder eines stark vereinfachten Straßen- und Geländemodells
Untersuchen der möglichen Schallschutzmaßnahmen, ausgenommen detaillierte schalltechnische Untersuchungen </t>
  </si>
  <si>
    <t>psch</t>
  </si>
  <si>
    <t xml:space="preserve">Detaillierte Berechnung zur Steuerung </t>
  </si>
  <si>
    <t>von Verkehrsbeeinflussungsanlagen</t>
  </si>
  <si>
    <t>Detaillierte Planung von Bauphasen bei besonderen</t>
  </si>
  <si>
    <r>
      <t xml:space="preserve">Anrechenbare Kosten für Leistungsphase 8 </t>
    </r>
    <r>
      <rPr>
        <b/>
        <sz val="12"/>
        <rFont val="Arial"/>
        <family val="2"/>
      </rPr>
      <t xml:space="preserve"> </t>
    </r>
    <r>
      <rPr>
        <sz val="8"/>
        <rFont val="Arial"/>
        <family val="2"/>
      </rPr>
      <t>[Z 3 + Z 11.5 + Z 4.8]</t>
    </r>
  </si>
  <si>
    <t>Teil HB-C1</t>
  </si>
  <si>
    <t>Teil HB-D1</t>
  </si>
  <si>
    <t>Grundleistungen Hochbau Land</t>
  </si>
  <si>
    <t>* VHF Bayern - Abzug 0,10 %, Grundleistung obliegt dem Auftraggeber</t>
  </si>
  <si>
    <t>HB Land</t>
  </si>
  <si>
    <t>HB Grundltg. Land</t>
  </si>
  <si>
    <r>
      <t xml:space="preserve">pauschal </t>
    </r>
    <r>
      <rPr>
        <b/>
        <sz val="8"/>
        <color theme="1"/>
        <rFont val="Arial"/>
        <family val="2"/>
      </rPr>
      <t>[EORO netto]</t>
    </r>
  </si>
  <si>
    <r>
      <t>Vorgabe AG</t>
    </r>
    <r>
      <rPr>
        <b/>
        <sz val="8"/>
        <color theme="1"/>
        <rFont val="Arial"/>
        <family val="2"/>
      </rPr>
      <t xml:space="preserve"> [optional]</t>
    </r>
  </si>
  <si>
    <t>v.H.-Satz</t>
  </si>
  <si>
    <t>zu Leistungsstufe 1A</t>
  </si>
  <si>
    <t>LPH 8</t>
  </si>
  <si>
    <t>Übertrag Honorar</t>
  </si>
  <si>
    <t>zu Leistungsstufe 1B</t>
  </si>
  <si>
    <t>zu Leistungsstufe 1C</t>
  </si>
  <si>
    <t>zu Leistungsstufe 1D</t>
  </si>
  <si>
    <t>zu Leistungsstufe 2</t>
  </si>
  <si>
    <t>zu Leistungsstufe 4</t>
  </si>
  <si>
    <t>Überwachen der Ausführung der Bauleistungen</t>
  </si>
  <si>
    <t xml:space="preserve">Örtliche Bauüberwachung 
</t>
  </si>
  <si>
    <t>Mitwirken beim Aufmaß mit den ausführenden</t>
  </si>
  <si>
    <t>Unternehmen und Prüfen der Aufmaße</t>
  </si>
  <si>
    <t>Mitwirken bei behördlichen Abnahmen</t>
  </si>
  <si>
    <t>Mitwirken bei der Abnahme von Leistungen und Lieferungen</t>
  </si>
  <si>
    <t>Rechnungsprüfung,</t>
  </si>
  <si>
    <t>Vergleich der Ergebnisse der der Rechnungsprüfungen mit der
Auftragssumme</t>
  </si>
  <si>
    <t xml:space="preserve">Mitwirken beim Überwachen der Prüfung der Funktionsfähigkeit </t>
  </si>
  <si>
    <t>der Anlagenteile und der Gesamtanlage</t>
  </si>
  <si>
    <t xml:space="preserve">Überwachen der Ausführung von Tragwerken nach </t>
  </si>
  <si>
    <t>Anlage 14.2 Honorarzone I und II HOAI mit sehr geringen und geringen Planungsanforderungen auf Übereinstimmung mit dem Standsicherheitsnachweis</t>
  </si>
  <si>
    <t>zu Leistungsstufe 5</t>
  </si>
  <si>
    <t>9.03</t>
  </si>
  <si>
    <t xml:space="preserve"> der Verjährungsfristen</t>
  </si>
  <si>
    <t>Überwachen der Mängelbeseitigung innerhalb</t>
  </si>
  <si>
    <t xml:space="preserve">Erstellen von Baubestandsplänen </t>
  </si>
  <si>
    <t>Kostenkontrolle</t>
  </si>
  <si>
    <t>9.04</t>
  </si>
  <si>
    <t>9.05</t>
  </si>
  <si>
    <t>9.06</t>
  </si>
  <si>
    <t>[v.H.-Satz]</t>
  </si>
  <si>
    <t>Analysieren der Grundlagen nach § 3 des Vertrages</t>
  </si>
  <si>
    <t xml:space="preserve">Zusammenfassen, Erläutern und Dokumentieren der Ergebnisse </t>
  </si>
  <si>
    <t>unter Verwendung der RLBau Muster, insbesondere der Muster Kosten, Muster Erläuterungsbericht und Muster Objektbogen und Übergeben der Unterlagen</t>
  </si>
  <si>
    <t>mindestens gegliedert in die zweite Ebene der Kostengliederung, unter Verwendung des RLBau Musters Kosten, Vergleich mit den finanziellen Rahmenbedingungen</t>
  </si>
  <si>
    <t xml:space="preserve">Leistungsstufe 1A
Leistungsphase 1: Grundlagenermittlung </t>
  </si>
  <si>
    <t>Leistungsstufe 1B
Leistungsphase 2: Vorplanung</t>
  </si>
  <si>
    <t xml:space="preserve">Erstellen des Erläuterungsberichts unter Verwendung des RLBau Musters </t>
  </si>
  <si>
    <t>Erläuterungsbericht sowie unter Verwendung der Beiträge anderer an der Planung fachlich Beteiligter</t>
  </si>
  <si>
    <t>Mitwirken beim Erläutern des vorläufigen Entwurfs gegenüber Dritten</t>
  </si>
  <si>
    <t xml:space="preserve">an bis zu drei Terminen, Überarbeiten des vorläufigen Entwurfs auf Grund von Bedenken und Anregungen </t>
  </si>
  <si>
    <t>mindestens gegliedert in die dritte Ebene der Kostengliederung unter Verwendung des RLBau Musters Kosten einschließlich zugehöriger Mengenermittlung. Vergleich der Kostenberechnung mit der Kostenschätzung in allen Kostengruppen; bei mehreren Objekten jeweils getrennt und im Ergebnis zusammengefasst</t>
  </si>
  <si>
    <t>unter Verwendung der RLBau Muster, insbesondere der Muster Kosten, Muster Erläuterungsbericht und Muster Objektbogen und Übergeben der Unterlagen.</t>
  </si>
  <si>
    <t>Leistungsstufe 1C
Leistungsphase 3: Entwurfsplanung</t>
  </si>
  <si>
    <t>und Berechnungen unter Verwendung der Beiträge anderer an der Planung fachlich Beteiligter der Beiträge anderer an der Planung fachlich Beteiligter</t>
  </si>
  <si>
    <r>
      <t>Summe Leistungsstufe 1A - Lph. 1</t>
    </r>
    <r>
      <rPr>
        <b/>
        <sz val="8"/>
        <color theme="1"/>
        <rFont val="Arial"/>
        <family val="2"/>
      </rPr>
      <t xml:space="preserve"> (HOAI max. 2,00 v.H. - VHF max. 1,90 v.H.) </t>
    </r>
  </si>
  <si>
    <t>Leistungsstufe 1D
Leistungsphase 4: Genehmigungsplanung</t>
  </si>
  <si>
    <t>Leistungsstufe 2
Leistungsphase 5: Ausführungsplanung</t>
  </si>
  <si>
    <t>Leistungsstufe 3A
Leistungsphase 6: Vorbereitung der Vergabe</t>
  </si>
  <si>
    <t>Leistungsbeschreibungen mit Leistungsverzeichnissen sowie der Besonderen Vertragsbedingungen unter Beachtung der Allgemeinen Richtlinien Vergabeverfahren des VHB Bayern und unter Verwendung der Standardleistungsbücher für das Bauwesen</t>
  </si>
  <si>
    <t>Leistungsbeschreibungen der anderen an der Planung fachlich Beteiligten</t>
  </si>
  <si>
    <t xml:space="preserve">Abstimmen und Koordinieren der Schnittstellen zu den </t>
  </si>
  <si>
    <t>in Abstimmung mit dem Auftraggeber und den anderen an der Planung fachlich Beteiligten</t>
  </si>
  <si>
    <t xml:space="preserve">Kostenkontrolle durch Vergleich der vom Planer (Entwurfsverfasser) </t>
  </si>
  <si>
    <t>bepreisten Leistungsverzeichnisse mit der Kostenberechnung, Dokumentieren der Ergebnisse unter Verwendung eines vom Auftraggeber vorgegebenem Kostenkontrollinstrumentes</t>
  </si>
  <si>
    <t>Leistungsstufe 3B 
Leistungsphase 7: Mitwirkung bei der Vergabe</t>
  </si>
  <si>
    <t>* VHF Bayern - Abzug 1,00 %, Durchsicht, Nachrechnen der Angebote einschl. Erstellen der Preisspiegel erbringt der Auftraggeber</t>
  </si>
  <si>
    <t>* VHF Bayern - Abzug 0,10 %, Aufklärungsgespräche mit den Bietern werden federführend durch Auftraggeber geführt</t>
  </si>
  <si>
    <t>Prüfen und Werten der Angebote *</t>
  </si>
  <si>
    <t>Teilnehmen an und Auswerten von Aufklärungsgesprächen mit Bietern *</t>
  </si>
  <si>
    <t>bepreisten Leistungsverzeichnissen und der Kostenberechnung,  Dokumentieren der Ergebnisse unter Verwendung eines vom Auftraggeber vorgegebenem Kostenkontrollin-strumentes</t>
  </si>
  <si>
    <t>Leistungsstufe 4
Leistungsphase 8: Bauoberleitung</t>
  </si>
  <si>
    <r>
      <t>Summe Leistungsstufe - Lph. 7</t>
    </r>
    <r>
      <rPr>
        <b/>
        <sz val="8"/>
        <color theme="1"/>
        <rFont val="Arial"/>
        <family val="2"/>
      </rPr>
      <t xml:space="preserve"> (HOAI max. 4,00 v.H - VHF max. 2,70 v.H.) </t>
    </r>
  </si>
  <si>
    <t>Organisieren der Abnahme von Bauleistungen</t>
  </si>
  <si>
    <t>Leistungen und Lieferungen und Teilnahme daran, unter Mitwirkung der örtlichen Bau-überwachung und anderer an der Planung und Objektüberwachung fachlich Beteiligter, Feststellen von Mängeln, Fertigung einer Niederschrift über das Ergebnis der Abnahme</t>
  </si>
  <si>
    <t>* VHF Bayern - Abzug 0,50 %, da Abbnahme verantwortlich durch AG erfolgt.</t>
  </si>
  <si>
    <t xml:space="preserve">Mitwirken bei der Übergabe des Objekts </t>
  </si>
  <si>
    <t>* VHF Bayern - Abzug 0,20 %, da Antrag durch AG gestellt wird</t>
  </si>
  <si>
    <t>* VHF Bayern - Abzug 0,20 %, da Übergabe verantwortlich durch AG erfolgt.</t>
  </si>
  <si>
    <r>
      <t xml:space="preserve">Summe Leistungsstufe 4 - Lph. 8 </t>
    </r>
    <r>
      <rPr>
        <b/>
        <sz val="8"/>
        <color theme="1"/>
        <rFont val="Arial"/>
        <family val="2"/>
      </rPr>
      <t>(HOAI max 15,00 v.H. - VHF max. 14,10 %)</t>
    </r>
  </si>
  <si>
    <t>Leistungsstufe 5
Leistungsphase 9: Objektbetreuung</t>
  </si>
  <si>
    <r>
      <t xml:space="preserve">Summe Leistungsstufe 3A - Lph. 6 </t>
    </r>
    <r>
      <rPr>
        <b/>
        <sz val="8"/>
        <color theme="1"/>
        <rFont val="Arial"/>
        <family val="2"/>
      </rPr>
      <t xml:space="preserve">(HOAI max. 10,00 v.H. - VHF max. 9,90 v.H.) </t>
    </r>
  </si>
  <si>
    <t>HB Grundltg. Bund</t>
  </si>
  <si>
    <t>HB Bund</t>
  </si>
  <si>
    <t>Vorgänge und Bedingungen unter Verwendung des Musters 7 RBBau</t>
  </si>
  <si>
    <t>mindestens gegliedert in die erste Ebene der Kostengliederung unter Verwendung des Musters 6 RBBau, Vergleich mit den finanziellen Rahmenbedingungen</t>
  </si>
  <si>
    <t>Zusammenfassen, Erläutern und Dokumentieren und</t>
  </si>
  <si>
    <t>Übergaben der Ergebnisse</t>
  </si>
  <si>
    <t xml:space="preserve">Erarbeiten des Entwurfs nach Abschnitt F RBBau  </t>
  </si>
  <si>
    <t>auf Grundlage der Vorplanung durch zeichnerische Darstellung im erforderlichen Umfang und Detaillierungsgrad unter Berücksichtigung aller fachspezifischen Anforderungen
Bereitstellen der Arbeitsergebnisse als Grundlage für die anderen an der Planung fachlich Beteiligten sowie Integration und Koordination der Fachplanungen</t>
  </si>
  <si>
    <t xml:space="preserve">Erstellen des Erläuterungsberichts unter Verwendung </t>
  </si>
  <si>
    <t>des Musters 7 RBBau mit Anlagen 1 und 2 sowie unter Verwendung der Beiträge anderer an der Planung fachlich Beteiligter</t>
  </si>
  <si>
    <t xml:space="preserve">Fachspezifische Berechnungen, ausgenommen Berechnungen aus anderen </t>
  </si>
  <si>
    <t>mindestens gegliedert in die zweite Ebene der Kostengliederung unter Verwendung des Musters 6 RBBau einschließlich zugehöriger Mengenermittlung. Vergleich der Kosten-berechnung mit der Kostenschätzung in allen Kostengruppen; bei mehreren Objekten jeweils getrennt</t>
  </si>
  <si>
    <t>Zusammenfassen, Erläutern und Dokumentieren der Ergebnisse;</t>
  </si>
  <si>
    <r>
      <t>Summe Leistungsstufe 2 - Lph. 5</t>
    </r>
    <r>
      <rPr>
        <b/>
        <sz val="8"/>
        <color theme="1"/>
        <rFont val="Arial"/>
        <family val="2"/>
      </rPr>
      <t xml:space="preserve"> (HOAI / RBBau max. 15,00 v.H.) </t>
    </r>
  </si>
  <si>
    <t>Leistungsbeschreibungen mit Leistungsverzeichnissen sowie der Besonderen Vertragsbedingungen unter Beachtung der Allgemeinen Richtlinien Vergabeverfahren für die Bauaufgaben des Bundes (VHB) und unter Verwendung der Standardleistungsbücher für das Bauwesen</t>
  </si>
  <si>
    <t>* VHF Bayern - Abzug 0,105 %, Grundleistung obliegt dem Auftraggeber</t>
  </si>
  <si>
    <t>Erstellen der Vergabevorschlägeunter Verwendung der VHB-Muster,</t>
  </si>
  <si>
    <t>Dokumentation des Vergabeverfahrens</t>
  </si>
  <si>
    <t>bepreisten Leistungsverzeichnissen und der Kostenberechnung</t>
  </si>
  <si>
    <t>(unter Verwendung des RLBau Musters Übergabe)</t>
  </si>
  <si>
    <r>
      <t xml:space="preserve">Summe Leistungsstufe 4 - Lph. 8 </t>
    </r>
    <r>
      <rPr>
        <b/>
        <sz val="8"/>
        <color theme="1"/>
        <rFont val="Arial"/>
        <family val="2"/>
      </rPr>
      <t>(HOAI max 15,00 v.H. - RBBau max. 14,10 %)</t>
    </r>
  </si>
  <si>
    <r>
      <t xml:space="preserve">Summe Leistungsstufe 1B - Lph. 2 </t>
    </r>
    <r>
      <rPr>
        <b/>
        <sz val="8"/>
        <color theme="1"/>
        <rFont val="Arial"/>
        <family val="2"/>
      </rPr>
      <t xml:space="preserve">(HOAI / VHF max. 20,00 v.H.) </t>
    </r>
  </si>
  <si>
    <r>
      <t>Summe Leistungsstufe 1C - Lph. 3</t>
    </r>
    <r>
      <rPr>
        <b/>
        <sz val="8"/>
        <color theme="1"/>
        <rFont val="Arial"/>
        <family val="2"/>
      </rPr>
      <t xml:space="preserve"> (HOAI / VHF max. 25,00 v.H.) </t>
    </r>
  </si>
  <si>
    <r>
      <t xml:space="preserve">Summe Leistungsstufe 1D - Lph. 4 </t>
    </r>
    <r>
      <rPr>
        <b/>
        <sz val="8"/>
        <color theme="1"/>
        <rFont val="Arial"/>
        <family val="2"/>
      </rPr>
      <t xml:space="preserve">(HOAI / VHF max. 8,00 v.H.) </t>
    </r>
  </si>
  <si>
    <r>
      <t>Summe Leistungsstufe 2 - Lph. 5</t>
    </r>
    <r>
      <rPr>
        <b/>
        <sz val="8"/>
        <color theme="1"/>
        <rFont val="Arial"/>
        <family val="2"/>
      </rPr>
      <t xml:space="preserve"> (HOAI / VHF max. 15,00 v.H.) </t>
    </r>
  </si>
  <si>
    <r>
      <t>Summe Leistungsstufe 5 - Lph. 9</t>
    </r>
    <r>
      <rPr>
        <b/>
        <sz val="8"/>
        <color theme="1"/>
        <rFont val="Arial"/>
        <family val="2"/>
      </rPr>
      <t xml:space="preserve"> (HOAI / VHF max. 1,00 %)</t>
    </r>
  </si>
  <si>
    <t>zu Leistungsstufe 1</t>
  </si>
  <si>
    <t>1.06</t>
  </si>
  <si>
    <t>1.07</t>
  </si>
  <si>
    <t>zu Leistungsstufe 3</t>
  </si>
  <si>
    <t>4.06</t>
  </si>
  <si>
    <t>4.07</t>
  </si>
  <si>
    <t>5.06</t>
  </si>
  <si>
    <t>4.08</t>
  </si>
  <si>
    <t>zu Leistungsstufe 3A</t>
  </si>
  <si>
    <t>zu Leistungsstufe 3B</t>
  </si>
  <si>
    <t>Teil E</t>
  </si>
  <si>
    <t>Honorarberechnung</t>
  </si>
  <si>
    <t>Honorarzone:</t>
  </si>
  <si>
    <t>Bei dem Berechnungshonorar handelt es sich um ein</t>
  </si>
  <si>
    <t>(Ber.Honorar)</t>
  </si>
  <si>
    <t>Vorläufiges Honorar</t>
  </si>
  <si>
    <t>Endgültiges Honorar (pauschal)</t>
  </si>
  <si>
    <t>(Honorar &lt;&gt; HT)</t>
  </si>
  <si>
    <t>Ermittlung des Honorars</t>
  </si>
  <si>
    <t>Basishonorar Leistungsphasen 1 bis 9</t>
  </si>
  <si>
    <t>v.H.</t>
  </si>
  <si>
    <t>4.10</t>
  </si>
  <si>
    <t>Minderung/ Erhöhung des Basishonorars § 7 (1) HOAI</t>
  </si>
  <si>
    <t>5.3</t>
  </si>
  <si>
    <t>5.4</t>
  </si>
  <si>
    <t>Honorar für Grundleistungen in Höhe von</t>
  </si>
  <si>
    <r>
      <t xml:space="preserve">Zum Honorar für Grundleistungen wird für </t>
    </r>
    <r>
      <rPr>
        <b/>
        <sz val="10"/>
        <color theme="1"/>
        <rFont val="Arial"/>
        <family val="2"/>
      </rPr>
      <t xml:space="preserve">Umbauten und Modernisierungen </t>
    </r>
    <r>
      <rPr>
        <sz val="10"/>
        <color theme="1"/>
        <rFont val="Arial"/>
        <family val="2"/>
      </rPr>
      <t xml:space="preserve">ein </t>
    </r>
  </si>
  <si>
    <t>7.6</t>
  </si>
  <si>
    <r>
      <t>Zum Honorar für Grundleistungen wird für</t>
    </r>
    <r>
      <rPr>
        <b/>
        <sz val="10"/>
        <color theme="1"/>
        <rFont val="Arial"/>
        <family val="2"/>
      </rPr>
      <t xml:space="preserve"> Instandsetzung und Instandhaltung</t>
    </r>
    <r>
      <rPr>
        <sz val="10"/>
        <color theme="1"/>
        <rFont val="Arial"/>
        <family val="2"/>
      </rPr>
      <t xml:space="preserve"> ein </t>
    </r>
  </si>
  <si>
    <t>7.7</t>
  </si>
  <si>
    <t>7.8</t>
  </si>
  <si>
    <t>7.9</t>
  </si>
  <si>
    <t xml:space="preserve">Wiederholungen nach § 11 (3) HOAI </t>
  </si>
  <si>
    <t>Für Wiederholungen nach § 11 (3) HOAI mit Minderung der Leistungsphasen 1 - 6</t>
  </si>
  <si>
    <t>8.2</t>
  </si>
  <si>
    <r>
      <rPr>
        <b/>
        <sz val="10"/>
        <color theme="1"/>
        <rFont val="Arial"/>
        <family val="2"/>
      </rPr>
      <t xml:space="preserve">Berechnung für </t>
    </r>
    <r>
      <rPr>
        <sz val="10"/>
        <color theme="1"/>
        <rFont val="Arial"/>
        <family val="2"/>
      </rPr>
      <t>Wiederholung Nr.:</t>
    </r>
  </si>
  <si>
    <t>8.3</t>
  </si>
  <si>
    <t>8.4</t>
  </si>
  <si>
    <t>8.5</t>
  </si>
  <si>
    <t xml:space="preserve">Besondere Leistungen </t>
  </si>
  <si>
    <t>Honorar für die Besonderen Leistungen wird vereinbart in Höhe von</t>
  </si>
  <si>
    <t>Honorar für Grundleistungen und Besondere Leistungen in Höhe von</t>
  </si>
  <si>
    <t>Nebenkosten einschl. Reisekosten</t>
  </si>
  <si>
    <r>
      <t xml:space="preserve">Die Nebenkosten nach § 14 HOAI werden nicht gesondert erstattet. </t>
    </r>
    <r>
      <rPr>
        <sz val="8"/>
        <color theme="1"/>
        <rFont val="Arial"/>
        <family val="2"/>
      </rPr>
      <t>[ausgenommen Z 11.1]</t>
    </r>
  </si>
  <si>
    <t>10.2</t>
  </si>
  <si>
    <t>10.3</t>
  </si>
  <si>
    <t>10.4</t>
  </si>
  <si>
    <t>pauschal in Prozent des Nettohonorars nach Leistungsphasen:</t>
  </si>
  <si>
    <t>10.5</t>
  </si>
  <si>
    <t>10.6</t>
  </si>
  <si>
    <t xml:space="preserve">Vorplanung </t>
  </si>
  <si>
    <t>10.7</t>
  </si>
  <si>
    <t xml:space="preserve">Entwurfsplanung </t>
  </si>
  <si>
    <t>10.8</t>
  </si>
  <si>
    <t xml:space="preserve">Genehmigungsplanung </t>
  </si>
  <si>
    <t>10.9</t>
  </si>
  <si>
    <t>10.10</t>
  </si>
  <si>
    <t xml:space="preserve">Ausführungsplanung </t>
  </si>
  <si>
    <t>10.11</t>
  </si>
  <si>
    <t>10.12</t>
  </si>
  <si>
    <t>Mitwirkung bei der Vergabe</t>
  </si>
  <si>
    <t>10.13</t>
  </si>
  <si>
    <t>10.14</t>
  </si>
  <si>
    <t xml:space="preserve">Bauoberleitung </t>
  </si>
  <si>
    <t>10.15</t>
  </si>
  <si>
    <t>Die Nebenkosten nach § 14 HOAI sind im Angebotsdokument anzugeben.</t>
  </si>
  <si>
    <t>Folgende hier aufgeführten Kosten werden gesondert auf Einzelnachweis vergütet:</t>
  </si>
  <si>
    <t>Auftragssumme</t>
  </si>
  <si>
    <t>15.2</t>
  </si>
  <si>
    <t>15.3</t>
  </si>
  <si>
    <t xml:space="preserve">Technische Zeichner, sonst. Mitarbeiter </t>
  </si>
  <si>
    <t>Fachlich Verantwortliche für die Erbringung der vertraglichen Leistung:</t>
  </si>
  <si>
    <t>Teilleistung &gt;0</t>
  </si>
  <si>
    <t>Grundlst.</t>
  </si>
  <si>
    <t>Lph 1</t>
  </si>
  <si>
    <t>16.1</t>
  </si>
  <si>
    <t>Name</t>
  </si>
  <si>
    <t>Lph 2</t>
  </si>
  <si>
    <t>16.2</t>
  </si>
  <si>
    <t>Qualifikation</t>
  </si>
  <si>
    <t>Lph 3</t>
  </si>
  <si>
    <t>Lph 4</t>
  </si>
  <si>
    <t>Es sind mehrere Personen für die Leistungsphasen fachlich verantwortlich.</t>
  </si>
  <si>
    <t>Lph 5</t>
  </si>
  <si>
    <t>16.3</t>
  </si>
  <si>
    <t>Lph 6</t>
  </si>
  <si>
    <t>16.4</t>
  </si>
  <si>
    <t>Lph 7</t>
  </si>
  <si>
    <t>16.5</t>
  </si>
  <si>
    <t>Lph 8</t>
  </si>
  <si>
    <t>16.6</t>
  </si>
  <si>
    <t>Lph 9</t>
  </si>
  <si>
    <t>16.7</t>
  </si>
  <si>
    <t>Summe</t>
  </si>
  <si>
    <t>16.8</t>
  </si>
  <si>
    <t>16.9</t>
  </si>
  <si>
    <t>16.10</t>
  </si>
  <si>
    <t>16.11</t>
  </si>
  <si>
    <t>16.12</t>
  </si>
  <si>
    <t>16.13</t>
  </si>
  <si>
    <t>16.14</t>
  </si>
  <si>
    <t>16.15</t>
  </si>
  <si>
    <t>16.16</t>
  </si>
  <si>
    <t>16.17</t>
  </si>
  <si>
    <t>16.18</t>
  </si>
  <si>
    <t>16.99</t>
  </si>
  <si>
    <t>17</t>
  </si>
  <si>
    <t>17.1</t>
  </si>
  <si>
    <t>17.2</t>
  </si>
  <si>
    <t>17.3</t>
  </si>
  <si>
    <t>EP</t>
  </si>
  <si>
    <t>18.2</t>
  </si>
  <si>
    <t>Wertungssumme</t>
  </si>
  <si>
    <r>
      <t>Angebotssumme</t>
    </r>
    <r>
      <rPr>
        <sz val="10"/>
        <color theme="1"/>
        <rFont val="Arial"/>
        <family val="2"/>
      </rPr>
      <t xml:space="preserve"> netto</t>
    </r>
    <r>
      <rPr>
        <sz val="8"/>
        <color theme="1"/>
        <rFont val="Arial"/>
        <family val="2"/>
      </rPr>
      <t xml:space="preserve"> </t>
    </r>
    <r>
      <rPr>
        <i/>
        <sz val="8"/>
        <color theme="1"/>
        <rFont val="Arial"/>
        <family val="2"/>
      </rPr>
      <t>[ Z 12 + Z 19 ]</t>
    </r>
  </si>
  <si>
    <t>Die Angebotssumme wird zur Ermittlung der Wertungsreihenfolge herangezogen; jedoch nicht Vertragsbestandteil!</t>
  </si>
  <si>
    <t>Honorartafel zu § 48 HOAI - Verkehrsanlagen</t>
  </si>
  <si>
    <t>Honorartafel</t>
  </si>
  <si>
    <r>
      <rPr>
        <b/>
        <sz val="12"/>
        <color theme="1"/>
        <rFont val="Arial"/>
        <family val="2"/>
      </rPr>
      <t>Berechnung Basishonorar</t>
    </r>
    <r>
      <rPr>
        <sz val="10"/>
        <color theme="1"/>
        <rFont val="Arial"/>
        <family val="2"/>
      </rPr>
      <t xml:space="preserve"> </t>
    </r>
  </si>
  <si>
    <t xml:space="preserve">gemäß § 48 HOAI </t>
  </si>
  <si>
    <t>Übersicht Leistungsphasen /-stufen</t>
  </si>
  <si>
    <t>4</t>
  </si>
  <si>
    <r>
      <t>Anrechenbare Kosten</t>
    </r>
    <r>
      <rPr>
        <b/>
        <sz val="8"/>
        <color theme="1"/>
        <rFont val="Arial"/>
        <family val="2"/>
      </rPr>
      <t xml:space="preserve"> </t>
    </r>
    <r>
      <rPr>
        <sz val="8"/>
        <color theme="1"/>
        <rFont val="Arial"/>
        <family val="2"/>
      </rPr>
      <t>für Leistungsphase 8</t>
    </r>
  </si>
  <si>
    <t>"Verdeckte Formel in I70"</t>
  </si>
  <si>
    <r>
      <t xml:space="preserve">bei im Wesentlichen gleichen Verkehrsanlagen wird nach § 11 (3) HOAI eine Minderung der Prozentsätze der Leistungsphasen 1 - 6 für Wiederholungen vereinbart.
</t>
    </r>
    <r>
      <rPr>
        <sz val="8"/>
        <color theme="1"/>
        <rFont val="Arial"/>
        <family val="2"/>
      </rPr>
      <t>(1. bis 4. Wiederholung 50 %, 5. bis 7. Wiederholung 60 % und ab 8. Wiederholung 90 % Minderung)</t>
    </r>
  </si>
  <si>
    <t>Teil F</t>
  </si>
  <si>
    <t>Zellverknüpfung</t>
  </si>
  <si>
    <r>
      <rPr>
        <b/>
        <sz val="10"/>
        <color theme="1"/>
        <rFont val="Arial"/>
        <family val="2"/>
      </rPr>
      <t xml:space="preserve">Honorarzone: 
 </t>
    </r>
    <r>
      <rPr>
        <sz val="8"/>
        <color theme="1"/>
        <rFont val="Arial"/>
        <family val="2"/>
      </rPr>
      <t>siehe Teil B</t>
    </r>
  </si>
  <si>
    <t xml:space="preserve">Zwischensumme </t>
  </si>
  <si>
    <t xml:space="preserve">Leistungsstufe/ Leistungsphase </t>
  </si>
  <si>
    <t xml:space="preserve">
</t>
  </si>
  <si>
    <t>%</t>
  </si>
  <si>
    <t>Lph 1 bis 7 und 9 (Teil A Z 10)</t>
  </si>
  <si>
    <t>Lph 8 (Teil A Z 12)</t>
  </si>
  <si>
    <t>* VHF Bayern - Abzug 0,30 v.H.-Satz, Grundleistung obliegt dem Auftraggeber</t>
  </si>
  <si>
    <t>Erhöhung um 2,00 v.H.-Satz</t>
  </si>
  <si>
    <t>Erhöhung um 20,00 v.H.-Satz</t>
  </si>
  <si>
    <t>* VHF Bayern - Abzug 0,50 v.H.-Satz, Grundleistung obliegt dem Auftraggeber</t>
  </si>
  <si>
    <t>* VHF Bayern - Abzug 0,25 v.H.-Satz, Grundleistung obliegt dem Auftraggeber</t>
  </si>
  <si>
    <t>* VHF Bayern - Abzug 0,50 v.H.-Satz, Durchsicht, Nachrechnen der Angebote einschl. Erstellen der Preisspiegel erbringt der Auftraggeber</t>
  </si>
  <si>
    <t>* VHF Bayern - Abzug 0,20 v.H.-Satz, Aufklärungsgespräche mit den Bietern werden federführend durch Auftraggeber geführt</t>
  </si>
  <si>
    <t>* VHF Bayern - Abzug 0,15 v.H.-Satz, das Zusammenstellen der Vertragsunterlagen erfolgt durch den Auftraggeber</t>
  </si>
  <si>
    <t>* VHF Bayern - Abzug 2,00 v.H.-Satz, Einweisung und Aufsicht entfallen, wenn der Auftragnehmer mit der örtl. Bauüberwachung beauftragt ist.</t>
  </si>
  <si>
    <r>
      <t xml:space="preserve">Summe über alle Leistungsphasen 
</t>
    </r>
    <r>
      <rPr>
        <b/>
        <sz val="8"/>
        <color theme="1"/>
        <rFont val="Arial"/>
        <family val="2"/>
      </rPr>
      <t xml:space="preserve">(HOAI 100 v.H.-Satz - VHF max. 98,10 v.H.-Satz) </t>
    </r>
  </si>
  <si>
    <r>
      <t>Summe Leistungsphase 9</t>
    </r>
    <r>
      <rPr>
        <b/>
        <sz val="8"/>
        <color theme="1"/>
        <rFont val="Arial"/>
        <family val="2"/>
      </rPr>
      <t xml:space="preserve"> (VHF max. 1,00 v.H.-Satz)</t>
    </r>
  </si>
  <si>
    <r>
      <t>Summe Leistungsphase 8</t>
    </r>
    <r>
      <rPr>
        <b/>
        <sz val="8"/>
        <color theme="1"/>
        <rFont val="Arial"/>
        <family val="2"/>
      </rPr>
      <t xml:space="preserve"> (VHF max. 15,00 v.H.-Satz)</t>
    </r>
  </si>
  <si>
    <r>
      <t>Summe Leistungsphase 7</t>
    </r>
    <r>
      <rPr>
        <b/>
        <sz val="8"/>
        <color theme="1"/>
        <rFont val="Arial"/>
        <family val="2"/>
      </rPr>
      <t xml:space="preserve"> (HOAI max. 4,00 v.H.-Satz - VHF max. 2,90 v.H.-Satz) </t>
    </r>
  </si>
  <si>
    <r>
      <t>Summe Leistungsphase 6</t>
    </r>
    <r>
      <rPr>
        <b/>
        <sz val="8"/>
        <color theme="1"/>
        <rFont val="Arial"/>
        <family val="2"/>
      </rPr>
      <t xml:space="preserve"> (HOAI max. 10,00 v.H.-Satz - VHF max. 9,50 v.H.-Satz) </t>
    </r>
  </si>
  <si>
    <r>
      <t>Summe Leistungsphase 5</t>
    </r>
    <r>
      <rPr>
        <b/>
        <sz val="8"/>
        <color theme="1"/>
        <rFont val="Arial"/>
        <family val="2"/>
      </rPr>
      <t xml:space="preserve"> (VHF max. 15,00 v.H.-Satz) </t>
    </r>
  </si>
  <si>
    <r>
      <t>Summe Leistungsphase 4</t>
    </r>
    <r>
      <rPr>
        <b/>
        <sz val="8"/>
        <color theme="1"/>
        <rFont val="Arial"/>
        <family val="2"/>
      </rPr>
      <t xml:space="preserve"> (VHF max. 8,00 v.H.-Satz) </t>
    </r>
  </si>
  <si>
    <r>
      <t>Summe Leistungsphase 3</t>
    </r>
    <r>
      <rPr>
        <b/>
        <sz val="8"/>
        <color theme="1"/>
        <rFont val="Arial"/>
        <family val="2"/>
      </rPr>
      <t xml:space="preserve"> (VHF max. 25,00 v.H.-Satz) </t>
    </r>
  </si>
  <si>
    <r>
      <t>Summe Leistungsphase 2</t>
    </r>
    <r>
      <rPr>
        <b/>
        <sz val="8"/>
        <color theme="1"/>
        <rFont val="Arial"/>
        <family val="2"/>
      </rPr>
      <t xml:space="preserve"> (VHF max. 20,00 v.H.-Satz) </t>
    </r>
  </si>
  <si>
    <r>
      <t>Summe Leistungsphase 1</t>
    </r>
    <r>
      <rPr>
        <b/>
        <sz val="8"/>
        <color theme="1"/>
        <rFont val="Arial"/>
        <family val="2"/>
      </rPr>
      <t xml:space="preserve"> (HOAI max. 2,00 v.H.-Satz - VHF max. 1,70 v.H.-Satz) </t>
    </r>
  </si>
  <si>
    <t>Teil G</t>
  </si>
  <si>
    <t>Honorarabrechnung</t>
  </si>
  <si>
    <t>Hauptauftrag</t>
  </si>
  <si>
    <t>Auftragsabwicklung</t>
  </si>
  <si>
    <t>incl. Stufenabruf Nr.:</t>
  </si>
  <si>
    <t>Leistungsstufen/ 
   Leistungsphasen</t>
  </si>
  <si>
    <t>beauftragte Summe</t>
  </si>
  <si>
    <t xml:space="preserve">Honorarabrechnung
</t>
  </si>
  <si>
    <t>beauf-tragt</t>
  </si>
  <si>
    <t xml:space="preserve"> erbrachte Leistung
</t>
  </si>
  <si>
    <t>Prozent</t>
  </si>
  <si>
    <t/>
  </si>
  <si>
    <t>Honorar - Hauptauftrag</t>
  </si>
  <si>
    <t>Vertragsergänzung</t>
  </si>
  <si>
    <t>Nr.</t>
  </si>
  <si>
    <t>Bezeichnung</t>
  </si>
  <si>
    <t>Ergänzung 01</t>
  </si>
  <si>
    <t>zusätzliche Leistung</t>
  </si>
  <si>
    <t>Ergänzung 02</t>
  </si>
  <si>
    <t>Ergänzung 03</t>
  </si>
  <si>
    <t>Ergänzung 04</t>
  </si>
  <si>
    <t>Ergänzung 05</t>
  </si>
  <si>
    <t>Ergänzung 06</t>
  </si>
  <si>
    <t>Honorar incl. Vertragsergänzungen</t>
  </si>
  <si>
    <t>Abrechnung</t>
  </si>
  <si>
    <t>Honorarsumme (kummulativ)</t>
  </si>
  <si>
    <t>gem. §12  VI.1 AVB (Hochbau)</t>
  </si>
  <si>
    <t>bisher abgerechnet:</t>
  </si>
  <si>
    <t>Abrechnungsstand vom: …</t>
  </si>
  <si>
    <t>Auszahlungsbetrag:</t>
  </si>
  <si>
    <t>LPH 1-7 u. 9</t>
  </si>
  <si>
    <t>Teil HB-C2</t>
  </si>
  <si>
    <t>Teil HB-D2</t>
  </si>
  <si>
    <t>Festlegung der Besonderen Leistungen Hochbau - Land</t>
  </si>
  <si>
    <t>Festlegung der Besonderen Leistungen Hochbau - Bund</t>
  </si>
  <si>
    <t>Honorartafel nach §48 HOAI</t>
  </si>
  <si>
    <t>gesamten Leistungsbedarf</t>
  </si>
  <si>
    <t>Durchführen von zur Lösung der Aufgabenstellung erforderlichen Erkundungen, z.B. Nutzung angrenzender Flächen (in Ortslagen: vorhandene Anliegernutzungen sowie Nutzung und Gestaltung des Straßenraumes), 
Ver- und Entsorgungsleitungen
Erfassen der örtlichen Gegebenheiten durch eine Bilddokumentation
Dokumentieren von Mängeln im funktionalen und gestalterischen Bereich; Mängelanalyse</t>
  </si>
  <si>
    <t xml:space="preserve">Ermitteln der Schallimmissionen von der Verkehrsanlage nach </t>
  </si>
  <si>
    <t>Tabellenwerten; 
Festlegen der erforderlichen Schallschutzmaßnahmen an der Verkehrsanlage, gegebenenfalls unter Einarbeitung der Ergebnisse detaillierter schalltechnischer Untersuchungen und Feststellen der Notwendigkeit von Schallschutzmaßnahmen an betroffenen Gebäuden</t>
  </si>
  <si>
    <t>Mitwirken beim Abfassen von Stellungnahmen zu Bedenken und</t>
  </si>
  <si>
    <t>Anregungen in bis zu 10 Kategorien</t>
  </si>
  <si>
    <t>bepreisten Leistungsverzeichnisse mit der Kostenberechnung</t>
  </si>
  <si>
    <t>Zustandsfeststellung und Durchführung aller vorbereitenden Maßnahmen für die Abnahme der Bauleistungen unter Beteiligung der örtlichen Bauüberwachung und anderer an der Planung und Objektüberwachung fachlich Beteiligter  gemäß VHB Bayern
Feststellen von Mängeln und Dokumentation
Vorbereitung und Fertigung der Abnahmeniederschrift nach VHB Bayern
Die Unterzeichnung erfolgt durch den AG.</t>
  </si>
  <si>
    <t>Einweisung der örtlichen Bauüberwachung in die Baumaßnahme (Bauanlaufbesprechung)
Aufsicht über die örtliche Bauüberwachung
Koordinierung aller am Projekt zu Beteiligenden (Schnittstellenkoordination) auch unter Berücksichtigung umweltfachlicher Aspekte
Formale Prüfung der Bauausführungsunterlagen des Auftragnehmers auf Übereinstimmung mit dem auszuführenden Projekt, sowie auf Einhaltung von Auflagen 
(z. B. umweltfachliche und verkehrliche Aspekte, Verbringungskonzepte, Arbeitsanweisungen)</t>
  </si>
  <si>
    <t>Abstimmen und Koordinieren der Schnittstellen zu den Leistungs-</t>
  </si>
  <si>
    <t>beschreibungen der anderen an der Planung fachlich Beteiligten</t>
  </si>
  <si>
    <t>Ermitteln von Mengen nach Einzelpositionen unter Verwendung der</t>
  </si>
  <si>
    <t xml:space="preserve"> Beiträge anderer an der Planung fachlich Beteiligter</t>
  </si>
  <si>
    <t>der Kostenberechnung mit der Kostenschätzung</t>
  </si>
  <si>
    <t xml:space="preserve">Mitwirken beim Erläutern des vorläufigen Entwurfs gegenüber Dritten an </t>
  </si>
  <si>
    <t xml:space="preserve">bis zu 3 Terminen, Überarbeiten des vorläufigen Entwurfs auf Grund von Bedenken und Anregungen </t>
  </si>
  <si>
    <t>Untersuchungen von Lösungsmöglichkeiten mit ihren Einflüssen auf</t>
  </si>
  <si>
    <t>bauliche und konstruktive Gestaltung, Zweckmäßigkeit, Wirtschaftlichkeit unter Beachtung der Umweltverträglichkeit</t>
  </si>
  <si>
    <t xml:space="preserve">Vorabstimmen mit Behörden und anderen an der Planung fachlich </t>
  </si>
  <si>
    <t>Beteiligten über die Genehmigungsfähigkeit, gegebenenfalls Mitwirken bei Verhandlungen über die Bezuschussung und Kostenbeteiligung</t>
  </si>
  <si>
    <t xml:space="preserve">Mitwirken in Genehmigungsverfahren einschließlich der Teilnahme an </t>
  </si>
  <si>
    <t>bis zu 4 Erläuterungs-, Erörterungsterminen</t>
  </si>
  <si>
    <t xml:space="preserve">Mitwirken beim Abfassen von Stellungnahmen zu Bedenken und </t>
  </si>
  <si>
    <t>Anregungen in bis zu zehn Kategorien</t>
  </si>
  <si>
    <t>Beiträge anderer an der Planung fachlich Beteiligter</t>
  </si>
  <si>
    <t>Aufstellen, Fortschreiben und Überwachen eines Terminplans</t>
  </si>
  <si>
    <t>(Balkendiagramm)</t>
  </si>
  <si>
    <t>in Verzug zu setzen</t>
  </si>
  <si>
    <t xml:space="preserve">Veranlassen und Mitwirken daran, die ausführenden Unternehmen </t>
  </si>
  <si>
    <t>Leistungen und Lieferungen und Teilnahme daran, unter Mitwirkung der örtlichen Bauüberwachung und anderer an der Planung und Objektüberwachung fachlich Beteiligter, Feststellen von Mängeln, Fertigung einer Niederschrift über das Ergebnis der Abnahme</t>
  </si>
  <si>
    <t xml:space="preserve">Kostenfeststellung, Vergleich der Kostenfeststellung mit der </t>
  </si>
  <si>
    <t>Leistungsstufe 1
Leistungsphase 1: Grundlagenermittlung - Entscheidungsunterlage Bau</t>
  </si>
  <si>
    <t>Leistungsstufe 1
Leistungsphase 2: Vorplanung</t>
  </si>
  <si>
    <t>Leistungsstufe 1
Leistungsphase 3: Entwurfsplanung</t>
  </si>
  <si>
    <t xml:space="preserve">Untersuchungen von Lösungsmöglichkeiten mit ihren Einflüssen auf </t>
  </si>
  <si>
    <r>
      <t>Summe Leistungsstufe 1 - Lph. 3</t>
    </r>
    <r>
      <rPr>
        <b/>
        <sz val="8"/>
        <color theme="1"/>
        <rFont val="Arial"/>
        <family val="2"/>
      </rPr>
      <t xml:space="preserve"> (HOAI / RBBau max. 25,00 v.H.) </t>
    </r>
  </si>
  <si>
    <r>
      <t xml:space="preserve">Summe Leistungsstufe 1 - Lph. 2 </t>
    </r>
    <r>
      <rPr>
        <b/>
        <sz val="8"/>
        <color theme="1"/>
        <rFont val="Arial"/>
        <family val="2"/>
      </rPr>
      <t xml:space="preserve">(HOAI / RBBAu max. 20,00 v.H.) </t>
    </r>
  </si>
  <si>
    <t>in vierfacher Ausfertigung</t>
  </si>
  <si>
    <r>
      <t>als Beitrag zur Entwurfsunterlage-Bau / Bauunterlage / HU-Bau</t>
    </r>
    <r>
      <rPr>
        <vertAlign val="superscript"/>
        <sz val="10"/>
        <color theme="1"/>
        <rFont val="Arial"/>
        <family val="2"/>
      </rPr>
      <t>1</t>
    </r>
    <r>
      <rPr>
        <sz val="10"/>
        <color theme="1"/>
        <rFont val="Arial"/>
        <family val="2"/>
      </rPr>
      <t xml:space="preserve"> gemäß F 2 RBBau und Übergeben </t>
    </r>
  </si>
  <si>
    <r>
      <rPr>
        <i/>
        <vertAlign val="superscript"/>
        <sz val="8"/>
        <rFont val="Arial"/>
        <family val="2"/>
      </rPr>
      <t>1</t>
    </r>
    <r>
      <rPr>
        <i/>
        <sz val="8"/>
        <rFont val="Arial"/>
        <family val="2"/>
      </rPr>
      <t xml:space="preserve"> Nur bei Baumaßnahmen der Gaststreitkräfte</t>
    </r>
  </si>
  <si>
    <t>bis zu vier Erläuterungs-, Erörterungsterminen</t>
  </si>
  <si>
    <r>
      <t xml:space="preserve">Summe Leistungsstufe 1 - Lph. 4 </t>
    </r>
    <r>
      <rPr>
        <b/>
        <sz val="8"/>
        <color theme="1"/>
        <rFont val="Arial"/>
        <family val="2"/>
      </rPr>
      <t xml:space="preserve">(HOAI / RBBau max. 8,00 v.H.) </t>
    </r>
  </si>
  <si>
    <t>Leistungsstufe 1
Leistungsphase 4: Genehmigungsplanung</t>
  </si>
  <si>
    <t>Leistungsstufe 3
Leistungsphase 6: Vorbereitung der Vergabe</t>
  </si>
  <si>
    <t>Leistungsstufe 3
Leistungsphase 7: Mitwirkung bei der Vergabe</t>
  </si>
  <si>
    <r>
      <t xml:space="preserve">Summe Leistungsstufe 3 - Lph. 6 </t>
    </r>
    <r>
      <rPr>
        <b/>
        <sz val="8"/>
        <color theme="1"/>
        <rFont val="Arial"/>
        <family val="2"/>
      </rPr>
      <t xml:space="preserve">(HOAI max. 10,00 v.H. - RBBau max. 9,90 v.H.) </t>
    </r>
  </si>
  <si>
    <r>
      <t>Summe Leistungsstufe 3 - Lph. 7</t>
    </r>
    <r>
      <rPr>
        <b/>
        <sz val="8"/>
        <color theme="1"/>
        <rFont val="Arial"/>
        <family val="2"/>
      </rPr>
      <t xml:space="preserve"> (HOAI max. 4,00 v.H - RBBau max. 2,70 v.H.) </t>
    </r>
  </si>
  <si>
    <t xml:space="preserve">Aufstellen, Fortschreiben und Überwachen eines Terminplans </t>
  </si>
  <si>
    <t>Veranlassen und Mitwirken daran, die ausführenden Unternehmen</t>
  </si>
  <si>
    <r>
      <t xml:space="preserve">Summe Leistungsstufe 3 </t>
    </r>
    <r>
      <rPr>
        <b/>
        <sz val="8"/>
        <color theme="1"/>
        <rFont val="Arial"/>
        <family val="2"/>
      </rPr>
      <t xml:space="preserve">(HOAI max. 14,00 v.H. / RBBau max. 12,60 v.H.) </t>
    </r>
  </si>
  <si>
    <t>HB Besond. Lstg. Bund</t>
  </si>
  <si>
    <t>HB Besond. Lstg. Land</t>
  </si>
  <si>
    <t>siehe VII.15.4 Teil A</t>
  </si>
  <si>
    <t>siehe VII.15.4 Teil B</t>
  </si>
  <si>
    <t xml:space="preserve">Bedarfsplanung nach Abschnitt E 2.2.1 RBBau </t>
  </si>
  <si>
    <t>(zur ES-Bau)</t>
  </si>
  <si>
    <t xml:space="preserve">Beschreibung der qualifizierten Bedarfsanforderung </t>
  </si>
  <si>
    <t>an Räume und Raumgruppen als Anforderungsraumbuch gemäß Abschnitt F 1.2.7 RBBau 
(zur ES-Bau)</t>
  </si>
  <si>
    <t>Variantenuntersuchung zur Bedarfsdeckung</t>
  </si>
  <si>
    <t>– über die Leistungen der Untersuchung von alternativen Lösungsmöglichkeiten hinaus – nach Abschnitt E 2.2.2 RBBau und Dokumentieren nach Abschnitt F 1.2.7 RBBau 
(zur ES-Bau)</t>
  </si>
  <si>
    <t>Besondere Leistungen Hochbau Bund</t>
  </si>
  <si>
    <r>
      <t xml:space="preserve">Vorgabe AG
</t>
    </r>
    <r>
      <rPr>
        <sz val="10"/>
        <color theme="1"/>
        <rFont val="Arial"/>
        <family val="2"/>
      </rPr>
      <t>[</t>
    </r>
    <r>
      <rPr>
        <b/>
        <sz val="8"/>
        <color theme="1"/>
        <rFont val="Arial"/>
        <family val="2"/>
      </rPr>
      <t>optional]</t>
    </r>
  </si>
  <si>
    <t xml:space="preserve">Summe Leistungsstufe 5 </t>
  </si>
  <si>
    <t xml:space="preserve">Summe Leistungsstufe 4 </t>
  </si>
  <si>
    <t xml:space="preserve">Summe Leistungsstufe 3 </t>
  </si>
  <si>
    <t xml:space="preserve">Summe Leistungsstufe 2 </t>
  </si>
  <si>
    <t xml:space="preserve">Summe Leistungsstufe 1 </t>
  </si>
  <si>
    <t>Vergleich der Ergebnisse der der Rechnungsprüfungen mit der Auftragssumme</t>
  </si>
  <si>
    <t>der Verjährungsfristen</t>
  </si>
  <si>
    <t xml:space="preserve">Erstellen einer Bestandsdokumentation nach </t>
  </si>
  <si>
    <t xml:space="preserve">Anlage VI.4 und Maßgabe F 1.3 RLBau </t>
  </si>
  <si>
    <t>- Mitwirken beim Einweisen des Bauauftragnehmers in die Baumaßnahme (Bauanlaufbesprechung)</t>
  </si>
  <si>
    <t>- Prüfen und Bewerten der Berechtigung von Nachträgen</t>
  </si>
  <si>
    <t>- Durchführen oder Veranlassen von Kontrollprüfungen</t>
  </si>
  <si>
    <t>- Überwachen der Beseitigung der bei der Abnahme der Leistungen festgestellten Mängel</t>
  </si>
  <si>
    <t>- Dokumentation des Bauablaufs</t>
  </si>
  <si>
    <t>bezogen auf die Anrechenb. Kosten LPH 8 in EURO</t>
  </si>
  <si>
    <t>- Überwachen der Ausführung des Objektes auf Übereinstimmung mit den zur Ausführung freigegebenen Unterlagen, dem Bauvertrag und den Vorgaben des Auftraggebers</t>
  </si>
  <si>
    <t xml:space="preserve">Summe Leistungsstufe 3B </t>
  </si>
  <si>
    <t xml:space="preserve">Summe Leistungsstufe 3A </t>
  </si>
  <si>
    <t xml:space="preserve">Summe Leistungsstufe 1D </t>
  </si>
  <si>
    <t xml:space="preserve">Summe Leistungsstufe 1B </t>
  </si>
  <si>
    <t xml:space="preserve">Summe Leistungsstufe 1A </t>
  </si>
  <si>
    <t xml:space="preserve">Summe Leistungsstufe 1C </t>
  </si>
  <si>
    <t xml:space="preserve"> F 1.3 RLBau und nach Anlage VI.4</t>
  </si>
  <si>
    <t>Erstellen von Baubestandsplänen gemäß Abschnitt</t>
  </si>
  <si>
    <t xml:space="preserve">nach den Vorgaben: </t>
  </si>
  <si>
    <t xml:space="preserve">Summe aller Leistungsstufen </t>
  </si>
  <si>
    <t xml:space="preserve">Prüfen von Nachträgen </t>
  </si>
  <si>
    <t>bezogen auf die Anrechenb.Kosten LPH 8 in EURO</t>
  </si>
  <si>
    <t>Erstellen von Bestandsplänen</t>
  </si>
  <si>
    <t xml:space="preserve">Örtliche Bauüberwachung </t>
  </si>
  <si>
    <t xml:space="preserve">Ermitteln besonderer, in den Normen nicht </t>
  </si>
  <si>
    <t xml:space="preserve">festgelegter Einwirkungen </t>
  </si>
  <si>
    <t xml:space="preserve">Beschaffen von Auszügen aus Grundbuch, Kataster </t>
  </si>
  <si>
    <t>und anderen  amtlichen Unterlagen</t>
  </si>
  <si>
    <t xml:space="preserve">Summe Leistungsphase 9 </t>
  </si>
  <si>
    <t xml:space="preserve">Summe über alle Leistungsphasen </t>
  </si>
  <si>
    <t xml:space="preserve">Summe Leistungsphase 8 </t>
  </si>
  <si>
    <t xml:space="preserve">Summe Leistungsphase 7 </t>
  </si>
  <si>
    <t xml:space="preserve">Summe Leistungsphase 6 </t>
  </si>
  <si>
    <t xml:space="preserve">Summe Leistungsphase 5 </t>
  </si>
  <si>
    <t xml:space="preserve">Summe Leistungsphase 4 </t>
  </si>
  <si>
    <t xml:space="preserve">Summe Leistungsphase 3 </t>
  </si>
  <si>
    <t xml:space="preserve">Summe Leistungsphase 2 </t>
  </si>
  <si>
    <t xml:space="preserve">Summe Leistungsphase 1 </t>
  </si>
  <si>
    <t>von Betroffenen</t>
  </si>
  <si>
    <t>Mitwirken bei der Beschaffung der Zustimmung</t>
  </si>
  <si>
    <t xml:space="preserve">Überwachen der Mängelbeseitigung innerhalb der </t>
  </si>
  <si>
    <t>Verjährungsfrist</t>
  </si>
  <si>
    <t>Anforderungen</t>
  </si>
  <si>
    <t>(gültig für bis einschl.10 Nachtragsvereinbarungen)</t>
  </si>
  <si>
    <t xml:space="preserve">Pauschale für einen Nachtrag </t>
  </si>
  <si>
    <t xml:space="preserve">Beurteilung, ob und ggf. welche Änderungen oder Ergänzungen des Bauvertrages (Nachtrag) erforderlich sind. Dabei sind auch technische und wirtschaftliche Gesichtspunkte zu berücksichtigen. </t>
  </si>
  <si>
    <t xml:space="preserve">Pauschale über eine geschätzte Bauzeit </t>
  </si>
  <si>
    <t>von 6 Wochen</t>
  </si>
  <si>
    <t xml:space="preserve">Unverzügliche Information an den Auftraggeber über erkennbare Änderungen der vertraglich zwischen dem Bauauftragnehmer und dem Auftraggeber vereinbarten Bauleistung, über Behinderungen und Unterbrechung der Ausführung, über geändertem Einsatz von Nachunternehmern / anderen Unternehmen sowie über Mengenänderungen und möglichen Kostenerhöhungen. </t>
  </si>
  <si>
    <t xml:space="preserve">Örtliche Bauüberwachung bei Bauvorhaben mit </t>
  </si>
  <si>
    <t>potenziellem  Konfliktpotenzial zwischen Umwelt- und Naturschutz und Bauvorhaben</t>
  </si>
  <si>
    <t>Vermessungstechnische Überwachung der</t>
  </si>
  <si>
    <t>Bauausführung, im Rahmen der Örtlichen Bauüberwachung</t>
  </si>
  <si>
    <r>
      <rPr>
        <b/>
        <sz val="10"/>
        <color theme="1"/>
        <rFont val="Arial"/>
        <family val="2"/>
      </rPr>
      <t>Kosten nach § 46 (3)</t>
    </r>
    <r>
      <rPr>
        <sz val="10"/>
        <color theme="1"/>
        <rFont val="Arial"/>
        <family val="2"/>
      </rPr>
      <t xml:space="preserve"> </t>
    </r>
    <r>
      <rPr>
        <b/>
        <sz val="10"/>
        <color theme="1"/>
        <rFont val="Arial"/>
        <family val="2"/>
      </rPr>
      <t xml:space="preserve">HOAI, </t>
    </r>
    <r>
      <rPr>
        <b/>
        <u/>
        <sz val="10"/>
        <color theme="1"/>
        <rFont val="Arial"/>
        <family val="2"/>
      </rPr>
      <t>soweit</t>
    </r>
    <r>
      <rPr>
        <b/>
        <sz val="10"/>
        <color theme="1"/>
        <rFont val="Arial"/>
        <family val="2"/>
      </rPr>
      <t xml:space="preserve"> </t>
    </r>
    <r>
      <rPr>
        <sz val="10"/>
        <color theme="1"/>
        <rFont val="Arial"/>
        <family val="2"/>
      </rPr>
      <t>vom Auftragnehmer geplant oder überwacht</t>
    </r>
    <r>
      <rPr>
        <sz val="8"/>
        <color theme="1"/>
        <rFont val="Arial"/>
        <family val="2"/>
      </rPr>
      <t xml:space="preserve"> (Anrechenbare Kosten!)</t>
    </r>
    <r>
      <rPr>
        <sz val="10"/>
        <color theme="1"/>
        <rFont val="Arial"/>
        <family val="2"/>
      </rPr>
      <t xml:space="preserve">
</t>
    </r>
  </si>
  <si>
    <r>
      <rPr>
        <b/>
        <sz val="10"/>
        <rFont val="Arial"/>
        <family val="2"/>
      </rPr>
      <t xml:space="preserve">Anrechenbare Kosten für Leistungsphasen 1 bis 7 und 9 </t>
    </r>
    <r>
      <rPr>
        <b/>
        <sz val="8"/>
        <rFont val="Arial"/>
        <family val="2"/>
      </rPr>
      <t xml:space="preserve">
</t>
    </r>
    <r>
      <rPr>
        <sz val="8"/>
        <rFont val="Arial"/>
        <family val="2"/>
      </rPr>
      <t>[Z 3 - Z 3.1 + Z 5.2 + Z 6.1 + Z 7.5  + Z 4.8] (§ 46 (1) bis (4) HOAI)</t>
    </r>
  </si>
  <si>
    <r>
      <t xml:space="preserve">Kosten für Technische Anlagen/Ausrüstung </t>
    </r>
    <r>
      <rPr>
        <sz val="10"/>
        <rFont val="Arial"/>
        <family val="2"/>
      </rPr>
      <t>[Z 7] der Verkehrsanlagen</t>
    </r>
  </si>
  <si>
    <r>
      <rPr>
        <sz val="10"/>
        <rFont val="Arial"/>
        <family val="2"/>
      </rPr>
      <t>25 % der Sonstigen Anrechenbaren Kosten</t>
    </r>
    <r>
      <rPr>
        <sz val="8"/>
        <rFont val="Arial"/>
        <family val="2"/>
      </rPr>
      <t xml:space="preserve"> (§ 46 (2) Nr. 1 HOAI)  [0,25 x Z 7.1]</t>
    </r>
  </si>
  <si>
    <r>
      <rPr>
        <sz val="10"/>
        <rFont val="Arial"/>
        <family val="2"/>
      </rPr>
      <t xml:space="preserve">Sonstige Anrechenbare Kosten für </t>
    </r>
    <r>
      <rPr>
        <b/>
        <sz val="10"/>
        <rFont val="Arial"/>
        <family val="2"/>
      </rPr>
      <t>Techn. Anlagen</t>
    </r>
  </si>
  <si>
    <t xml:space="preserve"> [Z 3 - Z 3.1 + Z 5.2 + Z 6.1 + Z 4.8] (§ 46 (1) bis (4))</t>
  </si>
  <si>
    <t>[Z 7 ≤ Z 7.2]  (§ 46 (2) Nr. 1 HOAI)</t>
  </si>
  <si>
    <t xml:space="preserve">Anrechenbare Kosten aus Z 7, aber nicht mehr als Z 7.2  </t>
  </si>
  <si>
    <t xml:space="preserve">Anrechenbare Kosten aus Z 7, wenn Z 7 größer als Z 7.2 </t>
  </si>
  <si>
    <t>[Z 7 &gt; Z 7.2] (§ 46 (2) Nr. 2 HOAI) [(Z 7 - Z 7.2) x 0,5]</t>
  </si>
  <si>
    <t xml:space="preserve"> [Z 3 + Z 4.8] (§ 46 (1) und (3))</t>
  </si>
  <si>
    <r>
      <rPr>
        <sz val="10"/>
        <color theme="1"/>
        <rFont val="Arial"/>
        <family val="2"/>
      </rPr>
      <t xml:space="preserve">Sonstige Anrechenbare Kosten für </t>
    </r>
    <r>
      <rPr>
        <b/>
        <sz val="10"/>
        <color theme="1"/>
        <rFont val="Arial"/>
        <family val="2"/>
      </rPr>
      <t xml:space="preserve">Techn. Anlagen </t>
    </r>
  </si>
  <si>
    <t>Anrechenbare Kosten aus Z 11, aber nicht mehr als Z 11.2</t>
  </si>
  <si>
    <t>[Z 11 ≤ Z 11.2]  (§ 46 (2) Nr. 1 HOAI)</t>
  </si>
  <si>
    <t>Anrechenbare Kosten aus Z 11, wenn Z 11 größer als Z 11.2</t>
  </si>
  <si>
    <t>[Z 11 &gt; Z 11.2] (§ 46 (2) Nr. 2 HOAI) [(Z 11 - Z 11.2) x 0,5]</t>
  </si>
  <si>
    <t>4.9</t>
  </si>
  <si>
    <t>5.5</t>
  </si>
  <si>
    <r>
      <t>Anrechenbare Kosten</t>
    </r>
    <r>
      <rPr>
        <b/>
        <sz val="8"/>
        <color theme="1"/>
        <rFont val="Arial"/>
        <family val="2"/>
      </rPr>
      <t xml:space="preserve"> </t>
    </r>
    <r>
      <rPr>
        <sz val="8"/>
        <color theme="1"/>
        <rFont val="Arial"/>
        <family val="2"/>
      </rPr>
      <t>für Leistungsphasen 1 bis 7 u. 9</t>
    </r>
  </si>
  <si>
    <r>
      <rPr>
        <b/>
        <sz val="10"/>
        <color theme="1"/>
        <rFont val="Arial"/>
        <family val="2"/>
      </rPr>
      <t xml:space="preserve">Sonstige Anrechenbare Kosten </t>
    </r>
    <r>
      <rPr>
        <sz val="10"/>
        <color theme="1"/>
        <rFont val="Arial"/>
        <family val="2"/>
      </rPr>
      <t xml:space="preserve">für </t>
    </r>
    <r>
      <rPr>
        <b/>
        <sz val="10"/>
        <color theme="1"/>
        <rFont val="Arial"/>
        <family val="2"/>
      </rPr>
      <t xml:space="preserve">Erd- und Felsarbeiten </t>
    </r>
    <r>
      <rPr>
        <b/>
        <sz val="8"/>
        <color theme="1"/>
        <rFont val="Arial"/>
        <family val="2"/>
      </rPr>
      <t xml:space="preserve">
</t>
    </r>
  </si>
  <si>
    <t xml:space="preserve">(§ 46 (4) HOAI, hier sind die Kosten nach § 46 (3) nicht zu berücksichtigen) [Z 3 - Z 3.1] </t>
  </si>
  <si>
    <t>a)</t>
  </si>
  <si>
    <t>b)</t>
  </si>
  <si>
    <t>c)</t>
  </si>
  <si>
    <t>d)</t>
  </si>
  <si>
    <t>e)</t>
  </si>
  <si>
    <t>g)</t>
  </si>
  <si>
    <t>h)</t>
  </si>
  <si>
    <t>i)</t>
  </si>
  <si>
    <t>j)</t>
  </si>
  <si>
    <t>k)</t>
  </si>
  <si>
    <t>l)</t>
  </si>
  <si>
    <t>f)</t>
  </si>
  <si>
    <t>m)</t>
  </si>
  <si>
    <t>n)</t>
  </si>
  <si>
    <t>o)</t>
  </si>
  <si>
    <t>HOAI  § 9 (1)  - Bei Beauftragung der Vorplanung als Einzelleistung  Erhöhung um 2,00 %</t>
  </si>
  <si>
    <t>HOAI  § 9 (1)  - Bei Beauftragung der Entwurfsplanung als Einzelleistung  Erhöhung um 20,00 %</t>
  </si>
  <si>
    <t>an der Planung fachlich Beteiligter.</t>
  </si>
  <si>
    <t xml:space="preserve">Aufsicht über die örtliche Bauüberwachung, Koordinierung der an der </t>
  </si>
  <si>
    <r>
      <t xml:space="preserve">Summe Grundleistungen über alle Leistungsphasen 
</t>
    </r>
    <r>
      <rPr>
        <b/>
        <sz val="8"/>
        <color theme="1"/>
        <rFont val="Arial"/>
        <family val="2"/>
      </rPr>
      <t xml:space="preserve">(HOAI 100 % - VHF max. 97,70 %) </t>
    </r>
  </si>
  <si>
    <r>
      <t>Summe Leistungsstufe 1 - Lph. 1</t>
    </r>
    <r>
      <rPr>
        <b/>
        <sz val="8"/>
        <color theme="1"/>
        <rFont val="Arial"/>
        <family val="2"/>
      </rPr>
      <t xml:space="preserve"> (HOAI/ RBBau max. 2,00 v.H.) </t>
    </r>
  </si>
  <si>
    <r>
      <t xml:space="preserve">Summe Leistungsstufe 1 </t>
    </r>
    <r>
      <rPr>
        <b/>
        <sz val="8"/>
        <color theme="1"/>
        <rFont val="Arial"/>
        <family val="2"/>
      </rPr>
      <t xml:space="preserve">(HOAI / RBBau max. 55,00 v.H.) </t>
    </r>
  </si>
  <si>
    <r>
      <t xml:space="preserve">Summe Grundleistungen über alle Leistungsphasen 
</t>
    </r>
    <r>
      <rPr>
        <b/>
        <sz val="8"/>
        <color theme="1"/>
        <rFont val="Arial"/>
        <family val="2"/>
      </rPr>
      <t xml:space="preserve">(HOAI 100 % - RBBau max. 97,70 %) </t>
    </r>
  </si>
  <si>
    <r>
      <t>Summe Leistungsstufe 5 - Lph. 9</t>
    </r>
    <r>
      <rPr>
        <b/>
        <sz val="8"/>
        <color theme="1"/>
        <rFont val="Arial"/>
        <family val="2"/>
      </rPr>
      <t xml:space="preserve"> (HOAI / RBBau max. 1,00 %)</t>
    </r>
  </si>
  <si>
    <r>
      <t xml:space="preserve">
Zur Bearbeitung wird die Excel-Arbeitsmappenansicht „Normal“ empfohlen.
Eintragungen in </t>
    </r>
    <r>
      <rPr>
        <b/>
        <sz val="10"/>
        <color theme="1"/>
        <rFont val="Arial"/>
        <family val="2"/>
      </rPr>
      <t>Felder mit blauem Hintergrund</t>
    </r>
    <r>
      <rPr>
        <sz val="10"/>
        <color theme="1"/>
        <rFont val="Arial"/>
        <family val="2"/>
      </rPr>
      <t xml:space="preserve"> sind dem </t>
    </r>
    <r>
      <rPr>
        <b/>
        <sz val="10"/>
        <color theme="1"/>
        <rFont val="Arial"/>
        <family val="2"/>
      </rPr>
      <t>Auftraggeber</t>
    </r>
    <r>
      <rPr>
        <sz val="10"/>
        <color theme="1"/>
        <rFont val="Arial"/>
        <family val="2"/>
      </rPr>
      <t xml:space="preserve"> vorbehalten. Eintragungen des Bieters sind unzulässig.
Die in den </t>
    </r>
    <r>
      <rPr>
        <b/>
        <sz val="10"/>
        <color theme="1"/>
        <rFont val="Arial"/>
        <family val="2"/>
      </rPr>
      <t>Teilen D und E rot hinterlegten Felder</t>
    </r>
    <r>
      <rPr>
        <sz val="10"/>
        <color theme="1"/>
        <rFont val="Arial"/>
        <family val="2"/>
      </rPr>
      <t xml:space="preserve"> sind vom </t>
    </r>
    <r>
      <rPr>
        <b/>
        <sz val="10"/>
        <color theme="1"/>
        <rFont val="Arial"/>
        <family val="2"/>
      </rPr>
      <t xml:space="preserve">Bieter </t>
    </r>
    <r>
      <rPr>
        <sz val="10"/>
        <color theme="1"/>
        <rFont val="Arial"/>
        <family val="2"/>
      </rPr>
      <t>zwingend zu befüllen (gelbe Felder sind optional zu befüllen), der Eintrag von "0" ist regelmäßig zulässig. Werden die Felder befüllt, wechselt die Farbe auf gelb.
Auf die Folgen unvollständiger oder unzulässiger Eintragungen des Bieters, insbesondere entsprechend der §§ 56 und 57 VgV, die auch unterschwellig entsprechend Anwendung finden können, wird hiermit hingewiesen.
Bei mehreren Angebotsdateien ist die "</t>
    </r>
    <r>
      <rPr>
        <b/>
        <sz val="10"/>
        <color theme="1"/>
        <rFont val="Arial"/>
        <family val="2"/>
      </rPr>
      <t>Angebotssumme</t>
    </r>
    <r>
      <rPr>
        <sz val="10"/>
        <color theme="1"/>
        <rFont val="Arial"/>
        <family val="2"/>
      </rPr>
      <t xml:space="preserve"> brutto" in Teil E vom Bieter manuell in das "Angebotsdokument" zu übertragen. Es gelten die Einheitspreise in der Angebotsdatei
Um unbeabsichtigten Änderungen insbesondere in den Formeln vorzubeugen, wurden die Tabellenblätter geschützt. </t>
    </r>
  </si>
  <si>
    <t>HOAI-Text gemäß Leistungsbild</t>
  </si>
  <si>
    <r>
      <rPr>
        <b/>
        <sz val="12"/>
        <color theme="1"/>
        <rFont val="Arial"/>
        <family val="2"/>
      </rPr>
      <t xml:space="preserve">Grundleistungen Hochbau Bund
</t>
    </r>
    <r>
      <rPr>
        <sz val="9"/>
        <color theme="1"/>
        <rFont val="Arial"/>
        <family val="2"/>
      </rPr>
      <t>Anlage zu § 6 spezifische Leistungspflichten zum Vertrag Objektplanung – Verkehrsanlagen</t>
    </r>
    <r>
      <rPr>
        <sz val="8"/>
        <color theme="1"/>
        <rFont val="Arial"/>
        <family val="2"/>
      </rPr>
      <t xml:space="preserve">
</t>
    </r>
    <r>
      <rPr>
        <i/>
        <sz val="8"/>
        <color theme="1"/>
        <rFont val="Arial"/>
        <family val="2"/>
      </rPr>
      <t xml:space="preserve">
</t>
    </r>
  </si>
  <si>
    <r>
      <rPr>
        <b/>
        <sz val="12"/>
        <color theme="1"/>
        <rFont val="Arial"/>
        <family val="2"/>
      </rPr>
      <t xml:space="preserve">Grundleistungen Hochbau Land
</t>
    </r>
    <r>
      <rPr>
        <sz val="9"/>
        <color theme="1"/>
        <rFont val="Arial"/>
        <family val="2"/>
      </rPr>
      <t>Anlage zu § 6 spezifische Leistungspflichten zum Vertrag Objektplanung – Verkehrsanlagen</t>
    </r>
    <r>
      <rPr>
        <sz val="8"/>
        <color theme="1"/>
        <rFont val="Arial"/>
        <family val="2"/>
      </rPr>
      <t xml:space="preserve">
</t>
    </r>
    <r>
      <rPr>
        <i/>
        <sz val="8"/>
        <color theme="1"/>
        <rFont val="Arial"/>
        <family val="2"/>
      </rPr>
      <t xml:space="preserve">
</t>
    </r>
  </si>
  <si>
    <r>
      <t xml:space="preserve">Beschreibung der Besonderen Leistungen Hochbau Land
</t>
    </r>
    <r>
      <rPr>
        <sz val="8"/>
        <color theme="1"/>
        <rFont val="Arial"/>
        <family val="2"/>
      </rPr>
      <t>Leistungstext (Anlage zu § 6 Spezifische Leistungspflichen zum Vertrag)</t>
    </r>
    <r>
      <rPr>
        <sz val="8"/>
        <color rgb="FF0070C0"/>
        <rFont val="Arial"/>
        <family val="2"/>
      </rPr>
      <t xml:space="preserve">
</t>
    </r>
  </si>
  <si>
    <r>
      <t>Beschreibung der Besonderen Leistungen Hochbau Bund</t>
    </r>
    <r>
      <rPr>
        <sz val="8"/>
        <color rgb="FF0070C0"/>
        <rFont val="Arial"/>
        <family val="2"/>
      </rPr>
      <t xml:space="preserve">
</t>
    </r>
    <r>
      <rPr>
        <sz val="8"/>
        <rFont val="Arial"/>
        <family val="2"/>
      </rPr>
      <t>Leistungstext (Anlage zu § 6 Spezifische Leistungspflichen zum Vertrag)</t>
    </r>
  </si>
  <si>
    <t>(Honorarangabe für Besondere Lst. Hochbau)</t>
  </si>
  <si>
    <r>
      <t xml:space="preserve">v.H. Satz
</t>
    </r>
    <r>
      <rPr>
        <sz val="8"/>
        <color theme="1"/>
        <rFont val="Arial"/>
        <family val="2"/>
      </rPr>
      <t>(v.Teil E  Z 4.9/4.10)</t>
    </r>
  </si>
  <si>
    <r>
      <t xml:space="preserve">Zuschlag v. H. vereinbart </t>
    </r>
    <r>
      <rPr>
        <sz val="8"/>
        <color theme="1"/>
        <rFont val="Arial"/>
        <family val="2"/>
      </rPr>
      <t>(0 bis max. 50 v.H. § 12 (2) HOAI)</t>
    </r>
    <r>
      <rPr>
        <sz val="10"/>
        <color theme="1"/>
        <rFont val="Arial"/>
        <family val="2"/>
      </rPr>
      <t xml:space="preserve"> in Höhe von:</t>
    </r>
  </si>
  <si>
    <t>Nachweis der zwingenden Gründe des über-</t>
  </si>
  <si>
    <t xml:space="preserve">wiegenden öffentlichen Interesses der Notwendigkeit der Maßnahme (z.B. Gebiets- und Artenschutz gem. der Richtlinien 92/43/EWG des Rates von 21. Mai 1992 zur Erhaltung der natürlichen Lebensräume sowie der wild lebenden Tiere und Pflanzen (Abl. L 206 vom 22.07.1992, S. 7) </t>
  </si>
  <si>
    <t>Maßnahmennr</t>
  </si>
  <si>
    <t>Maßnahme</t>
  </si>
  <si>
    <t>Vergabenr</t>
  </si>
  <si>
    <t>Bieter</t>
  </si>
  <si>
    <t>Angebot</t>
  </si>
  <si>
    <t>Index</t>
  </si>
  <si>
    <t>2 Honorarzone</t>
  </si>
  <si>
    <t>5.1 Minderung des Basishonorars in v.H.</t>
  </si>
  <si>
    <t>5.2 Erhöhung des Basishonorars in v.H.</t>
  </si>
  <si>
    <t>7.4 Umbauzuschlag in v.H.</t>
  </si>
  <si>
    <t>7.7 Instandhaltungszuschlag in v.H.</t>
  </si>
  <si>
    <t>8.2 Wiederholung Nr.</t>
  </si>
  <si>
    <t xml:space="preserve">6 Leistungsphase 1     mit v.H. </t>
  </si>
  <si>
    <t xml:space="preserve">6 Leistungsphase 1     </t>
  </si>
  <si>
    <t xml:space="preserve">6 Leistungsphase 2     mit v.H. </t>
  </si>
  <si>
    <t xml:space="preserve">6 Leistungsphase 2     </t>
  </si>
  <si>
    <t xml:space="preserve">6 Leistungsphase 3     mit v.H. </t>
  </si>
  <si>
    <t xml:space="preserve">6 Leistungsphase 3     </t>
  </si>
  <si>
    <t xml:space="preserve">6 Leistungsphase 4     mit v.H. </t>
  </si>
  <si>
    <t xml:space="preserve">6 Leistungsphase 4     </t>
  </si>
  <si>
    <t xml:space="preserve">6 Leistungsphase 5     mit v.H. </t>
  </si>
  <si>
    <t xml:space="preserve">6 Leistungsphase 5     </t>
  </si>
  <si>
    <t xml:space="preserve">6 Leistungsphase 6     mit v.H. </t>
  </si>
  <si>
    <t xml:space="preserve">6 Leistungsphase 6     </t>
  </si>
  <si>
    <t xml:space="preserve">6 Leistungsphase 7     mit v.H. </t>
  </si>
  <si>
    <t xml:space="preserve">6 Leistungsphase 7     </t>
  </si>
  <si>
    <t xml:space="preserve">6 Leistungsphase 8     mit v.H. </t>
  </si>
  <si>
    <t xml:space="preserve">6 Leistungsphase 8     </t>
  </si>
  <si>
    <t xml:space="preserve">6 Leistungsphase 9     mit v.H. </t>
  </si>
  <si>
    <t xml:space="preserve">6 Leistungsphase 9     </t>
  </si>
  <si>
    <t>8.5 Summe Honorar für anteilige Grundleistungen</t>
  </si>
  <si>
    <t>9.1 Summe Honorar für Besond. Leistungen (s.Teil C)</t>
  </si>
  <si>
    <t>9.2 Summe Grundhonorar und Besond. Leistungen</t>
  </si>
  <si>
    <t>10.2 Nebenkosten  in %</t>
  </si>
  <si>
    <t xml:space="preserve">10 Nebenkosten </t>
  </si>
  <si>
    <t>12 Auftragssumme netto</t>
  </si>
  <si>
    <t>13 Mehrwertsteuer in %</t>
  </si>
  <si>
    <t>13 Mehrwertsteuer</t>
  </si>
  <si>
    <t>14 Auftragsumme brutto</t>
  </si>
  <si>
    <t>20 Wertungssumme netto</t>
  </si>
  <si>
    <t>21 Mehrwertsteuer</t>
  </si>
  <si>
    <t>22 Wertungssumme brutto</t>
  </si>
  <si>
    <t>Bezeichnung Besond Lstg</t>
  </si>
  <si>
    <t>EP-Preis</t>
  </si>
  <si>
    <t>Netto-GP-Preis</t>
  </si>
  <si>
    <t>4.10 Basishonorar für Grundleistungen (Lph 8)</t>
  </si>
  <si>
    <t>5.5 Basishonorar der Leistungsphasen (Lph 8)</t>
  </si>
  <si>
    <t>1.2 Anechenbare Kosten (Lph 8)</t>
  </si>
  <si>
    <t>1.1 Anechenbare Kosten (Lph 1-7,9)</t>
  </si>
  <si>
    <t>4.9 Basishonorar für Grundleistungen (Lph 1-7,9)</t>
  </si>
  <si>
    <t>5.4 Basishonorar der Leistungsphasen (Lph 1-7,9)</t>
  </si>
  <si>
    <t>Detaillierte Ermittlung der Mengen als Grundlage für die Kostenberechnung (bei Ermittlung der Massenbilanz Beachtung der Ersatzbaustoffverordnung)</t>
  </si>
  <si>
    <t>Berechnen der Kosten</t>
  </si>
  <si>
    <t>Vorabstimmen und Erläutern der Vorzugsvariante auf der Grundlage des Planungskonzeptes mit Behörden (z. B. Kommunen, Wasserbehörden, Umweltämter) und fachlich Beteiligten (z. B:.SiGeKo, Geologie, Ersatzbaustoffverordnung, UVS, Artenschutz) für die Vorzugsvariante</t>
  </si>
  <si>
    <t>Abstimmen aller Unterlagen mit dem Auftraggeber und anderen an der Planung fachlich Beteiligten (z.B. Planer des LAP, Baugrundgutachter (Beachtung der Ersatzbaustoffverordnung), Ver- und Entsorgungsunternehmen)</t>
  </si>
  <si>
    <t>Genaue und nachvollziehbare Mengenermittlung für die geplante Bauleistung einschließlich Massenbilanz (Ersatzbaustoffverordnung) und Zuordnung entsprechend der Gliederung des Leistungsverzeichnisses (LV) sowie nach Einzelpositionen als Grundlage für das Aufstellen der Leistungsbeschreibung
Abstimmung mit dem AG zur grundsätzlichen Gliederung der Vergabeunterlagen in Abschnitte (Lose) und wesentliche Ausführungsphasen</t>
  </si>
  <si>
    <r>
      <t xml:space="preserve">Zuschlag v. H. vereinbart </t>
    </r>
    <r>
      <rPr>
        <sz val="8"/>
        <color theme="1"/>
        <rFont val="Arial"/>
        <family val="2"/>
      </rPr>
      <t>(0 bis max. 33 v.H. § 48 (6) HOAI)</t>
    </r>
    <r>
      <rPr>
        <sz val="10"/>
        <color theme="1"/>
        <rFont val="Arial"/>
        <family val="2"/>
      </rPr>
      <t xml:space="preserve"> in Höhe von:</t>
    </r>
  </si>
  <si>
    <t>(Engabe StB falsch)</t>
  </si>
  <si>
    <r>
      <t xml:space="preserve">Das Honorar für Grundleistungen umfasst </t>
    </r>
    <r>
      <rPr>
        <b/>
        <sz val="10"/>
        <color theme="1"/>
        <rFont val="Arial"/>
        <family val="2"/>
      </rPr>
      <t>keine</t>
    </r>
    <r>
      <rPr>
        <sz val="10"/>
        <color theme="1"/>
        <rFont val="Arial"/>
        <family val="2"/>
      </rPr>
      <t xml:space="preserve"> Umbauten und Modernisierungen </t>
    </r>
  </si>
  <si>
    <t>Vertragsnr.:</t>
  </si>
  <si>
    <t xml:space="preserve">Kostenschätzung nach DIN 276:2018-12, </t>
  </si>
  <si>
    <t xml:space="preserve">Kostenberechnung nach DIN 276:2018-12, </t>
  </si>
  <si>
    <t xml:space="preserve">Kostenberechnung nach DIN 276:2018-12 </t>
  </si>
  <si>
    <t xml:space="preserve">Kostenschätzung nach DIN 276:2018-12 </t>
  </si>
  <si>
    <t>Es ist eine Person für alle Leistungsphasen fachlich verantwortlich.</t>
  </si>
  <si>
    <t>Stand: 06.05.2024</t>
  </si>
  <si>
    <t>Überschlägige Ermittlung der Schallimmissionen an kritischen Stellen insbesondere an betroffenen Gebäuden nach Diagrammen oder vergleichbaren Rechenverfahren und Aussagen zur Notwendigkeit von Schallschutzmaßnahmen</t>
  </si>
  <si>
    <t>Überschlägiges Untersuchen und Darstellen des geplanten Bauablaufes unter Berücksichtigung der Beiträge anderer an der Planung fachlich Beteiligter im Hinblick auf</t>
  </si>
  <si>
    <t>Psch</t>
  </si>
  <si>
    <t>B11S.ALSR0138.00</t>
  </si>
  <si>
    <t>St2054 Geh- und Radweg westl. Babenried - Jesenwang</t>
  </si>
  <si>
    <t>25-131201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</si>
</sst>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0.00\ &quot;€&quot;"/>
    <numFmt numFmtId="165" formatCode="0.0000000%"/>
    <numFmt numFmtId="166" formatCode="#,##0.00;;;@"/>
    <numFmt numFmtId="167" formatCode="#,##0.00%;;;@"/>
    <numFmt numFmtId="168" formatCode="#,##0;;;@"/>
    <numFmt numFmtId="169" formatCode="0.0%"/>
    <numFmt numFmtId="170" formatCode="#,##0.00%;\-#,##0.00%"/>
  </numFmts>
  <fonts count="71">
    <font>
      <sz val="10"/>
      <color theme="1"/>
      <name val="Arial"/>
      <family val="2"/>
    </font>
    <font>
      <sz val="11"/>
      <color theme="1"/>
      <name val="Calibri"/>
      <family val="2"/>
      <scheme val="minor"/>
    </font>
    <font>
      <sz val="11"/>
      <color theme="1"/>
      <name val="Calibri"/>
      <family val="2"/>
      <scheme val="minor"/>
    </font>
    <font>
      <sz val="8"/>
      <name val="Arial"/>
      <family val="2"/>
    </font>
    <font>
      <sz val="8"/>
      <color theme="1"/>
      <name val="Arial"/>
      <family val="2"/>
    </font>
    <font>
      <b/>
      <sz val="14"/>
      <color theme="1"/>
      <name val="Arial"/>
      <family val="2"/>
    </font>
    <font>
      <b/>
      <sz val="10"/>
      <color theme="1"/>
      <name val="Arial"/>
      <family val="2"/>
    </font>
    <font>
      <sz val="9"/>
      <color theme="1"/>
      <name val="Arial"/>
      <family val="2"/>
    </font>
    <font>
      <b/>
      <sz val="8"/>
      <color theme="1"/>
      <name val="Arial"/>
      <family val="2"/>
    </font>
    <font>
      <b/>
      <sz val="9"/>
      <color theme="1"/>
      <name val="Arial"/>
      <family val="2"/>
    </font>
    <font>
      <sz val="8"/>
      <color rgb="FFFF0000"/>
      <name val="Arial"/>
      <family val="2"/>
    </font>
    <font>
      <i/>
      <sz val="8"/>
      <color rgb="FFFF0000"/>
      <name val="Arial"/>
      <family val="2"/>
    </font>
    <font>
      <sz val="11"/>
      <color theme="1"/>
      <name val="Arial"/>
      <family val="2"/>
    </font>
    <font>
      <i/>
      <sz val="8"/>
      <color rgb="FF0070C0"/>
      <name val="Arial"/>
      <family val="2"/>
    </font>
    <font>
      <i/>
      <sz val="10"/>
      <color theme="1"/>
      <name val="Arial"/>
      <family val="2"/>
    </font>
    <font>
      <i/>
      <sz val="10"/>
      <color rgb="FFFF0000"/>
      <name val="Arial"/>
      <family val="2"/>
    </font>
    <font>
      <b/>
      <sz val="10"/>
      <color rgb="FFFF0000"/>
      <name val="Arial"/>
      <family val="2"/>
    </font>
    <font>
      <sz val="8"/>
      <color rgb="FF0070C0"/>
      <name val="Arial"/>
      <family val="2"/>
    </font>
    <font>
      <i/>
      <sz val="8"/>
      <color theme="1"/>
      <name val="Arial"/>
      <family val="2"/>
    </font>
    <font>
      <sz val="10"/>
      <color rgb="FF222222"/>
      <name val="Arial"/>
      <family val="2"/>
    </font>
    <font>
      <sz val="10"/>
      <color theme="1"/>
      <name val="Arial"/>
      <family val="2"/>
    </font>
    <font>
      <sz val="10"/>
      <name val="Arial"/>
      <family val="2"/>
    </font>
    <font>
      <sz val="14"/>
      <color theme="1"/>
      <name val="Arial"/>
      <family val="2"/>
    </font>
    <font>
      <sz val="8"/>
      <color rgb="FF0070C0"/>
      <name val="Symbol"/>
      <family val="1"/>
      <charset val="2"/>
    </font>
    <font>
      <i/>
      <sz val="10"/>
      <color rgb="FF0070C0"/>
      <name val="Arial"/>
      <family val="2"/>
    </font>
    <font>
      <b/>
      <u/>
      <sz val="8"/>
      <color theme="1"/>
      <name val="Arial"/>
      <family val="2"/>
    </font>
    <font>
      <i/>
      <sz val="8"/>
      <name val="Arial"/>
      <family val="2"/>
    </font>
    <font>
      <u/>
      <sz val="8"/>
      <color theme="1"/>
      <name val="Arial"/>
      <family val="2"/>
    </font>
    <font>
      <sz val="12"/>
      <color theme="1"/>
      <name val="Arial"/>
      <family val="2"/>
    </font>
    <font>
      <b/>
      <sz val="8"/>
      <color rgb="FFFF0000"/>
      <name val="Arial"/>
      <family val="2"/>
    </font>
    <font>
      <b/>
      <sz val="8"/>
      <name val="Arial"/>
      <family val="2"/>
    </font>
    <font>
      <b/>
      <sz val="10"/>
      <name val="Arial"/>
      <family val="2"/>
    </font>
    <font>
      <b/>
      <i/>
      <sz val="8"/>
      <color rgb="FFFF0000"/>
      <name val="Arial"/>
      <family val="2"/>
    </font>
    <font>
      <sz val="10"/>
      <color rgb="FFFF0000"/>
      <name val="Arial"/>
      <family val="2"/>
    </font>
    <font>
      <i/>
      <sz val="8"/>
      <color theme="4"/>
      <name val="Arial"/>
      <family val="2"/>
    </font>
    <font>
      <sz val="10"/>
      <color theme="0"/>
      <name val="Arial"/>
      <family val="2"/>
    </font>
    <font>
      <i/>
      <sz val="8"/>
      <color rgb="FFC00000"/>
      <name val="Arial"/>
      <family val="2"/>
    </font>
    <font>
      <sz val="13"/>
      <color theme="1"/>
      <name val="Arial"/>
      <family val="2"/>
    </font>
    <font>
      <b/>
      <sz val="9"/>
      <name val="Arial"/>
      <family val="2"/>
    </font>
    <font>
      <i/>
      <sz val="10"/>
      <name val="Arial"/>
      <family val="2"/>
    </font>
    <font>
      <b/>
      <sz val="12"/>
      <color theme="1"/>
      <name val="Arial"/>
      <family val="2"/>
    </font>
    <font>
      <b/>
      <sz val="7"/>
      <color theme="1"/>
      <name val="Arial"/>
      <family val="2"/>
    </font>
    <font>
      <sz val="13"/>
      <color rgb="FFC00000"/>
      <name val="SymbolPS"/>
      <family val="5"/>
      <charset val="2"/>
    </font>
    <font>
      <b/>
      <i/>
      <sz val="10"/>
      <color rgb="FFC00000"/>
      <name val="Arial"/>
      <family val="2"/>
    </font>
    <font>
      <sz val="10"/>
      <color theme="1"/>
      <name val="SymbolPS"/>
      <family val="5"/>
      <charset val="2"/>
    </font>
    <font>
      <b/>
      <sz val="13"/>
      <color rgb="FFC00000"/>
      <name val="SymbolPS"/>
      <family val="5"/>
      <charset val="2"/>
    </font>
    <font>
      <u/>
      <sz val="10"/>
      <color theme="10"/>
      <name val="Arial"/>
      <family val="2"/>
    </font>
    <font>
      <sz val="7"/>
      <color theme="1"/>
      <name val="Arial"/>
      <family val="2"/>
    </font>
    <font>
      <u/>
      <sz val="10"/>
      <color theme="1"/>
      <name val="Arial"/>
      <family val="2"/>
    </font>
    <font>
      <sz val="13"/>
      <color rgb="FFFF0000"/>
      <name val="Arial"/>
      <family val="2"/>
    </font>
    <font>
      <b/>
      <u/>
      <sz val="10"/>
      <color theme="1"/>
      <name val="Arial"/>
      <family val="2"/>
    </font>
    <font>
      <sz val="8"/>
      <color theme="4"/>
      <name val="Arial"/>
      <family val="2"/>
    </font>
    <font>
      <sz val="13"/>
      <name val="Arial"/>
      <family val="2"/>
    </font>
    <font>
      <b/>
      <sz val="12"/>
      <name val="Arial"/>
      <family val="2"/>
    </font>
    <font>
      <i/>
      <u/>
      <sz val="10"/>
      <name val="Arial"/>
      <family val="2"/>
    </font>
    <font>
      <strike/>
      <sz val="10"/>
      <color rgb="FFC00000"/>
      <name val="Arial"/>
      <family val="2"/>
    </font>
    <font>
      <b/>
      <sz val="9"/>
      <color theme="0"/>
      <name val="Arial"/>
      <family val="2"/>
    </font>
    <font>
      <sz val="13"/>
      <color rgb="FFC00000"/>
      <name val="Arial"/>
      <family val="2"/>
    </font>
    <font>
      <b/>
      <i/>
      <sz val="8"/>
      <color rgb="FFC00000"/>
      <name val="Arial"/>
      <family val="2"/>
    </font>
    <font>
      <sz val="10"/>
      <color rgb="FFDCE6F1"/>
      <name val="Arial"/>
      <family val="2"/>
    </font>
    <font>
      <i/>
      <u/>
      <sz val="8"/>
      <color theme="1"/>
      <name val="Arial"/>
      <family val="2"/>
    </font>
    <font>
      <sz val="8"/>
      <color theme="4" tint="0.79998168889431442"/>
      <name val="Arial"/>
      <family val="2"/>
    </font>
    <font>
      <vertAlign val="superscript"/>
      <sz val="10"/>
      <color theme="1"/>
      <name val="Arial"/>
      <family val="2"/>
    </font>
    <font>
      <i/>
      <vertAlign val="superscript"/>
      <sz val="8"/>
      <name val="Arial"/>
      <family val="2"/>
    </font>
    <font>
      <i/>
      <sz val="12"/>
      <color rgb="FF0070C0"/>
      <name val="Arial"/>
      <family val="2"/>
    </font>
    <font>
      <i/>
      <sz val="9"/>
      <color rgb="FF0070C0"/>
      <name val="Arial"/>
      <family val="2"/>
    </font>
    <font>
      <sz val="9"/>
      <color rgb="FF0070C0"/>
      <name val="Symbol"/>
      <family val="1"/>
      <charset val="2"/>
    </font>
    <font>
      <sz val="9"/>
      <color rgb="FF0070C0"/>
      <name val="Arial"/>
      <family val="2"/>
    </font>
    <font>
      <i/>
      <sz val="9"/>
      <name val="Arial"/>
      <family val="2"/>
    </font>
    <font>
      <sz val="10"/>
      <color rgb="FF192527"/>
      <name val="Segoe UI"/>
      <family val="2"/>
    </font>
    <font>
      <u/>
      <sz val="10"/>
      <color rgb="FF0000FF"/>
      <name val="Arial"/>
      <family val="2"/>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rgb="FFDCE6F1"/>
        <bgColor indexed="64"/>
      </patternFill>
    </fill>
    <fill>
      <patternFill patternType="solid">
        <fgColor theme="0" tint="-0.14999847407452621"/>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1" tint="0.24994659260841701"/>
        <bgColor indexed="64"/>
      </patternFill>
    </fill>
    <fill>
      <patternFill patternType="solid">
        <fgColor theme="0" tint="-0.149967955565050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249977111117893"/>
        <bgColor theme="4" tint="0.79998168889431442"/>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ck">
        <color theme="5" tint="-0.24994659260841701"/>
      </left>
      <right/>
      <top style="thick">
        <color theme="5" tint="-0.24994659260841701"/>
      </top>
      <bottom style="thick">
        <color theme="5" tint="-0.24994659260841701"/>
      </bottom>
      <diagonal/>
    </border>
    <border>
      <left/>
      <right/>
      <top style="thick">
        <color theme="5" tint="-0.24994659260841701"/>
      </top>
      <bottom style="thick">
        <color theme="5" tint="-0.24994659260841701"/>
      </bottom>
      <diagonal/>
    </border>
    <border>
      <left/>
      <right style="thick">
        <color theme="5" tint="-0.24994659260841701"/>
      </right>
      <top style="thick">
        <color theme="5" tint="-0.24994659260841701"/>
      </top>
      <bottom style="thick">
        <color theme="5" tint="-0.24994659260841701"/>
      </bottom>
      <diagonal/>
    </border>
    <border>
      <left style="thick">
        <color theme="4" tint="-0.24994659260841701"/>
      </left>
      <right/>
      <top style="thick">
        <color theme="4" tint="-0.24994659260841701"/>
      </top>
      <bottom style="thick">
        <color theme="4" tint="-0.24994659260841701"/>
      </bottom>
      <diagonal/>
    </border>
    <border>
      <left/>
      <right/>
      <top style="thick">
        <color theme="4" tint="-0.24994659260841701"/>
      </top>
      <bottom style="thick">
        <color theme="4" tint="-0.24994659260841701"/>
      </bottom>
      <diagonal/>
    </border>
    <border>
      <left/>
      <right style="thick">
        <color theme="4" tint="-0.24994659260841701"/>
      </right>
      <top style="thick">
        <color theme="4" tint="-0.24994659260841701"/>
      </top>
      <bottom style="thick">
        <color theme="4" tint="-0.24994659260841701"/>
      </bottom>
      <diagonal/>
    </border>
    <border>
      <left style="thin">
        <color indexed="64"/>
      </left>
      <right/>
      <top/>
      <bottom style="hair">
        <color indexed="64"/>
      </bottom>
      <diagonal/>
    </border>
    <border>
      <left/>
      <right/>
      <top/>
      <bottom style="hair">
        <color indexed="64"/>
      </bottom>
      <diagonal/>
    </border>
    <border>
      <left/>
      <right style="medium">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bottom/>
      <diagonal/>
    </border>
    <border>
      <left/>
      <right/>
      <top style="medium">
        <color indexed="64"/>
      </top>
      <bottom/>
      <diagonal/>
    </border>
    <border>
      <left/>
      <right style="thin">
        <color indexed="64"/>
      </right>
      <top/>
      <bottom style="hair">
        <color indexed="64"/>
      </bottom>
      <diagonal/>
    </border>
    <border>
      <left/>
      <right style="medium">
        <color indexed="64"/>
      </right>
      <top style="hair">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thin">
        <color indexed="64"/>
      </top>
      <bottom style="medium">
        <color indexed="64"/>
      </bottom>
      <diagonal/>
    </border>
    <border>
      <left style="hair">
        <color indexed="64"/>
      </left>
      <right style="medium">
        <color indexed="64"/>
      </right>
      <top/>
      <bottom/>
      <diagonal/>
    </border>
    <border>
      <left style="medium">
        <color indexed="64"/>
      </left>
      <right style="hair">
        <color indexed="64"/>
      </right>
      <top/>
      <bottom/>
      <diagonal/>
    </border>
    <border>
      <left style="hair">
        <color indexed="64"/>
      </left>
      <right style="medium">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theme="4" tint="0.39997558519241921"/>
      </left>
      <right/>
      <top/>
      <bottom style="thin">
        <color theme="4" tint="0.39997558519241921"/>
      </bottom>
      <diagonal/>
    </border>
    <border>
      <left/>
      <right/>
      <top/>
      <bottom style="thin">
        <color theme="4" tint="0.39997558519241921"/>
      </bottom>
      <diagonal/>
    </border>
  </borders>
  <cellStyleXfs count="5">
    <xf numFmtId="0" fontId="0" fillId="0" borderId="0"/>
    <xf numFmtId="0" fontId="2" fillId="0" borderId="0"/>
    <xf numFmtId="0" fontId="1" fillId="0" borderId="0"/>
    <xf numFmtId="0" fontId="46" fillId="0" borderId="0" applyNumberFormat="0" applyFill="0" applyBorder="0" applyAlignment="0" applyProtection="0"/>
    <xf numFmtId="44" fontId="20" fillId="0" borderId="0" applyFont="0" applyFill="0" applyBorder="0" applyAlignment="0" applyProtection="0"/>
  </cellStyleXfs>
  <cellXfs count="1654">
    <xf numFmtId="0" fontId="0" fillId="0" borderId="0" xfId="0"/>
    <xf numFmtId="4" fontId="0" fillId="0" borderId="11" xfId="0" applyNumberFormat="1" applyBorder="1" applyAlignment="1" applyProtection="1">
      <alignment vertical="top"/>
      <protection hidden="1"/>
    </xf>
    <xf numFmtId="4" fontId="0" fillId="0" borderId="5" xfId="0" applyNumberFormat="1" applyBorder="1" applyAlignment="1" applyProtection="1">
      <alignment vertical="top"/>
      <protection hidden="1"/>
    </xf>
    <xf numFmtId="0" fontId="8" fillId="0" borderId="12" xfId="0" applyFont="1" applyBorder="1" applyAlignment="1" applyProtection="1">
      <alignment horizontal="center" vertical="top"/>
      <protection hidden="1"/>
    </xf>
    <xf numFmtId="0" fontId="4" fillId="0" borderId="5" xfId="0" applyFont="1" applyBorder="1" applyAlignment="1" applyProtection="1">
      <alignment vertical="top"/>
      <protection hidden="1"/>
    </xf>
    <xf numFmtId="0" fontId="4" fillId="0" borderId="11" xfId="0" applyFont="1" applyBorder="1" applyAlignment="1" applyProtection="1">
      <alignment vertical="top"/>
      <protection hidden="1"/>
    </xf>
    <xf numFmtId="16" fontId="6" fillId="0" borderId="0" xfId="0" quotePrefix="1" applyNumberFormat="1" applyFont="1" applyAlignment="1" applyProtection="1">
      <alignment vertical="top"/>
      <protection hidden="1"/>
    </xf>
    <xf numFmtId="0" fontId="0" fillId="0" borderId="0" xfId="0" applyAlignment="1" applyProtection="1">
      <alignment vertical="top"/>
      <protection hidden="1"/>
    </xf>
    <xf numFmtId="0" fontId="6" fillId="0" borderId="2" xfId="0" applyFont="1" applyBorder="1" applyAlignment="1" applyProtection="1">
      <alignment vertical="top"/>
      <protection hidden="1"/>
    </xf>
    <xf numFmtId="0" fontId="0" fillId="0" borderId="3" xfId="0" applyBorder="1" applyAlignment="1" applyProtection="1">
      <alignment vertical="top"/>
      <protection hidden="1"/>
    </xf>
    <xf numFmtId="0" fontId="0" fillId="0" borderId="5" xfId="0" applyBorder="1" applyAlignment="1" applyProtection="1">
      <alignment vertical="top"/>
      <protection hidden="1"/>
    </xf>
    <xf numFmtId="0" fontId="0" fillId="0" borderId="6" xfId="0" applyBorder="1" applyAlignment="1" applyProtection="1">
      <alignment vertical="top"/>
      <protection hidden="1"/>
    </xf>
    <xf numFmtId="0" fontId="0" fillId="0" borderId="2" xfId="0" applyBorder="1" applyAlignment="1" applyProtection="1">
      <alignment vertical="top"/>
      <protection hidden="1"/>
    </xf>
    <xf numFmtId="3" fontId="0" fillId="0" borderId="1" xfId="0" applyNumberFormat="1" applyBorder="1" applyAlignment="1" applyProtection="1">
      <alignment vertical="top"/>
      <protection hidden="1"/>
    </xf>
    <xf numFmtId="3" fontId="0" fillId="0" borderId="1" xfId="0" applyNumberFormat="1" applyBorder="1" applyAlignment="1" applyProtection="1">
      <alignment horizontal="center" vertical="top" wrapText="1"/>
      <protection hidden="1"/>
    </xf>
    <xf numFmtId="3" fontId="0" fillId="0" borderId="17" xfId="0" applyNumberFormat="1" applyBorder="1" applyAlignment="1" applyProtection="1">
      <alignment vertical="top"/>
      <protection hidden="1"/>
    </xf>
    <xf numFmtId="3" fontId="0" fillId="0" borderId="12" xfId="0" applyNumberFormat="1" applyBorder="1" applyAlignment="1" applyProtection="1">
      <alignment vertical="top"/>
      <protection hidden="1"/>
    </xf>
    <xf numFmtId="0" fontId="8" fillId="0" borderId="1" xfId="0" applyFont="1" applyBorder="1" applyAlignment="1" applyProtection="1">
      <alignment horizontal="left" vertical="top"/>
      <protection hidden="1"/>
    </xf>
    <xf numFmtId="16" fontId="4" fillId="0" borderId="0" xfId="0" quotePrefix="1" applyNumberFormat="1" applyFont="1" applyAlignment="1" applyProtection="1">
      <alignment horizontal="center" vertical="top"/>
      <protection hidden="1"/>
    </xf>
    <xf numFmtId="0" fontId="4" fillId="0" borderId="0" xfId="0" applyFont="1" applyAlignment="1" applyProtection="1">
      <alignment vertical="top"/>
      <protection hidden="1"/>
    </xf>
    <xf numFmtId="0" fontId="10" fillId="0" borderId="0" xfId="0" quotePrefix="1" applyFont="1" applyAlignment="1" applyProtection="1">
      <alignment horizontal="left" vertical="top"/>
      <protection hidden="1"/>
    </xf>
    <xf numFmtId="0" fontId="11" fillId="0" borderId="0" xfId="0" applyFont="1" applyAlignment="1" applyProtection="1">
      <alignment vertical="top"/>
      <protection hidden="1"/>
    </xf>
    <xf numFmtId="0" fontId="9" fillId="2" borderId="1" xfId="1" applyFont="1" applyFill="1" applyBorder="1" applyAlignment="1" applyProtection="1">
      <alignment horizontal="center" vertical="top" wrapText="1"/>
      <protection hidden="1"/>
    </xf>
    <xf numFmtId="0" fontId="6" fillId="0" borderId="9" xfId="0" applyFont="1" applyBorder="1" applyAlignment="1" applyProtection="1">
      <alignment horizontal="center" vertical="center" wrapText="1"/>
      <protection hidden="1"/>
    </xf>
    <xf numFmtId="16" fontId="4" fillId="0" borderId="12" xfId="0" quotePrefix="1" applyNumberFormat="1" applyFont="1" applyBorder="1" applyAlignment="1" applyProtection="1">
      <alignment horizontal="center" vertical="top"/>
      <protection hidden="1"/>
    </xf>
    <xf numFmtId="0" fontId="10" fillId="0" borderId="0" xfId="0" applyFont="1" applyAlignment="1" applyProtection="1">
      <alignment vertical="top"/>
      <protection hidden="1"/>
    </xf>
    <xf numFmtId="0" fontId="8" fillId="0" borderId="12" xfId="0" applyFont="1" applyBorder="1" applyAlignment="1" applyProtection="1">
      <alignment horizontal="left" vertical="top"/>
      <protection hidden="1"/>
    </xf>
    <xf numFmtId="0" fontId="0" fillId="0" borderId="10" xfId="0" applyBorder="1" applyAlignment="1" applyProtection="1">
      <alignment vertical="top"/>
      <protection hidden="1"/>
    </xf>
    <xf numFmtId="1" fontId="0" fillId="0" borderId="0" xfId="0" applyNumberFormat="1" applyAlignment="1" applyProtection="1">
      <alignment vertical="top"/>
      <protection hidden="1"/>
    </xf>
    <xf numFmtId="0" fontId="0" fillId="0" borderId="4" xfId="0" applyBorder="1" applyAlignment="1" applyProtection="1">
      <alignment vertical="top"/>
      <protection hidden="1"/>
    </xf>
    <xf numFmtId="0" fontId="0" fillId="0" borderId="7" xfId="0" applyBorder="1" applyAlignment="1" applyProtection="1">
      <alignment vertical="top"/>
      <protection hidden="1"/>
    </xf>
    <xf numFmtId="4" fontId="6" fillId="0" borderId="3" xfId="0" applyNumberFormat="1" applyFont="1" applyBorder="1" applyAlignment="1" applyProtection="1">
      <alignment vertical="top"/>
      <protection hidden="1"/>
    </xf>
    <xf numFmtId="0" fontId="0" fillId="0" borderId="0" xfId="0" applyAlignment="1" applyProtection="1">
      <alignment horizontal="left" vertical="center"/>
      <protection hidden="1"/>
    </xf>
    <xf numFmtId="0" fontId="5" fillId="0" borderId="8" xfId="0" applyFont="1" applyBorder="1" applyAlignment="1" applyProtection="1">
      <alignment horizontal="left" vertical="center"/>
      <protection hidden="1"/>
    </xf>
    <xf numFmtId="0" fontId="22" fillId="0" borderId="9" xfId="0" applyFont="1" applyBorder="1" applyAlignment="1" applyProtection="1">
      <alignment horizontal="left" vertical="center"/>
      <protection hidden="1"/>
    </xf>
    <xf numFmtId="0" fontId="22" fillId="0" borderId="10" xfId="0" applyFont="1" applyBorder="1" applyAlignment="1" applyProtection="1">
      <alignment horizontal="left" vertical="center"/>
      <protection hidden="1"/>
    </xf>
    <xf numFmtId="0" fontId="13" fillId="0" borderId="0" xfId="1" quotePrefix="1" applyFont="1" applyAlignment="1" applyProtection="1">
      <alignment vertical="top"/>
      <protection hidden="1"/>
    </xf>
    <xf numFmtId="0" fontId="4" fillId="0" borderId="0" xfId="1" applyFont="1" applyAlignment="1" applyProtection="1">
      <alignment vertical="top"/>
      <protection hidden="1"/>
    </xf>
    <xf numFmtId="0" fontId="4" fillId="0" borderId="0" xfId="1" applyFont="1" applyAlignment="1" applyProtection="1">
      <alignment horizontal="left" vertical="top"/>
      <protection hidden="1"/>
    </xf>
    <xf numFmtId="0" fontId="13" fillId="0" borderId="0" xfId="1" applyFont="1" applyAlignment="1" applyProtection="1">
      <alignment vertical="top"/>
      <protection hidden="1"/>
    </xf>
    <xf numFmtId="0" fontId="13" fillId="0" borderId="0" xfId="1" quotePrefix="1" applyFont="1" applyAlignment="1" applyProtection="1">
      <alignment horizontal="left" vertical="top"/>
      <protection hidden="1"/>
    </xf>
    <xf numFmtId="0" fontId="8" fillId="0" borderId="3" xfId="0" applyFont="1" applyBorder="1" applyAlignment="1" applyProtection="1">
      <alignment vertical="top"/>
      <protection hidden="1"/>
    </xf>
    <xf numFmtId="0" fontId="6" fillId="2" borderId="8" xfId="1" applyFont="1" applyFill="1" applyBorder="1" applyAlignment="1" applyProtection="1">
      <alignment vertical="center"/>
      <protection hidden="1"/>
    </xf>
    <xf numFmtId="0" fontId="6" fillId="2" borderId="9" xfId="1" applyFont="1" applyFill="1" applyBorder="1" applyAlignment="1" applyProtection="1">
      <alignment vertical="center"/>
      <protection hidden="1"/>
    </xf>
    <xf numFmtId="0" fontId="6" fillId="0" borderId="9" xfId="1" applyFont="1" applyBorder="1" applyAlignment="1" applyProtection="1">
      <alignment vertical="center"/>
      <protection hidden="1"/>
    </xf>
    <xf numFmtId="4" fontId="6" fillId="0" borderId="14" xfId="0" applyNumberFormat="1" applyFont="1" applyBorder="1" applyAlignment="1" applyProtection="1">
      <alignment vertical="center"/>
      <protection hidden="1"/>
    </xf>
    <xf numFmtId="0" fontId="4" fillId="0" borderId="15" xfId="0" applyFont="1" applyBorder="1" applyAlignment="1" applyProtection="1">
      <alignment vertical="top"/>
      <protection hidden="1"/>
    </xf>
    <xf numFmtId="0" fontId="16" fillId="0" borderId="11" xfId="0" applyFont="1" applyBorder="1" applyAlignment="1" applyProtection="1">
      <alignment vertical="center"/>
      <protection hidden="1"/>
    </xf>
    <xf numFmtId="0" fontId="16" fillId="0" borderId="0" xfId="0" applyFont="1" applyAlignment="1" applyProtection="1">
      <alignment vertical="center"/>
      <protection hidden="1"/>
    </xf>
    <xf numFmtId="0" fontId="8" fillId="0" borderId="1" xfId="0" applyFont="1" applyBorder="1" applyAlignment="1" applyProtection="1">
      <alignment horizontal="center" vertical="top" wrapText="1"/>
      <protection hidden="1"/>
    </xf>
    <xf numFmtId="16" fontId="3" fillId="0" borderId="1" xfId="0" quotePrefix="1" applyNumberFormat="1" applyFont="1" applyBorder="1" applyAlignment="1" applyProtection="1">
      <alignment horizontal="right" vertical="top"/>
      <protection hidden="1"/>
    </xf>
    <xf numFmtId="0" fontId="4" fillId="0" borderId="7" xfId="0" applyFont="1" applyBorder="1" applyAlignment="1" applyProtection="1">
      <alignment vertical="top"/>
      <protection hidden="1"/>
    </xf>
    <xf numFmtId="0" fontId="8" fillId="0" borderId="15" xfId="0" applyFont="1" applyBorder="1" applyAlignment="1" applyProtection="1">
      <alignment horizontal="left" vertical="top"/>
      <protection hidden="1"/>
    </xf>
    <xf numFmtId="0" fontId="4" fillId="0" borderId="12" xfId="0" applyFont="1" applyBorder="1" applyAlignment="1" applyProtection="1">
      <alignment vertical="top"/>
      <protection hidden="1"/>
    </xf>
    <xf numFmtId="0" fontId="8" fillId="0" borderId="11" xfId="0" applyFont="1" applyBorder="1" applyAlignment="1" applyProtection="1">
      <alignment vertical="top"/>
      <protection hidden="1"/>
    </xf>
    <xf numFmtId="0" fontId="4" fillId="0" borderId="10" xfId="0" applyFont="1" applyBorder="1" applyAlignment="1" applyProtection="1">
      <alignment vertical="top"/>
      <protection hidden="1"/>
    </xf>
    <xf numFmtId="49" fontId="4" fillId="0" borderId="15" xfId="0" quotePrefix="1" applyNumberFormat="1" applyFont="1" applyBorder="1" applyAlignment="1" applyProtection="1">
      <alignment horizontal="right" vertical="top"/>
      <protection hidden="1"/>
    </xf>
    <xf numFmtId="49" fontId="4" fillId="0" borderId="15" xfId="0" quotePrefix="1" applyNumberFormat="1" applyFont="1" applyBorder="1" applyAlignment="1" applyProtection="1">
      <alignment vertical="top"/>
      <protection hidden="1"/>
    </xf>
    <xf numFmtId="0" fontId="16" fillId="0" borderId="9" xfId="0" applyFont="1" applyBorder="1" applyAlignment="1" applyProtection="1">
      <alignment vertical="center"/>
      <protection hidden="1"/>
    </xf>
    <xf numFmtId="0" fontId="16" fillId="0" borderId="10" xfId="0" applyFont="1" applyBorder="1" applyAlignment="1" applyProtection="1">
      <alignment vertical="center"/>
      <protection hidden="1"/>
    </xf>
    <xf numFmtId="0" fontId="15" fillId="0" borderId="0" xfId="0" applyFont="1" applyAlignment="1" applyProtection="1">
      <alignment vertical="top"/>
      <protection hidden="1"/>
    </xf>
    <xf numFmtId="0" fontId="18" fillId="0" borderId="0" xfId="0" applyFont="1" applyAlignment="1" applyProtection="1">
      <alignment vertical="top"/>
      <protection hidden="1"/>
    </xf>
    <xf numFmtId="0" fontId="29" fillId="0" borderId="6" xfId="0" applyFont="1" applyBorder="1" applyAlignment="1" applyProtection="1">
      <alignment vertical="top"/>
      <protection hidden="1"/>
    </xf>
    <xf numFmtId="49" fontId="4" fillId="0" borderId="15" xfId="0" applyNumberFormat="1" applyFont="1" applyBorder="1" applyAlignment="1" applyProtection="1">
      <alignment horizontal="left" vertical="top"/>
      <protection hidden="1"/>
    </xf>
    <xf numFmtId="0" fontId="8" fillId="0" borderId="14" xfId="0" applyFont="1" applyBorder="1" applyAlignment="1" applyProtection="1">
      <alignment horizontal="left" vertical="top"/>
      <protection hidden="1"/>
    </xf>
    <xf numFmtId="4" fontId="6" fillId="0" borderId="15" xfId="0" applyNumberFormat="1" applyFont="1" applyBorder="1" applyAlignment="1" applyProtection="1">
      <alignment vertical="center"/>
      <protection hidden="1"/>
    </xf>
    <xf numFmtId="0" fontId="8" fillId="0" borderId="11" xfId="0" applyFont="1" applyBorder="1" applyAlignment="1" applyProtection="1">
      <alignment vertical="top" wrapText="1"/>
      <protection hidden="1"/>
    </xf>
    <xf numFmtId="0" fontId="0" fillId="0" borderId="13" xfId="0" applyBorder="1" applyAlignment="1" applyProtection="1">
      <alignment horizontal="center" vertical="top" wrapText="1"/>
      <protection hidden="1"/>
    </xf>
    <xf numFmtId="0" fontId="6" fillId="3" borderId="2" xfId="0" applyFont="1" applyFill="1" applyBorder="1" applyAlignment="1" applyProtection="1">
      <alignment horizontal="left" vertical="center"/>
      <protection hidden="1"/>
    </xf>
    <xf numFmtId="1" fontId="31" fillId="3" borderId="3" xfId="0" applyNumberFormat="1" applyFont="1" applyFill="1" applyBorder="1" applyAlignment="1" applyProtection="1">
      <alignment vertical="center"/>
      <protection hidden="1"/>
    </xf>
    <xf numFmtId="0" fontId="8" fillId="3" borderId="4" xfId="0" applyFont="1" applyFill="1" applyBorder="1" applyAlignment="1" applyProtection="1">
      <alignment horizontal="center" vertical="top" wrapText="1"/>
      <protection hidden="1"/>
    </xf>
    <xf numFmtId="0" fontId="6" fillId="3" borderId="3" xfId="0" applyFont="1" applyFill="1" applyBorder="1" applyAlignment="1" applyProtection="1">
      <alignment vertical="center"/>
      <protection hidden="1"/>
    </xf>
    <xf numFmtId="0" fontId="4" fillId="3" borderId="11" xfId="0" applyFont="1" applyFill="1" applyBorder="1" applyAlignment="1" applyProtection="1">
      <alignment horizontal="left" vertical="center"/>
      <protection hidden="1"/>
    </xf>
    <xf numFmtId="4" fontId="21" fillId="3" borderId="13" xfId="0" applyNumberFormat="1" applyFont="1" applyFill="1" applyBorder="1" applyAlignment="1" applyProtection="1">
      <alignment horizontal="right" vertical="center"/>
      <protection hidden="1"/>
    </xf>
    <xf numFmtId="0" fontId="4" fillId="3" borderId="5" xfId="0" applyFont="1" applyFill="1" applyBorder="1" applyAlignment="1" applyProtection="1">
      <alignment horizontal="left" vertical="center"/>
      <protection hidden="1"/>
    </xf>
    <xf numFmtId="4" fontId="21" fillId="3" borderId="7" xfId="0" applyNumberFormat="1" applyFont="1" applyFill="1" applyBorder="1" applyAlignment="1" applyProtection="1">
      <alignment horizontal="right" vertical="center"/>
      <protection hidden="1"/>
    </xf>
    <xf numFmtId="0" fontId="8" fillId="0" borderId="9" xfId="1" applyFont="1" applyBorder="1" applyAlignment="1" applyProtection="1">
      <alignment horizontal="left" vertical="top" wrapText="1"/>
      <protection hidden="1"/>
    </xf>
    <xf numFmtId="0" fontId="6" fillId="0" borderId="9" xfId="1" applyFont="1" applyBorder="1" applyAlignment="1" applyProtection="1">
      <alignment horizontal="left" vertical="center" wrapText="1"/>
      <protection hidden="1"/>
    </xf>
    <xf numFmtId="0" fontId="13" fillId="0" borderId="0" xfId="1" quotePrefix="1" applyFont="1" applyAlignment="1" applyProtection="1">
      <alignment horizontal="left" vertical="top" wrapText="1"/>
      <protection locked="0" hidden="1"/>
    </xf>
    <xf numFmtId="0" fontId="8" fillId="0" borderId="9" xfId="1" applyFont="1" applyBorder="1" applyAlignment="1" applyProtection="1">
      <alignment horizontal="right" vertical="center"/>
      <protection hidden="1"/>
    </xf>
    <xf numFmtId="0" fontId="17" fillId="0" borderId="0" xfId="1" applyFont="1" applyAlignment="1" applyProtection="1">
      <alignment horizontal="left" vertical="top" wrapText="1"/>
      <protection hidden="1"/>
    </xf>
    <xf numFmtId="0" fontId="8" fillId="0" borderId="6" xfId="1" applyFont="1" applyBorder="1" applyAlignment="1" applyProtection="1">
      <alignment horizontal="right" vertical="center"/>
      <protection hidden="1"/>
    </xf>
    <xf numFmtId="166" fontId="0" fillId="0" borderId="1" xfId="0" applyNumberFormat="1" applyBorder="1" applyAlignment="1" applyProtection="1">
      <alignment vertical="top"/>
      <protection hidden="1"/>
    </xf>
    <xf numFmtId="166" fontId="0" fillId="0" borderId="1" xfId="0" applyNumberFormat="1" applyBorder="1" applyAlignment="1" applyProtection="1">
      <alignment vertical="center"/>
      <protection hidden="1"/>
    </xf>
    <xf numFmtId="166" fontId="0" fillId="0" borderId="14" xfId="0" applyNumberFormat="1" applyBorder="1" applyAlignment="1" applyProtection="1">
      <alignment vertical="top"/>
      <protection hidden="1"/>
    </xf>
    <xf numFmtId="166" fontId="0" fillId="0" borderId="1" xfId="0" applyNumberFormat="1" applyBorder="1" applyAlignment="1" applyProtection="1">
      <alignment horizontal="right" vertical="center"/>
      <protection hidden="1"/>
    </xf>
    <xf numFmtId="166" fontId="0" fillId="0" borderId="12" xfId="0" applyNumberFormat="1" applyBorder="1" applyAlignment="1" applyProtection="1">
      <alignment vertical="top"/>
      <protection hidden="1"/>
    </xf>
    <xf numFmtId="166" fontId="6" fillId="0" borderId="16" xfId="0" applyNumberFormat="1" applyFont="1" applyBorder="1" applyAlignment="1" applyProtection="1">
      <alignment vertical="top"/>
      <protection hidden="1"/>
    </xf>
    <xf numFmtId="16" fontId="4" fillId="0" borderId="5" xfId="0" quotePrefix="1" applyNumberFormat="1" applyFont="1" applyBorder="1" applyAlignment="1" applyProtection="1">
      <alignment horizontal="center" vertical="top"/>
      <protection hidden="1"/>
    </xf>
    <xf numFmtId="0" fontId="4" fillId="0" borderId="14" xfId="0" applyFont="1" applyBorder="1" applyAlignment="1" applyProtection="1">
      <alignment horizontal="center" vertical="top" wrapText="1"/>
      <protection hidden="1"/>
    </xf>
    <xf numFmtId="0" fontId="4" fillId="0" borderId="15" xfId="0" applyFont="1" applyBorder="1" applyAlignment="1" applyProtection="1">
      <alignment horizontal="center" vertical="top" wrapText="1"/>
      <protection hidden="1"/>
    </xf>
    <xf numFmtId="0" fontId="6" fillId="0" borderId="14" xfId="0" applyFont="1" applyBorder="1" applyAlignment="1" applyProtection="1">
      <alignment horizontal="center" vertical="top" wrapText="1"/>
      <protection hidden="1"/>
    </xf>
    <xf numFmtId="0" fontId="0" fillId="0" borderId="14" xfId="0" applyBorder="1" applyAlignment="1" applyProtection="1">
      <alignment horizontal="center" vertical="top" wrapText="1"/>
      <protection hidden="1"/>
    </xf>
    <xf numFmtId="0" fontId="4" fillId="0" borderId="2" xfId="0" applyFont="1" applyBorder="1" applyAlignment="1" applyProtection="1">
      <alignment horizontal="center" vertical="top" wrapText="1"/>
      <protection hidden="1"/>
    </xf>
    <xf numFmtId="0" fontId="0" fillId="0" borderId="8" xfId="0" applyBorder="1" applyAlignment="1" applyProtection="1">
      <alignment horizontal="center" vertical="top" wrapText="1"/>
      <protection hidden="1"/>
    </xf>
    <xf numFmtId="0" fontId="0" fillId="0" borderId="10" xfId="0" applyBorder="1" applyAlignment="1" applyProtection="1">
      <alignment horizontal="center" vertical="top" wrapText="1"/>
      <protection hidden="1"/>
    </xf>
    <xf numFmtId="4" fontId="0" fillId="4" borderId="1" xfId="0" applyNumberFormat="1" applyFill="1" applyBorder="1" applyAlignment="1" applyProtection="1">
      <alignment vertical="top"/>
      <protection locked="0"/>
    </xf>
    <xf numFmtId="0" fontId="28" fillId="4" borderId="1" xfId="1" applyFont="1" applyFill="1" applyBorder="1" applyAlignment="1" applyProtection="1">
      <alignment vertical="top"/>
      <protection hidden="1"/>
    </xf>
    <xf numFmtId="10" fontId="0" fillId="0" borderId="0" xfId="0" applyNumberFormat="1" applyAlignment="1" applyProtection="1">
      <alignment horizontal="center" vertical="top"/>
      <protection hidden="1"/>
    </xf>
    <xf numFmtId="0" fontId="4" fillId="0" borderId="14" xfId="0" applyFont="1" applyBorder="1" applyAlignment="1" applyProtection="1">
      <alignment vertical="top"/>
      <protection hidden="1"/>
    </xf>
    <xf numFmtId="0" fontId="8" fillId="0" borderId="8" xfId="0" applyFont="1" applyBorder="1" applyAlignment="1" applyProtection="1">
      <alignment vertical="top"/>
      <protection hidden="1"/>
    </xf>
    <xf numFmtId="0" fontId="6" fillId="0" borderId="3" xfId="0" applyFont="1" applyBorder="1" applyAlignment="1" applyProtection="1">
      <alignment horizontal="left" vertical="center"/>
      <protection hidden="1"/>
    </xf>
    <xf numFmtId="49" fontId="4" fillId="0" borderId="12" xfId="0" quotePrefix="1" applyNumberFormat="1" applyFont="1" applyBorder="1" applyAlignment="1" applyProtection="1">
      <alignment horizontal="right" vertical="top"/>
      <protection hidden="1"/>
    </xf>
    <xf numFmtId="49" fontId="8" fillId="0" borderId="14" xfId="0" applyNumberFormat="1" applyFont="1" applyBorder="1" applyAlignment="1" applyProtection="1">
      <alignment horizontal="left" vertical="top"/>
      <protection hidden="1"/>
    </xf>
    <xf numFmtId="1" fontId="8" fillId="0" borderId="14" xfId="0" applyNumberFormat="1" applyFont="1" applyBorder="1" applyAlignment="1" applyProtection="1">
      <alignment horizontal="center" vertical="center" wrapText="1"/>
      <protection hidden="1"/>
    </xf>
    <xf numFmtId="0" fontId="4" fillId="0" borderId="12" xfId="0" quotePrefix="1" applyFont="1" applyBorder="1" applyAlignment="1" applyProtection="1">
      <alignment horizontal="center" vertical="top"/>
      <protection hidden="1"/>
    </xf>
    <xf numFmtId="168" fontId="4" fillId="0" borderId="12" xfId="0" quotePrefix="1" applyNumberFormat="1" applyFont="1" applyBorder="1" applyAlignment="1" applyProtection="1">
      <alignment horizontal="center" vertical="top"/>
      <protection hidden="1"/>
    </xf>
    <xf numFmtId="168" fontId="0" fillId="0" borderId="14" xfId="0" applyNumberFormat="1" applyBorder="1" applyAlignment="1" applyProtection="1">
      <alignment horizontal="center" vertical="top" wrapText="1"/>
      <protection hidden="1"/>
    </xf>
    <xf numFmtId="166" fontId="0" fillId="0" borderId="11" xfId="0" applyNumberFormat="1" applyBorder="1" applyAlignment="1" applyProtection="1">
      <alignment vertical="top"/>
      <protection hidden="1"/>
    </xf>
    <xf numFmtId="166" fontId="0" fillId="0" borderId="0" xfId="0" applyNumberFormat="1" applyAlignment="1" applyProtection="1">
      <alignment vertical="top"/>
      <protection hidden="1"/>
    </xf>
    <xf numFmtId="166" fontId="0" fillId="0" borderId="5" xfId="0" applyNumberFormat="1" applyBorder="1" applyAlignment="1" applyProtection="1">
      <alignment vertical="top"/>
      <protection hidden="1"/>
    </xf>
    <xf numFmtId="166" fontId="0" fillId="0" borderId="7" xfId="0" applyNumberFormat="1" applyBorder="1" applyAlignment="1" applyProtection="1">
      <alignment vertical="top"/>
      <protection hidden="1"/>
    </xf>
    <xf numFmtId="168" fontId="6" fillId="0" borderId="6" xfId="0" applyNumberFormat="1" applyFont="1" applyBorder="1" applyAlignment="1" applyProtection="1">
      <alignment horizontal="center" vertical="top"/>
      <protection hidden="1"/>
    </xf>
    <xf numFmtId="2" fontId="29" fillId="0" borderId="0" xfId="0" applyNumberFormat="1" applyFont="1" applyAlignment="1" applyProtection="1">
      <alignment vertical="center"/>
      <protection hidden="1"/>
    </xf>
    <xf numFmtId="2" fontId="29" fillId="0" borderId="13" xfId="0" applyNumberFormat="1" applyFont="1" applyBorder="1" applyAlignment="1" applyProtection="1">
      <alignment vertical="center"/>
      <protection hidden="1"/>
    </xf>
    <xf numFmtId="2" fontId="29" fillId="0" borderId="6" xfId="0" applyNumberFormat="1" applyFont="1" applyBorder="1" applyAlignment="1" applyProtection="1">
      <alignment vertical="center"/>
      <protection hidden="1"/>
    </xf>
    <xf numFmtId="2" fontId="29" fillId="0" borderId="7" xfId="0" applyNumberFormat="1" applyFont="1" applyBorder="1" applyAlignment="1" applyProtection="1">
      <alignment vertical="center"/>
      <protection hidden="1"/>
    </xf>
    <xf numFmtId="0" fontId="6" fillId="0" borderId="9" xfId="0" applyFont="1" applyBorder="1" applyAlignment="1" applyProtection="1">
      <alignment vertical="top"/>
      <protection hidden="1"/>
    </xf>
    <xf numFmtId="16" fontId="4" fillId="0" borderId="0" xfId="0" quotePrefix="1" applyNumberFormat="1" applyFont="1" applyAlignment="1" applyProtection="1">
      <alignment vertical="top"/>
      <protection hidden="1"/>
    </xf>
    <xf numFmtId="16" fontId="4" fillId="0" borderId="0" xfId="0" quotePrefix="1" applyNumberFormat="1" applyFont="1" applyAlignment="1" applyProtection="1">
      <alignment horizontal="right" vertical="top"/>
      <protection hidden="1"/>
    </xf>
    <xf numFmtId="10" fontId="0" fillId="5" borderId="1" xfId="0" applyNumberFormat="1" applyFill="1" applyBorder="1" applyAlignment="1" applyProtection="1">
      <alignment horizontal="center" vertical="top"/>
      <protection locked="0"/>
    </xf>
    <xf numFmtId="0" fontId="4" fillId="0" borderId="9" xfId="0" applyFont="1" applyBorder="1" applyAlignment="1" applyProtection="1">
      <alignment vertical="top"/>
      <protection hidden="1"/>
    </xf>
    <xf numFmtId="0" fontId="14" fillId="0" borderId="0" xfId="0" applyFont="1" applyAlignment="1" applyProtection="1">
      <alignment horizontal="left" vertical="top"/>
      <protection locked="0" hidden="1"/>
    </xf>
    <xf numFmtId="0" fontId="21" fillId="0" borderId="0" xfId="0" applyFont="1" applyAlignment="1" applyProtection="1">
      <alignment horizontal="center" vertical="top" wrapText="1"/>
      <protection locked="0" hidden="1"/>
    </xf>
    <xf numFmtId="0" fontId="14" fillId="0" borderId="0" xfId="0" applyFont="1" applyAlignment="1" applyProtection="1">
      <alignment horizontal="center" vertical="top"/>
      <protection locked="0" hidden="1"/>
    </xf>
    <xf numFmtId="0" fontId="16" fillId="0" borderId="0" xfId="0" applyFont="1" applyAlignment="1" applyProtection="1">
      <alignment vertical="center"/>
      <protection locked="0" hidden="1"/>
    </xf>
    <xf numFmtId="0" fontId="14" fillId="0" borderId="0" xfId="0" applyFont="1" applyAlignment="1" applyProtection="1">
      <alignment vertical="top"/>
      <protection locked="0" hidden="1"/>
    </xf>
    <xf numFmtId="16" fontId="6" fillId="0" borderId="2" xfId="0" quotePrefix="1" applyNumberFormat="1" applyFont="1" applyBorder="1" applyAlignment="1" applyProtection="1">
      <alignment vertical="top"/>
      <protection hidden="1"/>
    </xf>
    <xf numFmtId="16" fontId="6" fillId="0" borderId="3" xfId="0" quotePrefix="1" applyNumberFormat="1" applyFont="1" applyBorder="1" applyAlignment="1" applyProtection="1">
      <alignment vertical="top"/>
      <protection hidden="1"/>
    </xf>
    <xf numFmtId="0" fontId="8" fillId="0" borderId="9" xfId="0" applyFont="1" applyBorder="1" applyAlignment="1" applyProtection="1">
      <alignment vertical="top"/>
      <protection hidden="1"/>
    </xf>
    <xf numFmtId="16" fontId="6" fillId="0" borderId="8" xfId="0" quotePrefix="1" applyNumberFormat="1" applyFont="1" applyBorder="1" applyAlignment="1" applyProtection="1">
      <alignment vertical="top"/>
      <protection hidden="1"/>
    </xf>
    <xf numFmtId="16" fontId="6" fillId="0" borderId="9" xfId="0" quotePrefix="1" applyNumberFormat="1" applyFont="1" applyBorder="1" applyAlignment="1" applyProtection="1">
      <alignment vertical="top"/>
      <protection hidden="1"/>
    </xf>
    <xf numFmtId="16" fontId="6" fillId="0" borderId="10" xfId="0" quotePrefix="1" applyNumberFormat="1" applyFont="1" applyBorder="1" applyAlignment="1" applyProtection="1">
      <alignment vertical="top"/>
      <protection hidden="1"/>
    </xf>
    <xf numFmtId="4" fontId="0" fillId="4" borderId="12" xfId="0" applyNumberFormat="1" applyFill="1" applyBorder="1" applyAlignment="1" applyProtection="1">
      <alignment vertical="top"/>
      <protection locked="0"/>
    </xf>
    <xf numFmtId="4" fontId="0" fillId="4" borderId="14" xfId="0" applyNumberFormat="1" applyFill="1" applyBorder="1" applyAlignment="1" applyProtection="1">
      <alignment vertical="top"/>
      <protection locked="0"/>
    </xf>
    <xf numFmtId="0" fontId="4" fillId="0" borderId="0" xfId="0" applyFont="1" applyAlignment="1" applyProtection="1">
      <alignment vertical="top" wrapText="1"/>
      <protection hidden="1"/>
    </xf>
    <xf numFmtId="0" fontId="21" fillId="0" borderId="0" xfId="0" applyFont="1" applyAlignment="1" applyProtection="1">
      <alignment vertical="top"/>
      <protection hidden="1"/>
    </xf>
    <xf numFmtId="0" fontId="0" fillId="0" borderId="9" xfId="0" applyBorder="1" applyAlignment="1" applyProtection="1">
      <alignment vertical="top"/>
      <protection hidden="1"/>
    </xf>
    <xf numFmtId="16" fontId="8" fillId="0" borderId="14" xfId="0" quotePrefix="1" applyNumberFormat="1" applyFont="1" applyBorder="1" applyAlignment="1" applyProtection="1">
      <alignment vertical="top"/>
      <protection hidden="1"/>
    </xf>
    <xf numFmtId="0" fontId="0" fillId="0" borderId="14" xfId="0" applyBorder="1" applyAlignment="1" applyProtection="1">
      <alignment vertical="top"/>
      <protection hidden="1"/>
    </xf>
    <xf numFmtId="0" fontId="0" fillId="0" borderId="0" xfId="0" applyAlignment="1" applyProtection="1">
      <alignment vertical="top"/>
      <protection locked="0" hidden="1"/>
    </xf>
    <xf numFmtId="10" fontId="0" fillId="4" borderId="1" xfId="0" quotePrefix="1" applyNumberFormat="1" applyFill="1" applyBorder="1" applyAlignment="1" applyProtection="1">
      <alignment horizontal="center" vertical="top"/>
      <protection locked="0"/>
    </xf>
    <xf numFmtId="4" fontId="0" fillId="5" borderId="1" xfId="0" applyNumberFormat="1" applyFill="1" applyBorder="1" applyAlignment="1" applyProtection="1">
      <alignment horizontal="center" vertical="top"/>
      <protection locked="0"/>
    </xf>
    <xf numFmtId="0" fontId="4" fillId="0" borderId="12" xfId="0" applyFont="1" applyBorder="1" applyAlignment="1" applyProtection="1">
      <alignment horizontal="center" vertical="top" wrapText="1"/>
      <protection hidden="1"/>
    </xf>
    <xf numFmtId="0" fontId="0" fillId="0" borderId="0" xfId="0" applyAlignment="1" applyProtection="1">
      <alignment horizontal="right" vertical="center"/>
      <protection hidden="1"/>
    </xf>
    <xf numFmtId="0" fontId="20" fillId="0" borderId="0" xfId="1" applyFont="1" applyAlignment="1" applyProtection="1">
      <alignment vertical="top"/>
      <protection locked="0" hidden="1"/>
    </xf>
    <xf numFmtId="0" fontId="0" fillId="0" borderId="0" xfId="1" applyFont="1" applyAlignment="1" applyProtection="1">
      <alignment vertical="top"/>
      <protection locked="0" hidden="1"/>
    </xf>
    <xf numFmtId="0" fontId="0" fillId="0" borderId="0" xfId="1" applyFont="1" applyAlignment="1" applyProtection="1">
      <alignment vertical="top" wrapText="1"/>
      <protection locked="0" hidden="1"/>
    </xf>
    <xf numFmtId="0" fontId="0" fillId="0" borderId="0" xfId="1" applyFont="1" applyAlignment="1" applyProtection="1">
      <alignment vertical="top"/>
      <protection hidden="1"/>
    </xf>
    <xf numFmtId="0" fontId="0" fillId="2" borderId="0" xfId="1" applyFont="1" applyFill="1" applyAlignment="1" applyProtection="1">
      <alignment vertical="top"/>
      <protection locked="0" hidden="1"/>
    </xf>
    <xf numFmtId="0" fontId="0" fillId="0" borderId="0" xfId="1" applyFont="1" applyAlignment="1" applyProtection="1">
      <alignment vertical="center"/>
      <protection locked="0" hidden="1"/>
    </xf>
    <xf numFmtId="0" fontId="4" fillId="0" borderId="0" xfId="1" applyFont="1" applyProtection="1">
      <protection hidden="1"/>
    </xf>
    <xf numFmtId="0" fontId="0" fillId="0" borderId="0" xfId="1" applyFont="1" applyAlignment="1" applyProtection="1">
      <alignment horizontal="left" vertical="top"/>
      <protection hidden="1"/>
    </xf>
    <xf numFmtId="0" fontId="0" fillId="0" borderId="0" xfId="1" applyFont="1" applyAlignment="1" applyProtection="1">
      <alignment horizontal="left" vertical="top"/>
      <protection locked="0" hidden="1"/>
    </xf>
    <xf numFmtId="0" fontId="13" fillId="0" borderId="0" xfId="1" applyFont="1" applyAlignment="1" applyProtection="1">
      <alignment vertical="top" wrapText="1"/>
      <protection hidden="1"/>
    </xf>
    <xf numFmtId="0" fontId="0" fillId="0" borderId="0" xfId="0" applyAlignment="1" applyProtection="1">
      <alignment vertical="top" wrapText="1"/>
      <protection locked="0" hidden="1"/>
    </xf>
    <xf numFmtId="0" fontId="0" fillId="0" borderId="0" xfId="0" applyAlignment="1" applyProtection="1">
      <alignment horizontal="center" vertical="top" wrapText="1"/>
      <protection locked="0" hidden="1"/>
    </xf>
    <xf numFmtId="0" fontId="0" fillId="0" borderId="0" xfId="0" applyAlignment="1" applyProtection="1">
      <alignment vertical="center"/>
      <protection hidden="1"/>
    </xf>
    <xf numFmtId="0" fontId="0" fillId="0" borderId="0" xfId="0" applyAlignment="1" applyProtection="1">
      <alignment horizontal="center" vertical="center" wrapText="1"/>
      <protection locked="0" hidden="1"/>
    </xf>
    <xf numFmtId="0" fontId="0" fillId="4" borderId="8" xfId="0" applyFill="1" applyBorder="1" applyAlignment="1" applyProtection="1">
      <alignment vertical="top"/>
      <protection hidden="1"/>
    </xf>
    <xf numFmtId="0" fontId="0" fillId="0" borderId="11" xfId="0" applyBorder="1" applyAlignment="1" applyProtection="1">
      <alignment vertical="top"/>
      <protection hidden="1"/>
    </xf>
    <xf numFmtId="0" fontId="0" fillId="4" borderId="15" xfId="0" applyFill="1" applyBorder="1" applyAlignment="1" applyProtection="1">
      <alignment horizontal="center" vertical="center" wrapText="1"/>
      <protection locked="0"/>
    </xf>
    <xf numFmtId="168" fontId="0" fillId="0" borderId="15" xfId="0" applyNumberFormat="1" applyBorder="1" applyAlignment="1" applyProtection="1">
      <alignment horizontal="center" vertical="center" wrapText="1"/>
      <protection hidden="1"/>
    </xf>
    <xf numFmtId="0" fontId="0" fillId="0" borderId="11" xfId="0" applyBorder="1" applyAlignment="1" applyProtection="1">
      <alignment vertical="center"/>
      <protection hidden="1"/>
    </xf>
    <xf numFmtId="0" fontId="0" fillId="0" borderId="0" xfId="0" applyAlignment="1" applyProtection="1">
      <alignment vertical="center"/>
      <protection locked="0" hidden="1"/>
    </xf>
    <xf numFmtId="0" fontId="0" fillId="0" borderId="13" xfId="0" applyBorder="1" applyAlignment="1" applyProtection="1">
      <alignment vertical="top"/>
      <protection hidden="1"/>
    </xf>
    <xf numFmtId="0" fontId="0" fillId="0" borderId="0" xfId="1" applyFont="1" applyProtection="1">
      <protection hidden="1"/>
    </xf>
    <xf numFmtId="0" fontId="0" fillId="0" borderId="0" xfId="1" applyFont="1" applyAlignment="1" applyProtection="1">
      <alignment wrapText="1"/>
      <protection hidden="1"/>
    </xf>
    <xf numFmtId="0" fontId="0" fillId="2" borderId="0" xfId="1" applyFont="1" applyFill="1" applyProtection="1">
      <protection hidden="1"/>
    </xf>
    <xf numFmtId="0" fontId="21" fillId="0" borderId="0" xfId="1" applyFont="1" applyProtection="1">
      <protection hidden="1"/>
    </xf>
    <xf numFmtId="0" fontId="0" fillId="0" borderId="0" xfId="1" applyFont="1" applyAlignment="1" applyProtection="1">
      <alignment vertical="center"/>
      <protection hidden="1"/>
    </xf>
    <xf numFmtId="0" fontId="20" fillId="0" borderId="0" xfId="1" applyFont="1" applyAlignment="1" applyProtection="1">
      <alignment vertical="top"/>
      <protection hidden="1"/>
    </xf>
    <xf numFmtId="0" fontId="20" fillId="0" borderId="0" xfId="1" applyFont="1" applyProtection="1">
      <protection hidden="1"/>
    </xf>
    <xf numFmtId="0" fontId="4" fillId="0" borderId="0" xfId="1" applyFont="1" applyAlignment="1" applyProtection="1">
      <alignment vertical="top"/>
      <protection locked="0" hidden="1"/>
    </xf>
    <xf numFmtId="0" fontId="20" fillId="0" borderId="14" xfId="1" applyFont="1" applyBorder="1" applyAlignment="1" applyProtection="1">
      <alignment vertical="top"/>
      <protection hidden="1"/>
    </xf>
    <xf numFmtId="0" fontId="37" fillId="4" borderId="1" xfId="1" applyFont="1" applyFill="1" applyBorder="1" applyAlignment="1" applyProtection="1">
      <alignment vertical="top"/>
      <protection hidden="1"/>
    </xf>
    <xf numFmtId="0" fontId="12" fillId="0" borderId="0" xfId="1" applyFont="1" applyProtection="1">
      <protection hidden="1"/>
    </xf>
    <xf numFmtId="166" fontId="0" fillId="0" borderId="0" xfId="1" applyNumberFormat="1" applyFont="1" applyAlignment="1" applyProtection="1">
      <alignment vertical="top"/>
      <protection hidden="1"/>
    </xf>
    <xf numFmtId="0" fontId="12" fillId="0" borderId="0" xfId="1" applyFont="1" applyAlignment="1" applyProtection="1">
      <alignment vertical="top"/>
      <protection hidden="1"/>
    </xf>
    <xf numFmtId="0" fontId="33" fillId="0" borderId="0" xfId="1" applyFont="1" applyProtection="1">
      <protection hidden="1"/>
    </xf>
    <xf numFmtId="0" fontId="0" fillId="0" borderId="12" xfId="0" applyBorder="1" applyAlignment="1" applyProtection="1">
      <alignment vertical="top"/>
      <protection hidden="1"/>
    </xf>
    <xf numFmtId="0" fontId="0" fillId="0" borderId="15" xfId="0" applyBorder="1" applyAlignment="1" applyProtection="1">
      <alignment vertical="top"/>
      <protection hidden="1"/>
    </xf>
    <xf numFmtId="4" fontId="0" fillId="0" borderId="1" xfId="0" applyNumberFormat="1" applyBorder="1" applyAlignment="1" applyProtection="1">
      <alignment vertical="top"/>
      <protection hidden="1"/>
    </xf>
    <xf numFmtId="0" fontId="16" fillId="0" borderId="0" xfId="0" applyFont="1" applyAlignment="1" applyProtection="1">
      <alignment horizontal="left" vertical="center"/>
      <protection hidden="1"/>
    </xf>
    <xf numFmtId="4" fontId="0" fillId="0" borderId="0" xfId="0" applyNumberFormat="1" applyAlignment="1" applyProtection="1">
      <alignment vertical="top"/>
      <protection hidden="1"/>
    </xf>
    <xf numFmtId="0" fontId="0" fillId="3" borderId="3" xfId="0" applyFill="1" applyBorder="1" applyAlignment="1" applyProtection="1">
      <alignment vertical="top"/>
      <protection hidden="1"/>
    </xf>
    <xf numFmtId="0" fontId="0" fillId="3" borderId="0" xfId="0" applyFill="1" applyAlignment="1" applyProtection="1">
      <alignment vertical="top"/>
      <protection hidden="1"/>
    </xf>
    <xf numFmtId="0" fontId="0" fillId="3" borderId="0" xfId="0" applyFill="1" applyAlignment="1" applyProtection="1">
      <alignment horizontal="left" vertical="center" wrapText="1"/>
      <protection hidden="1"/>
    </xf>
    <xf numFmtId="0" fontId="0" fillId="3" borderId="6" xfId="0" applyFill="1" applyBorder="1" applyAlignment="1" applyProtection="1">
      <alignment vertical="top"/>
      <protection hidden="1"/>
    </xf>
    <xf numFmtId="0" fontId="0" fillId="3" borderId="6" xfId="0" applyFill="1" applyBorder="1" applyAlignment="1" applyProtection="1">
      <alignment horizontal="left" vertical="center" wrapText="1"/>
      <protection hidden="1"/>
    </xf>
    <xf numFmtId="0" fontId="6" fillId="0" borderId="9" xfId="0" applyFont="1" applyBorder="1" applyAlignment="1" applyProtection="1">
      <alignment horizontal="left" vertical="center"/>
      <protection hidden="1"/>
    </xf>
    <xf numFmtId="49" fontId="4" fillId="0" borderId="0" xfId="1" applyNumberFormat="1" applyFont="1" applyAlignment="1" applyProtection="1">
      <alignment horizontal="center" vertical="top"/>
      <protection hidden="1"/>
    </xf>
    <xf numFmtId="49" fontId="13" fillId="0" borderId="0" xfId="1" applyNumberFormat="1" applyFont="1" applyAlignment="1" applyProtection="1">
      <alignment horizontal="left" vertical="top"/>
      <protection hidden="1"/>
    </xf>
    <xf numFmtId="0" fontId="4" fillId="0" borderId="0" xfId="1" applyFont="1" applyAlignment="1" applyProtection="1">
      <alignment horizontal="left" vertical="top" wrapText="1"/>
      <protection locked="0"/>
    </xf>
    <xf numFmtId="0" fontId="6" fillId="0" borderId="0" xfId="0" applyFont="1" applyAlignment="1">
      <alignment vertical="top"/>
    </xf>
    <xf numFmtId="4" fontId="0" fillId="0" borderId="15" xfId="0" applyNumberFormat="1" applyBorder="1" applyAlignment="1" applyProtection="1">
      <alignment horizontal="right" vertical="top"/>
      <protection hidden="1"/>
    </xf>
    <xf numFmtId="0" fontId="0" fillId="0" borderId="1" xfId="0" applyBorder="1" applyAlignment="1" applyProtection="1">
      <alignment vertical="top"/>
      <protection hidden="1"/>
    </xf>
    <xf numFmtId="0" fontId="0" fillId="0" borderId="0" xfId="1" applyFont="1" applyAlignment="1" applyProtection="1">
      <alignment horizontal="center" vertical="top"/>
      <protection locked="0" hidden="1"/>
    </xf>
    <xf numFmtId="4" fontId="6" fillId="0" borderId="1" xfId="0" applyNumberFormat="1" applyFont="1" applyBorder="1" applyAlignment="1" applyProtection="1">
      <alignment vertical="top"/>
      <protection hidden="1"/>
    </xf>
    <xf numFmtId="4" fontId="0" fillId="0" borderId="1" xfId="0" applyNumberFormat="1" applyBorder="1" applyAlignment="1" applyProtection="1">
      <alignment horizontal="right" vertical="top"/>
      <protection locked="0"/>
    </xf>
    <xf numFmtId="0" fontId="18" fillId="0" borderId="0" xfId="0" applyFont="1" applyAlignment="1" applyProtection="1">
      <alignment horizontal="center" vertical="top"/>
      <protection locked="0" hidden="1"/>
    </xf>
    <xf numFmtId="0" fontId="21" fillId="0" borderId="0" xfId="0" applyFont="1" applyAlignment="1" applyProtection="1">
      <alignment vertical="top"/>
      <protection locked="0" hidden="1"/>
    </xf>
    <xf numFmtId="0" fontId="8" fillId="0" borderId="0" xfId="0" applyFont="1" applyAlignment="1" applyProtection="1">
      <alignment vertical="top"/>
      <protection hidden="1"/>
    </xf>
    <xf numFmtId="16" fontId="8" fillId="0" borderId="3" xfId="0" quotePrefix="1" applyNumberFormat="1" applyFont="1" applyBorder="1" applyAlignment="1" applyProtection="1">
      <alignment vertical="top"/>
      <protection hidden="1"/>
    </xf>
    <xf numFmtId="2" fontId="0" fillId="0" borderId="0" xfId="0" applyNumberFormat="1" applyAlignment="1" applyProtection="1">
      <alignment vertical="top"/>
      <protection locked="0" hidden="1"/>
    </xf>
    <xf numFmtId="166" fontId="0" fillId="0" borderId="0" xfId="0" applyNumberFormat="1" applyAlignment="1" applyProtection="1">
      <alignment vertical="top"/>
      <protection locked="0" hidden="1"/>
    </xf>
    <xf numFmtId="4" fontId="0" fillId="0" borderId="0" xfId="0" applyNumberFormat="1" applyAlignment="1" applyProtection="1">
      <alignment vertical="top"/>
      <protection locked="0" hidden="1"/>
    </xf>
    <xf numFmtId="0" fontId="0" fillId="0" borderId="0" xfId="0" quotePrefix="1" applyAlignment="1" applyProtection="1">
      <alignment vertical="top"/>
      <protection locked="0" hidden="1"/>
    </xf>
    <xf numFmtId="164" fontId="0" fillId="0" borderId="0" xfId="0" applyNumberFormat="1" applyAlignment="1" applyProtection="1">
      <alignment vertical="top"/>
      <protection locked="0" hidden="1"/>
    </xf>
    <xf numFmtId="0" fontId="18" fillId="0" borderId="0" xfId="0" applyFont="1" applyAlignment="1" applyProtection="1">
      <alignment vertical="top"/>
      <protection locked="0" hidden="1"/>
    </xf>
    <xf numFmtId="0" fontId="33" fillId="0" borderId="0" xfId="0" applyFont="1" applyAlignment="1" applyProtection="1">
      <alignment vertical="top"/>
      <protection hidden="1"/>
    </xf>
    <xf numFmtId="1" fontId="36" fillId="3" borderId="0" xfId="0" applyNumberFormat="1" applyFont="1" applyFill="1" applyAlignment="1" applyProtection="1">
      <alignment vertical="center"/>
      <protection hidden="1"/>
    </xf>
    <xf numFmtId="1" fontId="36" fillId="3" borderId="6" xfId="0" applyNumberFormat="1" applyFont="1" applyFill="1" applyBorder="1" applyAlignment="1" applyProtection="1">
      <alignment vertical="center"/>
      <protection hidden="1"/>
    </xf>
    <xf numFmtId="0" fontId="18" fillId="0" borderId="0" xfId="0" applyFont="1" applyAlignment="1" applyProtection="1">
      <alignment horizontal="left" vertical="center"/>
      <protection locked="0" hidden="1"/>
    </xf>
    <xf numFmtId="0" fontId="5" fillId="0" borderId="0" xfId="0" applyFont="1" applyAlignment="1" applyProtection="1">
      <alignment horizontal="center" vertical="center" wrapText="1"/>
      <protection hidden="1"/>
    </xf>
    <xf numFmtId="0" fontId="6" fillId="0" borderId="3"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8" fillId="2" borderId="9" xfId="1" applyFont="1" applyFill="1" applyBorder="1" applyAlignment="1" applyProtection="1">
      <alignment horizontal="left" vertical="top" wrapText="1"/>
      <protection hidden="1"/>
    </xf>
    <xf numFmtId="0" fontId="37" fillId="0" borderId="0" xfId="0" applyFont="1" applyAlignment="1" applyProtection="1">
      <alignment vertical="top"/>
      <protection hidden="1"/>
    </xf>
    <xf numFmtId="0" fontId="6" fillId="0" borderId="2" xfId="0" applyFont="1" applyBorder="1" applyAlignment="1" applyProtection="1">
      <alignment horizontal="left" vertical="center"/>
      <protection hidden="1"/>
    </xf>
    <xf numFmtId="0" fontId="6" fillId="0" borderId="19" xfId="0" applyFont="1" applyBorder="1" applyAlignment="1" applyProtection="1">
      <alignment horizontal="left" vertical="center"/>
      <protection hidden="1"/>
    </xf>
    <xf numFmtId="0" fontId="39" fillId="0" borderId="0" xfId="0" applyFont="1" applyAlignment="1" applyProtection="1">
      <alignment vertical="top"/>
      <protection hidden="1"/>
    </xf>
    <xf numFmtId="0" fontId="14" fillId="0" borderId="0" xfId="0" applyFont="1" applyAlignment="1" applyProtection="1">
      <alignment vertical="top"/>
      <protection hidden="1"/>
    </xf>
    <xf numFmtId="0" fontId="0" fillId="0" borderId="20" xfId="0" applyBorder="1" applyAlignment="1" applyProtection="1">
      <alignment horizontal="left" vertical="center"/>
      <protection hidden="1"/>
    </xf>
    <xf numFmtId="0" fontId="6" fillId="4" borderId="21" xfId="0" applyFont="1" applyFill="1" applyBorder="1" applyAlignment="1" applyProtection="1">
      <alignment horizontal="left" vertical="center"/>
      <protection locked="0"/>
    </xf>
    <xf numFmtId="0" fontId="40" fillId="0" borderId="6" xfId="0" applyFont="1" applyBorder="1" applyAlignment="1" applyProtection="1">
      <alignment horizontal="center" vertical="center" wrapText="1"/>
      <protection hidden="1"/>
    </xf>
    <xf numFmtId="0" fontId="0" fillId="0" borderId="9" xfId="0" applyBorder="1" applyAlignment="1" applyProtection="1">
      <alignment horizontal="left" vertical="center"/>
      <protection hidden="1"/>
    </xf>
    <xf numFmtId="0" fontId="41" fillId="0" borderId="9" xfId="0" applyFont="1" applyBorder="1" applyAlignment="1" applyProtection="1">
      <alignment horizontal="left" vertical="center"/>
      <protection locked="0"/>
    </xf>
    <xf numFmtId="0" fontId="42" fillId="0" borderId="0" xfId="0" applyFont="1" applyAlignment="1" applyProtection="1">
      <alignment horizontal="right" vertical="top"/>
      <protection hidden="1"/>
    </xf>
    <xf numFmtId="0" fontId="6" fillId="4" borderId="23" xfId="0" applyFont="1" applyFill="1" applyBorder="1" applyAlignment="1" applyProtection="1">
      <alignment horizontal="left" vertical="center"/>
      <protection locked="0"/>
    </xf>
    <xf numFmtId="0" fontId="0" fillId="0" borderId="23" xfId="0" applyBorder="1" applyAlignment="1" applyProtection="1">
      <alignment horizontal="left" vertical="center"/>
      <protection hidden="1"/>
    </xf>
    <xf numFmtId="0" fontId="0" fillId="0" borderId="20" xfId="0" applyBorder="1" applyAlignment="1" applyProtection="1">
      <alignment vertical="center"/>
      <protection hidden="1"/>
    </xf>
    <xf numFmtId="0" fontId="0" fillId="0" borderId="29" xfId="0" applyBorder="1" applyAlignment="1" applyProtection="1">
      <alignment vertical="center"/>
      <protection hidden="1"/>
    </xf>
    <xf numFmtId="0" fontId="0" fillId="0" borderId="0" xfId="0" applyAlignment="1" applyProtection="1">
      <alignment horizontal="right" vertical="top"/>
      <protection hidden="1"/>
    </xf>
    <xf numFmtId="0" fontId="37" fillId="0" borderId="0" xfId="0" applyFont="1" applyAlignment="1" applyProtection="1">
      <alignment vertical="center"/>
      <protection hidden="1"/>
    </xf>
    <xf numFmtId="16" fontId="8" fillId="8" borderId="0" xfId="0" quotePrefix="1" applyNumberFormat="1" applyFont="1" applyFill="1" applyAlignment="1" applyProtection="1">
      <alignment horizontal="left" vertical="center"/>
      <protection hidden="1"/>
    </xf>
    <xf numFmtId="0" fontId="40" fillId="8" borderId="0" xfId="0" applyFont="1" applyFill="1" applyAlignment="1" applyProtection="1">
      <alignment vertical="center"/>
      <protection hidden="1"/>
    </xf>
    <xf numFmtId="0" fontId="6" fillId="8" borderId="0" xfId="0" applyFont="1" applyFill="1" applyAlignment="1" applyProtection="1">
      <alignment vertical="center"/>
      <protection hidden="1"/>
    </xf>
    <xf numFmtId="0" fontId="43" fillId="8" borderId="0" xfId="0" applyFont="1" applyFill="1" applyAlignment="1" applyProtection="1">
      <alignment vertical="center"/>
      <protection hidden="1"/>
    </xf>
    <xf numFmtId="4" fontId="6" fillId="8" borderId="0" xfId="0" applyNumberFormat="1" applyFont="1" applyFill="1" applyAlignment="1" applyProtection="1">
      <alignment vertical="center"/>
      <protection hidden="1"/>
    </xf>
    <xf numFmtId="0" fontId="6" fillId="0" borderId="6" xfId="0" applyFont="1" applyBorder="1" applyAlignment="1" applyProtection="1">
      <alignment vertical="center"/>
      <protection hidden="1"/>
    </xf>
    <xf numFmtId="0" fontId="6" fillId="0" borderId="6"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0" xfId="0" applyFont="1" applyAlignment="1" applyProtection="1">
      <alignment horizontal="left" vertical="center"/>
      <protection locked="0" hidden="1"/>
    </xf>
    <xf numFmtId="0" fontId="42" fillId="0" borderId="0" xfId="0" applyFont="1" applyAlignment="1" applyProtection="1">
      <alignment vertical="top"/>
      <protection hidden="1"/>
    </xf>
    <xf numFmtId="16" fontId="4" fillId="0" borderId="31" xfId="0" quotePrefix="1" applyNumberFormat="1" applyFont="1" applyBorder="1" applyAlignment="1" applyProtection="1">
      <alignment horizontal="right" vertical="top"/>
      <protection hidden="1"/>
    </xf>
    <xf numFmtId="0" fontId="0" fillId="4" borderId="1" xfId="0" applyFill="1" applyBorder="1" applyAlignment="1">
      <alignment vertical="top"/>
    </xf>
    <xf numFmtId="0" fontId="0" fillId="0" borderId="25" xfId="0" applyBorder="1" applyAlignment="1" applyProtection="1">
      <alignment vertical="top"/>
      <protection hidden="1"/>
    </xf>
    <xf numFmtId="0" fontId="0" fillId="0" borderId="26" xfId="0" applyBorder="1" applyAlignment="1" applyProtection="1">
      <alignment vertical="top"/>
      <protection hidden="1"/>
    </xf>
    <xf numFmtId="0" fontId="44" fillId="0" borderId="0" xfId="0" applyFont="1" applyAlignment="1" applyProtection="1">
      <alignment vertical="top"/>
      <protection hidden="1"/>
    </xf>
    <xf numFmtId="0" fontId="4" fillId="0" borderId="12" xfId="0" quotePrefix="1" applyFont="1" applyBorder="1" applyAlignment="1" applyProtection="1">
      <alignment horizontal="right" vertical="top"/>
      <protection hidden="1"/>
    </xf>
    <xf numFmtId="0" fontId="45" fillId="0" borderId="0" xfId="0" applyFont="1" applyAlignment="1" applyProtection="1">
      <alignment horizontal="right" vertical="top"/>
      <protection hidden="1"/>
    </xf>
    <xf numFmtId="0" fontId="4" fillId="0" borderId="31" xfId="0" quotePrefix="1" applyFont="1" applyBorder="1" applyAlignment="1" applyProtection="1">
      <alignment horizontal="right" vertical="top"/>
      <protection hidden="1"/>
    </xf>
    <xf numFmtId="0" fontId="18" fillId="0" borderId="2" xfId="0" applyFont="1" applyBorder="1" applyAlignment="1" applyProtection="1">
      <alignment horizontal="left"/>
      <protection locked="0" hidden="1"/>
    </xf>
    <xf numFmtId="0" fontId="6" fillId="0" borderId="11" xfId="0" applyFont="1" applyBorder="1" applyAlignment="1" applyProtection="1">
      <alignment horizontal="left" vertical="center"/>
      <protection locked="0" hidden="1"/>
    </xf>
    <xf numFmtId="16" fontId="6" fillId="0" borderId="22" xfId="0" quotePrefix="1" applyNumberFormat="1" applyFont="1" applyBorder="1" applyAlignment="1" applyProtection="1">
      <alignment horizontal="left" vertical="center"/>
      <protection hidden="1"/>
    </xf>
    <xf numFmtId="0" fontId="6" fillId="0" borderId="19" xfId="0" applyFont="1" applyBorder="1" applyAlignment="1" applyProtection="1">
      <alignment horizontal="right" vertical="center"/>
      <protection hidden="1"/>
    </xf>
    <xf numFmtId="0" fontId="6" fillId="0" borderId="23" xfId="0" applyFont="1" applyBorder="1" applyAlignment="1" applyProtection="1">
      <alignment vertical="center"/>
      <protection hidden="1"/>
    </xf>
    <xf numFmtId="0" fontId="6" fillId="0" borderId="22" xfId="0" applyFont="1" applyBorder="1" applyAlignment="1" applyProtection="1">
      <alignment vertical="center"/>
      <protection hidden="1"/>
    </xf>
    <xf numFmtId="0" fontId="0" fillId="0" borderId="19" xfId="0" applyBorder="1" applyAlignment="1" applyProtection="1">
      <alignment vertical="center"/>
      <protection hidden="1"/>
    </xf>
    <xf numFmtId="0" fontId="0" fillId="0" borderId="11" xfId="0" applyBorder="1" applyAlignment="1" applyProtection="1">
      <alignment vertical="top"/>
      <protection locked="0" hidden="1"/>
    </xf>
    <xf numFmtId="0" fontId="4" fillId="0" borderId="24" xfId="0" applyFont="1" applyBorder="1" applyAlignment="1" applyProtection="1">
      <alignment vertical="top"/>
      <protection hidden="1"/>
    </xf>
    <xf numFmtId="0" fontId="4" fillId="0" borderId="26" xfId="0" applyFont="1" applyBorder="1" applyAlignment="1" applyProtection="1">
      <alignment horizontal="right" vertical="top"/>
      <protection hidden="1"/>
    </xf>
    <xf numFmtId="0" fontId="18" fillId="0" borderId="5" xfId="0" applyFont="1" applyBorder="1" applyAlignment="1" applyProtection="1">
      <alignment horizontal="center" vertical="top" wrapText="1"/>
      <protection locked="0" hidden="1"/>
    </xf>
    <xf numFmtId="0" fontId="18" fillId="0" borderId="6" xfId="0" quotePrefix="1" applyFont="1" applyBorder="1" applyAlignment="1" applyProtection="1">
      <alignment vertical="top"/>
      <protection hidden="1"/>
    </xf>
    <xf numFmtId="0" fontId="47" fillId="0" borderId="11" xfId="0" applyFont="1" applyBorder="1" applyAlignment="1" applyProtection="1">
      <alignment textRotation="90"/>
      <protection hidden="1"/>
    </xf>
    <xf numFmtId="0" fontId="4" fillId="0" borderId="7" xfId="0" applyFont="1" applyBorder="1" applyAlignment="1" applyProtection="1">
      <alignment horizontal="right" vertical="top"/>
      <protection hidden="1"/>
    </xf>
    <xf numFmtId="0" fontId="13" fillId="0" borderId="0" xfId="1" quotePrefix="1" applyFont="1" applyAlignment="1" applyProtection="1">
      <alignment horizontal="left" vertical="top" wrapText="1"/>
      <protection hidden="1"/>
    </xf>
    <xf numFmtId="0" fontId="6" fillId="0" borderId="19" xfId="0" applyFont="1" applyBorder="1" applyAlignment="1" applyProtection="1">
      <alignment vertical="center"/>
      <protection hidden="1"/>
    </xf>
    <xf numFmtId="0" fontId="6" fillId="0" borderId="30" xfId="0" applyFont="1" applyBorder="1" applyAlignment="1">
      <alignment horizontal="left" vertical="center"/>
    </xf>
    <xf numFmtId="0" fontId="6" fillId="0" borderId="23" xfId="0" applyFont="1" applyBorder="1" applyAlignment="1" applyProtection="1">
      <alignment horizontal="left" vertical="center"/>
      <protection hidden="1"/>
    </xf>
    <xf numFmtId="0" fontId="6" fillId="0" borderId="19" xfId="0" applyFont="1" applyBorder="1" applyAlignment="1">
      <alignment horizontal="left" vertical="center"/>
    </xf>
    <xf numFmtId="0" fontId="6" fillId="0" borderId="0" xfId="0" applyFont="1" applyAlignment="1" applyProtection="1">
      <alignment vertical="center"/>
      <protection hidden="1"/>
    </xf>
    <xf numFmtId="0" fontId="6" fillId="0" borderId="3" xfId="0" applyFont="1" applyBorder="1" applyAlignment="1" applyProtection="1">
      <alignment vertical="center"/>
      <protection hidden="1"/>
    </xf>
    <xf numFmtId="0" fontId="0" fillId="0" borderId="44" xfId="0" applyBorder="1" applyAlignment="1" applyProtection="1">
      <alignment vertical="top"/>
      <protection hidden="1"/>
    </xf>
    <xf numFmtId="0" fontId="6" fillId="0" borderId="45" xfId="0" applyFont="1" applyBorder="1" applyAlignment="1" applyProtection="1">
      <alignment horizontal="center"/>
      <protection hidden="1"/>
    </xf>
    <xf numFmtId="0" fontId="4" fillId="0" borderId="46" xfId="0" applyFont="1" applyBorder="1" applyAlignment="1" applyProtection="1">
      <alignment horizontal="center" vertical="center"/>
      <protection hidden="1"/>
    </xf>
    <xf numFmtId="0" fontId="0" fillId="4" borderId="1" xfId="0" applyFill="1" applyBorder="1" applyAlignment="1" applyProtection="1">
      <alignment vertical="top"/>
      <protection hidden="1"/>
    </xf>
    <xf numFmtId="0" fontId="0" fillId="0" borderId="6" xfId="0" applyBorder="1" applyAlignment="1" applyProtection="1">
      <alignment horizontal="center" vertical="center" textRotation="90"/>
      <protection hidden="1"/>
    </xf>
    <xf numFmtId="0" fontId="0" fillId="0" borderId="6" xfId="0" applyBorder="1" applyAlignment="1" applyProtection="1">
      <alignment horizontal="center" vertical="center"/>
      <protection hidden="1"/>
    </xf>
    <xf numFmtId="0" fontId="30" fillId="0" borderId="6" xfId="0" applyFont="1" applyBorder="1" applyAlignment="1" applyProtection="1">
      <alignment vertical="top"/>
      <protection hidden="1"/>
    </xf>
    <xf numFmtId="0" fontId="4" fillId="0" borderId="6" xfId="0" applyFont="1" applyBorder="1" applyAlignment="1" applyProtection="1">
      <alignment horizontal="center" vertical="center"/>
      <protection hidden="1"/>
    </xf>
    <xf numFmtId="0" fontId="8" fillId="0" borderId="0" xfId="0" applyFont="1" applyAlignment="1" applyProtection="1">
      <alignment horizontal="center" vertical="top"/>
      <protection hidden="1"/>
    </xf>
    <xf numFmtId="0" fontId="0" fillId="0" borderId="0" xfId="0" applyAlignment="1" applyProtection="1">
      <alignment horizontal="center" vertical="top" wrapText="1"/>
      <protection hidden="1"/>
    </xf>
    <xf numFmtId="0" fontId="8" fillId="0" borderId="48" xfId="0" applyFont="1" applyBorder="1" applyAlignment="1" applyProtection="1">
      <alignment horizontal="left" vertical="top"/>
      <protection hidden="1"/>
    </xf>
    <xf numFmtId="16" fontId="4" fillId="0" borderId="9" xfId="0" quotePrefix="1" applyNumberFormat="1" applyFont="1" applyBorder="1" applyAlignment="1" applyProtection="1">
      <alignment horizontal="right" vertical="top"/>
      <protection hidden="1"/>
    </xf>
    <xf numFmtId="0" fontId="21" fillId="0" borderId="9" xfId="0" applyFont="1" applyBorder="1" applyAlignment="1" applyProtection="1">
      <alignment horizontal="left" vertical="top" wrapText="1"/>
      <protection hidden="1"/>
    </xf>
    <xf numFmtId="166" fontId="0" fillId="0" borderId="9" xfId="0" applyNumberFormat="1" applyBorder="1" applyAlignment="1" applyProtection="1">
      <alignment vertical="top"/>
      <protection hidden="1"/>
    </xf>
    <xf numFmtId="16" fontId="4" fillId="0" borderId="47" xfId="0" quotePrefix="1" applyNumberFormat="1" applyFont="1" applyBorder="1" applyAlignment="1" applyProtection="1">
      <alignment horizontal="right" vertical="top"/>
      <protection hidden="1"/>
    </xf>
    <xf numFmtId="166" fontId="0" fillId="3" borderId="1" xfId="0" applyNumberFormat="1" applyFill="1" applyBorder="1" applyAlignment="1" applyProtection="1">
      <alignment vertical="top"/>
      <protection hidden="1"/>
    </xf>
    <xf numFmtId="16" fontId="4" fillId="0" borderId="3" xfId="0" quotePrefix="1" applyNumberFormat="1" applyFont="1" applyBorder="1" applyAlignment="1" applyProtection="1">
      <alignment horizontal="right" vertical="top"/>
      <protection hidden="1"/>
    </xf>
    <xf numFmtId="0" fontId="21" fillId="0" borderId="3" xfId="0" applyFont="1" applyBorder="1" applyAlignment="1" applyProtection="1">
      <alignment horizontal="left" vertical="top" wrapText="1"/>
      <protection hidden="1"/>
    </xf>
    <xf numFmtId="166" fontId="0" fillId="0" borderId="3" xfId="0" applyNumberFormat="1" applyBorder="1" applyAlignment="1" applyProtection="1">
      <alignment vertical="top"/>
      <protection hidden="1"/>
    </xf>
    <xf numFmtId="0" fontId="30" fillId="8" borderId="0" xfId="0" applyFont="1" applyFill="1" applyAlignment="1" applyProtection="1">
      <alignment horizontal="left" vertical="center" wrapText="1"/>
      <protection hidden="1"/>
    </xf>
    <xf numFmtId="166" fontId="40" fillId="8" borderId="16" xfId="0" applyNumberFormat="1" applyFont="1" applyFill="1" applyBorder="1" applyAlignment="1" applyProtection="1">
      <alignment vertical="center"/>
      <protection hidden="1"/>
    </xf>
    <xf numFmtId="16" fontId="4" fillId="0" borderId="6" xfId="0" quotePrefix="1" applyNumberFormat="1" applyFont="1" applyBorder="1" applyAlignment="1" applyProtection="1">
      <alignment horizontal="right" vertical="top"/>
      <protection hidden="1"/>
    </xf>
    <xf numFmtId="0" fontId="21" fillId="0" borderId="6" xfId="0" applyFont="1" applyBorder="1" applyAlignment="1" applyProtection="1">
      <alignment horizontal="left" vertical="top" wrapText="1"/>
      <protection hidden="1"/>
    </xf>
    <xf numFmtId="166" fontId="0" fillId="0" borderId="6" xfId="0" applyNumberFormat="1" applyBorder="1" applyAlignment="1" applyProtection="1">
      <alignment vertical="top"/>
      <protection hidden="1"/>
    </xf>
    <xf numFmtId="16" fontId="8" fillId="3" borderId="0" xfId="0" quotePrefix="1" applyNumberFormat="1" applyFont="1" applyFill="1" applyAlignment="1" applyProtection="1">
      <alignment horizontal="left" vertical="center"/>
      <protection hidden="1"/>
    </xf>
    <xf numFmtId="4" fontId="6" fillId="3" borderId="0" xfId="0" applyNumberFormat="1" applyFont="1" applyFill="1" applyAlignment="1" applyProtection="1">
      <alignment vertical="center"/>
      <protection hidden="1"/>
    </xf>
    <xf numFmtId="0" fontId="3" fillId="0" borderId="6" xfId="0" applyFont="1" applyBorder="1" applyAlignment="1" applyProtection="1">
      <alignment horizontal="left" vertical="top" wrapText="1"/>
      <protection hidden="1"/>
    </xf>
    <xf numFmtId="166" fontId="0" fillId="0" borderId="6" xfId="0" applyNumberFormat="1" applyBorder="1" applyAlignment="1" applyProtection="1">
      <alignment vertical="center"/>
      <protection hidden="1"/>
    </xf>
    <xf numFmtId="0" fontId="3" fillId="0" borderId="0" xfId="0" applyFont="1" applyAlignment="1" applyProtection="1">
      <alignment horizontal="left" vertical="top" wrapText="1"/>
      <protection hidden="1"/>
    </xf>
    <xf numFmtId="166" fontId="0" fillId="0" borderId="0" xfId="0" applyNumberFormat="1" applyAlignment="1" applyProtection="1">
      <alignment vertical="center"/>
      <protection hidden="1"/>
    </xf>
    <xf numFmtId="0" fontId="21" fillId="0" borderId="0" xfId="0" applyFont="1" applyAlignment="1" applyProtection="1">
      <alignment horizontal="left" vertical="top" wrapText="1"/>
      <protection hidden="1"/>
    </xf>
    <xf numFmtId="0" fontId="43" fillId="0" borderId="50" xfId="0" applyFont="1" applyBorder="1" applyAlignment="1" applyProtection="1">
      <alignment horizontal="right" vertical="top"/>
      <protection hidden="1"/>
    </xf>
    <xf numFmtId="166" fontId="0" fillId="3" borderId="1" xfId="0" applyNumberFormat="1" applyFill="1" applyBorder="1" applyAlignment="1" applyProtection="1">
      <alignment vertical="center"/>
      <protection hidden="1"/>
    </xf>
    <xf numFmtId="0" fontId="49" fillId="0" borderId="0" xfId="0" applyFont="1" applyAlignment="1" applyProtection="1">
      <alignment horizontal="right" vertical="top"/>
      <protection hidden="1"/>
    </xf>
    <xf numFmtId="0" fontId="6" fillId="3" borderId="20" xfId="0" applyFont="1" applyFill="1" applyBorder="1" applyAlignment="1" applyProtection="1">
      <alignment horizontal="left" vertical="center"/>
      <protection hidden="1"/>
    </xf>
    <xf numFmtId="0" fontId="6" fillId="3" borderId="29" xfId="0" applyFont="1" applyFill="1" applyBorder="1" applyAlignment="1" applyProtection="1">
      <alignment horizontal="center" vertical="center" wrapText="1"/>
      <protection hidden="1"/>
    </xf>
    <xf numFmtId="0" fontId="0" fillId="3" borderId="52" xfId="0" applyFill="1" applyBorder="1" applyAlignment="1" applyProtection="1">
      <alignment horizontal="right" vertical="center"/>
      <protection hidden="1"/>
    </xf>
    <xf numFmtId="0" fontId="40" fillId="4" borderId="16" xfId="0" applyFont="1" applyFill="1" applyBorder="1" applyAlignment="1" applyProtection="1">
      <alignment horizontal="center" vertical="center"/>
      <protection locked="0"/>
    </xf>
    <xf numFmtId="0" fontId="48" fillId="0" borderId="9" xfId="0" applyFont="1" applyBorder="1" applyAlignment="1" applyProtection="1">
      <alignment vertical="top"/>
      <protection hidden="1"/>
    </xf>
    <xf numFmtId="0" fontId="50" fillId="0" borderId="9" xfId="0" applyFont="1" applyBorder="1" applyAlignment="1" applyProtection="1">
      <alignment horizontal="left" vertical="center"/>
      <protection hidden="1"/>
    </xf>
    <xf numFmtId="0" fontId="50" fillId="0" borderId="9" xfId="0" applyFont="1" applyBorder="1" applyAlignment="1" applyProtection="1">
      <alignment horizontal="center" vertical="center" wrapText="1"/>
      <protection hidden="1"/>
    </xf>
    <xf numFmtId="0" fontId="48" fillId="0" borderId="9" xfId="0" applyFont="1" applyBorder="1" applyAlignment="1" applyProtection="1">
      <alignment horizontal="right" vertical="center"/>
      <protection hidden="1"/>
    </xf>
    <xf numFmtId="0" fontId="50" fillId="0" borderId="6" xfId="0" applyFont="1" applyBorder="1" applyAlignment="1" applyProtection="1">
      <alignment horizontal="center" vertical="center"/>
      <protection locked="0"/>
    </xf>
    <xf numFmtId="0" fontId="0" fillId="0" borderId="3" xfId="0" applyBorder="1" applyAlignment="1" applyProtection="1">
      <alignment horizontal="right" vertical="center"/>
      <protection hidden="1"/>
    </xf>
    <xf numFmtId="0" fontId="0" fillId="0" borderId="53" xfId="0" applyBorder="1" applyAlignment="1" applyProtection="1">
      <alignment horizontal="right" vertical="center"/>
      <protection hidden="1"/>
    </xf>
    <xf numFmtId="0" fontId="0" fillId="0" borderId="2" xfId="0" applyBorder="1" applyAlignment="1" applyProtection="1">
      <alignment vertical="center"/>
      <protection hidden="1"/>
    </xf>
    <xf numFmtId="168" fontId="6" fillId="0" borderId="14" xfId="0" applyNumberFormat="1" applyFont="1" applyBorder="1" applyAlignment="1" applyProtection="1">
      <alignment horizontal="center" vertical="center"/>
      <protection hidden="1"/>
    </xf>
    <xf numFmtId="0" fontId="0" fillId="3" borderId="20" xfId="0" applyFill="1" applyBorder="1" applyAlignment="1" applyProtection="1">
      <alignment vertical="center"/>
      <protection hidden="1"/>
    </xf>
    <xf numFmtId="0" fontId="0" fillId="3" borderId="29" xfId="0" applyFill="1" applyBorder="1" applyAlignment="1" applyProtection="1">
      <alignment vertical="center"/>
      <protection hidden="1"/>
    </xf>
    <xf numFmtId="168" fontId="40" fillId="3" borderId="16" xfId="0" applyNumberFormat="1" applyFont="1" applyFill="1" applyBorder="1" applyAlignment="1" applyProtection="1">
      <alignment horizontal="center" vertical="center"/>
      <protection hidden="1"/>
    </xf>
    <xf numFmtId="0" fontId="4" fillId="0" borderId="0" xfId="0" quotePrefix="1" applyFont="1" applyAlignment="1" applyProtection="1">
      <alignment vertical="top"/>
      <protection hidden="1"/>
    </xf>
    <xf numFmtId="0" fontId="4" fillId="0" borderId="6" xfId="0" quotePrefix="1" applyFont="1" applyBorder="1" applyAlignment="1" applyProtection="1">
      <alignment vertical="top"/>
      <protection hidden="1"/>
    </xf>
    <xf numFmtId="0" fontId="0" fillId="0" borderId="12" xfId="0" applyBorder="1" applyAlignment="1" applyProtection="1">
      <alignment horizontal="center" vertical="top" wrapText="1"/>
      <protection hidden="1"/>
    </xf>
    <xf numFmtId="0" fontId="8" fillId="0" borderId="9" xfId="1" applyFont="1" applyBorder="1" applyAlignment="1" applyProtection="1">
      <alignment horizontal="right" vertical="top" wrapText="1"/>
      <protection hidden="1"/>
    </xf>
    <xf numFmtId="0" fontId="32" fillId="9" borderId="0" xfId="2" applyFont="1" applyFill="1" applyAlignment="1" applyProtection="1">
      <alignment vertical="center" wrapText="1"/>
      <protection hidden="1"/>
    </xf>
    <xf numFmtId="0" fontId="32" fillId="9" borderId="0" xfId="2" applyFont="1" applyFill="1" applyAlignment="1" applyProtection="1">
      <alignment horizontal="right"/>
      <protection hidden="1"/>
    </xf>
    <xf numFmtId="0" fontId="6" fillId="9" borderId="54" xfId="2" applyFont="1" applyFill="1" applyBorder="1" applyAlignment="1" applyProtection="1">
      <alignment horizontal="center" vertical="top" wrapText="1"/>
      <protection hidden="1"/>
    </xf>
    <xf numFmtId="0" fontId="6" fillId="9" borderId="0" xfId="2" applyFont="1" applyFill="1" applyAlignment="1" applyProtection="1">
      <alignment horizontal="center" vertical="top" wrapText="1"/>
      <protection hidden="1"/>
    </xf>
    <xf numFmtId="0" fontId="51" fillId="9" borderId="0" xfId="2" applyFont="1" applyFill="1" applyAlignment="1" applyProtection="1">
      <alignment horizontal="left" vertical="top"/>
      <protection hidden="1"/>
    </xf>
    <xf numFmtId="0" fontId="43" fillId="9" borderId="0" xfId="2" applyFont="1" applyFill="1" applyAlignment="1" applyProtection="1">
      <alignment horizontal="right"/>
      <protection hidden="1"/>
    </xf>
    <xf numFmtId="0" fontId="4" fillId="9" borderId="54" xfId="2" applyFont="1" applyFill="1" applyBorder="1" applyAlignment="1" applyProtection="1">
      <alignment horizontal="center" vertical="top" wrapText="1"/>
      <protection hidden="1"/>
    </xf>
    <xf numFmtId="0" fontId="4" fillId="9" borderId="0" xfId="2" applyFont="1" applyFill="1" applyAlignment="1" applyProtection="1">
      <alignment horizontal="center" vertical="top" wrapText="1"/>
      <protection hidden="1"/>
    </xf>
    <xf numFmtId="0" fontId="6" fillId="2" borderId="23" xfId="0" applyFont="1" applyFill="1" applyBorder="1" applyAlignment="1" applyProtection="1">
      <alignment horizontal="left" vertical="center"/>
      <protection hidden="1"/>
    </xf>
    <xf numFmtId="0" fontId="37" fillId="0" borderId="0" xfId="2" applyFont="1" applyProtection="1">
      <protection hidden="1"/>
    </xf>
    <xf numFmtId="0" fontId="0" fillId="0" borderId="0" xfId="2" applyFont="1" applyAlignment="1" applyProtection="1">
      <alignment vertical="top"/>
      <protection hidden="1"/>
    </xf>
    <xf numFmtId="0" fontId="0" fillId="0" borderId="0" xfId="2" applyFont="1" applyProtection="1">
      <protection hidden="1"/>
    </xf>
    <xf numFmtId="0" fontId="0" fillId="0" borderId="0" xfId="2" applyFont="1" applyAlignment="1" applyProtection="1">
      <alignment vertical="top"/>
      <protection locked="0" hidden="1"/>
    </xf>
    <xf numFmtId="0" fontId="8" fillId="2" borderId="9" xfId="1" applyFont="1" applyFill="1" applyBorder="1" applyAlignment="1" applyProtection="1">
      <alignment horizontal="center" vertical="top" wrapText="1"/>
      <protection hidden="1"/>
    </xf>
    <xf numFmtId="0" fontId="8" fillId="4" borderId="1" xfId="1" applyFont="1" applyFill="1" applyBorder="1" applyAlignment="1" applyProtection="1">
      <alignment horizontal="left" vertical="top"/>
      <protection hidden="1"/>
    </xf>
    <xf numFmtId="0" fontId="20" fillId="0" borderId="2" xfId="1" applyFont="1" applyBorder="1" applyAlignment="1" applyProtection="1">
      <alignment vertical="top"/>
      <protection hidden="1"/>
    </xf>
    <xf numFmtId="0" fontId="20" fillId="4" borderId="1" xfId="1" applyFont="1" applyFill="1" applyBorder="1" applyAlignment="1" applyProtection="1">
      <alignment horizontal="center" vertical="top"/>
      <protection hidden="1"/>
    </xf>
    <xf numFmtId="0" fontId="20" fillId="0" borderId="1" xfId="1" applyFont="1" applyBorder="1" applyAlignment="1" applyProtection="1">
      <alignment horizontal="center" vertical="top"/>
      <protection hidden="1"/>
    </xf>
    <xf numFmtId="0" fontId="4" fillId="0" borderId="0" xfId="1" applyFont="1" applyAlignment="1" applyProtection="1">
      <alignment horizontal="left" vertical="top" wrapText="1"/>
      <protection hidden="1"/>
    </xf>
    <xf numFmtId="0" fontId="20" fillId="0" borderId="5" xfId="1" applyFont="1" applyBorder="1" applyAlignment="1" applyProtection="1">
      <alignment horizontal="center" vertical="top"/>
      <protection hidden="1"/>
    </xf>
    <xf numFmtId="0" fontId="20" fillId="0" borderId="11" xfId="1" applyFont="1" applyBorder="1" applyAlignment="1" applyProtection="1">
      <alignment vertical="top"/>
      <protection hidden="1"/>
    </xf>
    <xf numFmtId="0" fontId="28" fillId="0" borderId="11" xfId="1" applyFont="1" applyBorder="1" applyAlignment="1" applyProtection="1">
      <alignment vertical="top"/>
      <protection hidden="1"/>
    </xf>
    <xf numFmtId="0" fontId="20" fillId="0" borderId="5" xfId="1" applyFont="1" applyBorder="1" applyAlignment="1" applyProtection="1">
      <alignment vertical="top"/>
      <protection hidden="1"/>
    </xf>
    <xf numFmtId="0" fontId="20" fillId="0" borderId="11" xfId="1" applyFont="1" applyBorder="1" applyAlignment="1" applyProtection="1">
      <alignment horizontal="center" vertical="top"/>
      <protection hidden="1"/>
    </xf>
    <xf numFmtId="0" fontId="6" fillId="0" borderId="9" xfId="1" applyFont="1" applyBorder="1" applyAlignment="1" applyProtection="1">
      <alignment horizontal="right" vertical="center"/>
      <protection hidden="1"/>
    </xf>
    <xf numFmtId="0" fontId="20" fillId="3" borderId="8" xfId="1" applyFont="1" applyFill="1" applyBorder="1" applyAlignment="1" applyProtection="1">
      <alignment vertical="top"/>
      <protection hidden="1"/>
    </xf>
    <xf numFmtId="0" fontId="8" fillId="3" borderId="9" xfId="1" applyFont="1" applyFill="1" applyBorder="1" applyAlignment="1" applyProtection="1">
      <alignment vertical="center"/>
      <protection hidden="1"/>
    </xf>
    <xf numFmtId="0" fontId="8" fillId="3" borderId="9" xfId="1" applyFont="1" applyFill="1" applyBorder="1" applyAlignment="1" applyProtection="1">
      <alignment horizontal="right" vertical="center"/>
      <protection hidden="1"/>
    </xf>
    <xf numFmtId="0" fontId="6" fillId="3" borderId="9" xfId="1" applyFont="1" applyFill="1" applyBorder="1" applyAlignment="1" applyProtection="1">
      <alignment horizontal="right" vertical="center"/>
      <protection hidden="1"/>
    </xf>
    <xf numFmtId="2" fontId="6" fillId="3" borderId="8" xfId="1" applyNumberFormat="1" applyFont="1" applyFill="1" applyBorder="1" applyAlignment="1" applyProtection="1">
      <alignment horizontal="center" vertical="center" wrapText="1"/>
      <protection hidden="1"/>
    </xf>
    <xf numFmtId="4" fontId="6" fillId="3" borderId="16" xfId="1" applyNumberFormat="1" applyFont="1" applyFill="1" applyBorder="1" applyAlignment="1" applyProtection="1">
      <alignment horizontal="center" vertical="center"/>
      <protection hidden="1"/>
    </xf>
    <xf numFmtId="0" fontId="28" fillId="0" borderId="5" xfId="1" applyFont="1" applyBorder="1" applyAlignment="1" applyProtection="1">
      <alignment vertical="top"/>
      <protection hidden="1"/>
    </xf>
    <xf numFmtId="0" fontId="20" fillId="0" borderId="0" xfId="2" applyFont="1" applyProtection="1">
      <protection hidden="1"/>
    </xf>
    <xf numFmtId="0" fontId="6" fillId="9" borderId="0" xfId="2" applyFont="1" applyFill="1" applyAlignment="1" applyProtection="1">
      <alignment horizontal="left" vertical="top" wrapText="1"/>
      <protection hidden="1"/>
    </xf>
    <xf numFmtId="0" fontId="6" fillId="2" borderId="9" xfId="1" applyFont="1" applyFill="1" applyBorder="1" applyAlignment="1" applyProtection="1">
      <alignment horizontal="left" vertical="top" wrapText="1"/>
      <protection hidden="1"/>
    </xf>
    <xf numFmtId="0" fontId="6" fillId="2" borderId="9" xfId="1" applyFont="1" applyFill="1" applyBorder="1" applyAlignment="1" applyProtection="1">
      <alignment horizontal="left" vertical="top"/>
      <protection hidden="1"/>
    </xf>
    <xf numFmtId="0" fontId="20" fillId="3" borderId="9" xfId="1" applyFont="1" applyFill="1" applyBorder="1" applyAlignment="1" applyProtection="1">
      <alignment vertical="center"/>
      <protection hidden="1"/>
    </xf>
    <xf numFmtId="0" fontId="20" fillId="0" borderId="9" xfId="1" applyFont="1" applyBorder="1" applyAlignment="1" applyProtection="1">
      <alignment vertical="center"/>
      <protection hidden="1"/>
    </xf>
    <xf numFmtId="0" fontId="8" fillId="0" borderId="9" xfId="1" applyFont="1" applyBorder="1" applyAlignment="1" applyProtection="1">
      <alignment vertical="center"/>
      <protection hidden="1"/>
    </xf>
    <xf numFmtId="4" fontId="6" fillId="0" borderId="0" xfId="1" applyNumberFormat="1" applyFont="1" applyAlignment="1" applyProtection="1">
      <alignment horizontal="center" vertical="center"/>
      <protection hidden="1"/>
    </xf>
    <xf numFmtId="0" fontId="20" fillId="0" borderId="9" xfId="1" applyFont="1" applyBorder="1" applyAlignment="1" applyProtection="1">
      <alignment vertical="top"/>
      <protection hidden="1"/>
    </xf>
    <xf numFmtId="2" fontId="6" fillId="0" borderId="9" xfId="1" applyNumberFormat="1" applyFont="1" applyBorder="1" applyAlignment="1" applyProtection="1">
      <alignment horizontal="center" vertical="center" wrapText="1"/>
      <protection hidden="1"/>
    </xf>
    <xf numFmtId="0" fontId="20" fillId="0" borderId="1" xfId="1" applyFont="1" applyBorder="1" applyAlignment="1" applyProtection="1">
      <alignment vertical="top"/>
      <protection hidden="1"/>
    </xf>
    <xf numFmtId="0" fontId="20" fillId="0" borderId="6" xfId="1" applyFont="1" applyBorder="1" applyAlignment="1" applyProtection="1">
      <alignment horizontal="center" vertical="top"/>
      <protection hidden="1"/>
    </xf>
    <xf numFmtId="0" fontId="20" fillId="0" borderId="6" xfId="1" applyFont="1" applyBorder="1" applyAlignment="1" applyProtection="1">
      <alignment vertical="top"/>
      <protection hidden="1"/>
    </xf>
    <xf numFmtId="0" fontId="20" fillId="0" borderId="0" xfId="1" applyFont="1" applyAlignment="1" applyProtection="1">
      <alignment horizontal="center" vertical="top"/>
      <protection hidden="1"/>
    </xf>
    <xf numFmtId="0" fontId="20" fillId="3" borderId="55" xfId="1" applyFont="1" applyFill="1" applyBorder="1" applyAlignment="1" applyProtection="1">
      <alignment horizontal="center" vertical="top"/>
      <protection hidden="1"/>
    </xf>
    <xf numFmtId="0" fontId="20" fillId="0" borderId="56" xfId="1" applyFont="1" applyBorder="1" applyAlignment="1" applyProtection="1">
      <alignment horizontal="center" vertical="top"/>
      <protection hidden="1"/>
    </xf>
    <xf numFmtId="0" fontId="20" fillId="0" borderId="45" xfId="1" applyFont="1" applyBorder="1" applyAlignment="1" applyProtection="1">
      <alignment vertical="top"/>
      <protection hidden="1"/>
    </xf>
    <xf numFmtId="0" fontId="20" fillId="0" borderId="56" xfId="1" applyFont="1" applyBorder="1" applyAlignment="1" applyProtection="1">
      <alignment vertical="top"/>
      <protection hidden="1"/>
    </xf>
    <xf numFmtId="0" fontId="20" fillId="0" borderId="45" xfId="1" applyFont="1" applyBorder="1" applyAlignment="1" applyProtection="1">
      <alignment horizontal="center" vertical="top"/>
      <protection hidden="1"/>
    </xf>
    <xf numFmtId="0" fontId="20" fillId="3" borderId="58" xfId="1" applyFont="1" applyFill="1" applyBorder="1" applyAlignment="1" applyProtection="1">
      <alignment horizontal="center" vertical="top"/>
      <protection hidden="1"/>
    </xf>
    <xf numFmtId="0" fontId="20" fillId="0" borderId="6" xfId="1" applyFont="1" applyBorder="1" applyAlignment="1" applyProtection="1">
      <alignment vertical="center"/>
      <protection hidden="1"/>
    </xf>
    <xf numFmtId="0" fontId="8" fillId="0" borderId="6" xfId="1" applyFont="1" applyBorder="1" applyAlignment="1" applyProtection="1">
      <alignment vertical="center"/>
      <protection hidden="1"/>
    </xf>
    <xf numFmtId="0" fontId="6" fillId="0" borderId="6" xfId="1" applyFont="1" applyBorder="1" applyAlignment="1" applyProtection="1">
      <alignment horizontal="right" vertical="center"/>
      <protection hidden="1"/>
    </xf>
    <xf numFmtId="2" fontId="6" fillId="0" borderId="6" xfId="1" applyNumberFormat="1" applyFont="1" applyBorder="1" applyAlignment="1" applyProtection="1">
      <alignment horizontal="center" vertical="center" wrapText="1"/>
      <protection hidden="1"/>
    </xf>
    <xf numFmtId="0" fontId="6" fillId="2" borderId="9" xfId="1" applyFont="1" applyFill="1" applyBorder="1" applyAlignment="1" applyProtection="1">
      <alignment horizontal="center" vertical="top" wrapText="1"/>
      <protection hidden="1"/>
    </xf>
    <xf numFmtId="0" fontId="6" fillId="2" borderId="10" xfId="1" applyFont="1" applyFill="1" applyBorder="1" applyAlignment="1" applyProtection="1">
      <alignment horizontal="center" vertical="top" wrapText="1"/>
      <protection hidden="1"/>
    </xf>
    <xf numFmtId="4" fontId="0" fillId="0" borderId="13" xfId="1" applyNumberFormat="1" applyFont="1" applyBorder="1" applyAlignment="1" applyProtection="1">
      <alignment horizontal="center" vertical="top"/>
      <protection hidden="1"/>
    </xf>
    <xf numFmtId="4" fontId="0" fillId="0" borderId="13" xfId="1" applyNumberFormat="1" applyFont="1" applyBorder="1" applyAlignment="1" applyProtection="1">
      <alignment vertical="top"/>
      <protection hidden="1"/>
    </xf>
    <xf numFmtId="4" fontId="0" fillId="3" borderId="21" xfId="1" applyNumberFormat="1" applyFont="1" applyFill="1" applyBorder="1" applyAlignment="1" applyProtection="1">
      <alignment horizontal="center" vertical="top"/>
      <protection hidden="1"/>
    </xf>
    <xf numFmtId="4" fontId="0" fillId="0" borderId="7" xfId="1" applyNumberFormat="1" applyFont="1" applyBorder="1" applyAlignment="1" applyProtection="1">
      <alignment horizontal="center" vertical="top"/>
      <protection hidden="1"/>
    </xf>
    <xf numFmtId="2" fontId="0" fillId="0" borderId="54" xfId="1" applyNumberFormat="1" applyFont="1" applyBorder="1" applyAlignment="1" applyProtection="1">
      <alignment horizontal="center" vertical="top" wrapText="1"/>
      <protection hidden="1"/>
    </xf>
    <xf numFmtId="2" fontId="0" fillId="0" borderId="54" xfId="1" applyNumberFormat="1" applyFont="1" applyBorder="1" applyAlignment="1" applyProtection="1">
      <alignment vertical="top" wrapText="1"/>
      <protection hidden="1"/>
    </xf>
    <xf numFmtId="2" fontId="21" fillId="3" borderId="60" xfId="1" applyNumberFormat="1" applyFont="1" applyFill="1" applyBorder="1" applyAlignment="1" applyProtection="1">
      <alignment horizontal="center" vertical="top" wrapText="1"/>
      <protection hidden="1"/>
    </xf>
    <xf numFmtId="2" fontId="0" fillId="0" borderId="61" xfId="1" applyNumberFormat="1" applyFont="1" applyBorder="1" applyAlignment="1" applyProtection="1">
      <alignment horizontal="center" vertical="top" wrapText="1"/>
      <protection hidden="1"/>
    </xf>
    <xf numFmtId="0" fontId="24" fillId="0" borderId="54" xfId="1" quotePrefix="1" applyFont="1" applyBorder="1" applyAlignment="1" applyProtection="1">
      <alignment vertical="top" wrapText="1"/>
      <protection hidden="1"/>
    </xf>
    <xf numFmtId="2" fontId="21" fillId="0" borderId="54" xfId="1" applyNumberFormat="1" applyFont="1" applyBorder="1" applyAlignment="1" applyProtection="1">
      <alignment horizontal="center" vertical="top" wrapText="1"/>
      <protection hidden="1"/>
    </xf>
    <xf numFmtId="2" fontId="6" fillId="3" borderId="62" xfId="1" applyNumberFormat="1" applyFont="1" applyFill="1" applyBorder="1" applyAlignment="1" applyProtection="1">
      <alignment horizontal="center" vertical="center" wrapText="1"/>
      <protection hidden="1"/>
    </xf>
    <xf numFmtId="0" fontId="9" fillId="2" borderId="9" xfId="1" applyFont="1" applyFill="1" applyBorder="1" applyAlignment="1" applyProtection="1">
      <alignment horizontal="center" vertical="top" wrapText="1"/>
      <protection hidden="1"/>
    </xf>
    <xf numFmtId="0" fontId="9" fillId="2" borderId="10" xfId="1" applyFont="1" applyFill="1" applyBorder="1" applyAlignment="1" applyProtection="1">
      <alignment horizontal="center" vertical="top" wrapText="1"/>
      <protection hidden="1"/>
    </xf>
    <xf numFmtId="2" fontId="6" fillId="3" borderId="18" xfId="1" applyNumberFormat="1" applyFont="1" applyFill="1" applyBorder="1" applyAlignment="1" applyProtection="1">
      <alignment horizontal="center" vertical="center" wrapText="1"/>
      <protection hidden="1"/>
    </xf>
    <xf numFmtId="0" fontId="9" fillId="2" borderId="9" xfId="1" applyFont="1" applyFill="1" applyBorder="1" applyAlignment="1" applyProtection="1">
      <alignment horizontal="center" vertical="center" wrapText="1"/>
      <protection hidden="1"/>
    </xf>
    <xf numFmtId="0" fontId="9" fillId="2" borderId="10" xfId="1" applyFont="1" applyFill="1" applyBorder="1" applyAlignment="1" applyProtection="1">
      <alignment horizontal="center" vertical="center" wrapText="1"/>
      <protection hidden="1"/>
    </xf>
    <xf numFmtId="0" fontId="20" fillId="3" borderId="0" xfId="1" applyFont="1" applyFill="1" applyAlignment="1" applyProtection="1">
      <alignment vertical="top"/>
      <protection hidden="1"/>
    </xf>
    <xf numFmtId="0" fontId="4" fillId="3" borderId="0" xfId="1" applyFont="1" applyFill="1" applyAlignment="1" applyProtection="1">
      <alignment horizontal="left" vertical="top" wrapText="1"/>
      <protection hidden="1"/>
    </xf>
    <xf numFmtId="0" fontId="0" fillId="0" borderId="0" xfId="1" applyFont="1" applyAlignment="1" applyProtection="1">
      <alignment vertical="top" wrapText="1"/>
      <protection hidden="1"/>
    </xf>
    <xf numFmtId="0" fontId="0" fillId="2" borderId="22" xfId="0" applyFill="1" applyBorder="1" applyAlignment="1" applyProtection="1">
      <alignment vertical="center"/>
      <protection hidden="1"/>
    </xf>
    <xf numFmtId="0" fontId="0" fillId="2" borderId="23" xfId="0" applyFill="1" applyBorder="1" applyAlignment="1" applyProtection="1">
      <alignment vertical="center"/>
      <protection hidden="1"/>
    </xf>
    <xf numFmtId="0" fontId="0" fillId="2" borderId="24" xfId="0" applyFill="1" applyBorder="1" applyAlignment="1" applyProtection="1">
      <alignment vertical="center"/>
      <protection hidden="1"/>
    </xf>
    <xf numFmtId="0" fontId="0" fillId="2" borderId="25" xfId="0" applyFill="1" applyBorder="1" applyAlignment="1" applyProtection="1">
      <alignment vertical="center"/>
      <protection hidden="1"/>
    </xf>
    <xf numFmtId="0" fontId="0" fillId="2" borderId="20" xfId="0" applyFill="1" applyBorder="1" applyAlignment="1" applyProtection="1">
      <alignment vertical="center"/>
      <protection hidden="1"/>
    </xf>
    <xf numFmtId="0" fontId="0" fillId="2" borderId="29" xfId="0" applyFill="1" applyBorder="1" applyAlignment="1" applyProtection="1">
      <alignment vertical="center"/>
      <protection hidden="1"/>
    </xf>
    <xf numFmtId="0" fontId="5" fillId="0" borderId="0" xfId="0" applyFont="1" applyAlignment="1" applyProtection="1">
      <alignment vertical="center"/>
      <protection hidden="1"/>
    </xf>
    <xf numFmtId="0" fontId="5" fillId="0" borderId="13" xfId="0" applyFont="1" applyBorder="1" applyAlignment="1" applyProtection="1">
      <alignment vertical="center"/>
      <protection hidden="1"/>
    </xf>
    <xf numFmtId="0" fontId="0" fillId="0" borderId="0" xfId="0" applyAlignment="1" applyProtection="1">
      <alignment vertical="center" wrapText="1"/>
      <protection hidden="1"/>
    </xf>
    <xf numFmtId="0" fontId="0" fillId="0" borderId="13" xfId="0" applyBorder="1" applyAlignment="1" applyProtection="1">
      <alignment vertical="center" wrapText="1"/>
      <protection hidden="1"/>
    </xf>
    <xf numFmtId="0" fontId="6" fillId="2" borderId="9" xfId="1" applyFont="1" applyFill="1" applyBorder="1" applyAlignment="1" applyProtection="1">
      <alignment vertical="center" wrapText="1"/>
      <protection hidden="1"/>
    </xf>
    <xf numFmtId="0" fontId="6" fillId="2" borderId="8" xfId="1" applyFont="1" applyFill="1" applyBorder="1" applyAlignment="1" applyProtection="1">
      <alignment horizontal="left" vertical="center"/>
      <protection hidden="1"/>
    </xf>
    <xf numFmtId="0" fontId="20" fillId="0" borderId="3" xfId="1" applyFont="1" applyBorder="1" applyAlignment="1" applyProtection="1">
      <alignment horizontal="center" vertical="top"/>
      <protection hidden="1"/>
    </xf>
    <xf numFmtId="0" fontId="6" fillId="0" borderId="3" xfId="0" applyFont="1" applyBorder="1" applyAlignment="1" applyProtection="1">
      <alignment horizontal="left" vertical="center" wrapText="1"/>
      <protection hidden="1"/>
    </xf>
    <xf numFmtId="0" fontId="5" fillId="0" borderId="23" xfId="0" applyFont="1" applyBorder="1" applyAlignment="1" applyProtection="1">
      <alignment vertical="center"/>
      <protection hidden="1"/>
    </xf>
    <xf numFmtId="0" fontId="5" fillId="0" borderId="25" xfId="0" applyFont="1" applyBorder="1" applyAlignment="1" applyProtection="1">
      <alignment vertical="center"/>
      <protection hidden="1"/>
    </xf>
    <xf numFmtId="0" fontId="5" fillId="0" borderId="29" xfId="0" applyFont="1" applyBorder="1" applyAlignment="1" applyProtection="1">
      <alignment vertical="center"/>
      <protection hidden="1"/>
    </xf>
    <xf numFmtId="0" fontId="20" fillId="0" borderId="28" xfId="1" applyFont="1" applyBorder="1" applyAlignment="1" applyProtection="1">
      <alignment horizontal="center" vertical="top"/>
      <protection hidden="1"/>
    </xf>
    <xf numFmtId="0" fontId="6" fillId="0" borderId="9" xfId="1" applyFont="1" applyBorder="1" applyAlignment="1" applyProtection="1">
      <alignment vertical="center" wrapText="1"/>
      <protection hidden="1"/>
    </xf>
    <xf numFmtId="0" fontId="0" fillId="0" borderId="23" xfId="0" applyBorder="1" applyAlignment="1" applyProtection="1">
      <alignment vertical="center"/>
      <protection hidden="1"/>
    </xf>
    <xf numFmtId="0" fontId="20" fillId="0" borderId="49" xfId="1" applyFont="1" applyBorder="1" applyAlignment="1" applyProtection="1">
      <alignment horizontal="center" vertical="top"/>
      <protection hidden="1"/>
    </xf>
    <xf numFmtId="4" fontId="0" fillId="0" borderId="42" xfId="1" applyNumberFormat="1" applyFont="1" applyBorder="1" applyAlignment="1" applyProtection="1">
      <alignment horizontal="center" vertical="top"/>
      <protection hidden="1"/>
    </xf>
    <xf numFmtId="2" fontId="0" fillId="0" borderId="54" xfId="1" applyNumberFormat="1" applyFont="1" applyBorder="1" applyAlignment="1" applyProtection="1">
      <alignment vertical="top"/>
      <protection hidden="1"/>
    </xf>
    <xf numFmtId="4" fontId="0" fillId="0" borderId="42" xfId="1" applyNumberFormat="1" applyFont="1" applyBorder="1" applyAlignment="1" applyProtection="1">
      <alignment vertical="top"/>
      <protection hidden="1"/>
    </xf>
    <xf numFmtId="2" fontId="0" fillId="0" borderId="54" xfId="1" applyNumberFormat="1" applyFont="1" applyBorder="1" applyAlignment="1" applyProtection="1">
      <alignment horizontal="center" vertical="top"/>
      <protection hidden="1"/>
    </xf>
    <xf numFmtId="4" fontId="0" fillId="0" borderId="66" xfId="1" applyNumberFormat="1" applyFont="1" applyBorder="1" applyAlignment="1" applyProtection="1">
      <alignment horizontal="center" vertical="top"/>
      <protection hidden="1"/>
    </xf>
    <xf numFmtId="0" fontId="0" fillId="0" borderId="45" xfId="1" applyFont="1" applyBorder="1" applyAlignment="1" applyProtection="1">
      <alignment vertical="top"/>
      <protection hidden="1"/>
    </xf>
    <xf numFmtId="0" fontId="20" fillId="0" borderId="46" xfId="1" applyFont="1" applyBorder="1" applyAlignment="1" applyProtection="1">
      <alignment horizontal="center" vertical="top"/>
      <protection hidden="1"/>
    </xf>
    <xf numFmtId="2" fontId="40" fillId="8" borderId="16" xfId="2" applyNumberFormat="1" applyFont="1" applyFill="1" applyBorder="1" applyAlignment="1" applyProtection="1">
      <alignment horizontal="center" vertical="center" wrapText="1"/>
      <protection hidden="1"/>
    </xf>
    <xf numFmtId="2" fontId="40" fillId="8" borderId="40" xfId="2" applyNumberFormat="1" applyFont="1" applyFill="1" applyBorder="1" applyAlignment="1" applyProtection="1">
      <alignment horizontal="center" vertical="center" wrapText="1"/>
      <protection hidden="1"/>
    </xf>
    <xf numFmtId="0" fontId="52" fillId="0" borderId="0" xfId="2" applyFont="1" applyProtection="1">
      <protection hidden="1"/>
    </xf>
    <xf numFmtId="0" fontId="20" fillId="0" borderId="0" xfId="2" applyFont="1" applyAlignment="1" applyProtection="1">
      <alignment vertical="top"/>
      <protection hidden="1"/>
    </xf>
    <xf numFmtId="0" fontId="35" fillId="0" borderId="0" xfId="2" applyFont="1" applyProtection="1">
      <protection hidden="1"/>
    </xf>
    <xf numFmtId="4" fontId="6" fillId="10" borderId="54" xfId="0" applyNumberFormat="1" applyFont="1" applyFill="1" applyBorder="1" applyAlignment="1" applyProtection="1">
      <alignment horizontal="center" vertical="top"/>
      <protection hidden="1"/>
    </xf>
    <xf numFmtId="0" fontId="8" fillId="10" borderId="54" xfId="2" applyFont="1" applyFill="1" applyBorder="1" applyAlignment="1" applyProtection="1">
      <alignment horizontal="center" vertical="top" wrapText="1"/>
      <protection hidden="1"/>
    </xf>
    <xf numFmtId="0" fontId="8" fillId="10" borderId="0" xfId="2" applyFont="1" applyFill="1" applyAlignment="1" applyProtection="1">
      <alignment horizontal="center" vertical="top" wrapText="1"/>
      <protection hidden="1"/>
    </xf>
    <xf numFmtId="0" fontId="6" fillId="10" borderId="0" xfId="0" applyFont="1" applyFill="1" applyAlignment="1" applyProtection="1">
      <alignment vertical="top" wrapText="1"/>
      <protection hidden="1"/>
    </xf>
    <xf numFmtId="0" fontId="43" fillId="10" borderId="0" xfId="0" applyFont="1" applyFill="1" applyAlignment="1" applyProtection="1">
      <alignment horizontal="right"/>
      <protection hidden="1"/>
    </xf>
    <xf numFmtId="4" fontId="8" fillId="10" borderId="54" xfId="0" applyNumberFormat="1" applyFont="1" applyFill="1" applyBorder="1" applyAlignment="1" applyProtection="1">
      <alignment horizontal="center" vertical="top"/>
      <protection hidden="1"/>
    </xf>
    <xf numFmtId="49" fontId="7" fillId="0" borderId="6" xfId="2" applyNumberFormat="1" applyFont="1" applyBorder="1" applyAlignment="1" applyProtection="1">
      <alignment vertical="center"/>
      <protection hidden="1"/>
    </xf>
    <xf numFmtId="0" fontId="9" fillId="0" borderId="6" xfId="2" applyFont="1" applyBorder="1" applyAlignment="1" applyProtection="1">
      <alignment vertical="center"/>
      <protection hidden="1"/>
    </xf>
    <xf numFmtId="0" fontId="9" fillId="0" borderId="6" xfId="2" applyFont="1" applyBorder="1" applyAlignment="1" applyProtection="1">
      <alignment horizontal="right" vertical="center"/>
      <protection hidden="1"/>
    </xf>
    <xf numFmtId="0" fontId="8" fillId="0" borderId="6" xfId="2" applyFont="1" applyBorder="1" applyAlignment="1" applyProtection="1">
      <alignment horizontal="right" vertical="center"/>
      <protection hidden="1"/>
    </xf>
    <xf numFmtId="4" fontId="6" fillId="0" borderId="6" xfId="0" applyNumberFormat="1" applyFont="1" applyBorder="1" applyAlignment="1" applyProtection="1">
      <alignment horizontal="right" vertical="center"/>
      <protection hidden="1"/>
    </xf>
    <xf numFmtId="0" fontId="21" fillId="0" borderId="0" xfId="2" applyFont="1" applyAlignment="1" applyProtection="1">
      <alignment vertical="top"/>
      <protection locked="0" hidden="1"/>
    </xf>
    <xf numFmtId="0" fontId="21" fillId="0" borderId="0" xfId="2" applyFont="1" applyProtection="1">
      <protection hidden="1"/>
    </xf>
    <xf numFmtId="0" fontId="39" fillId="0" borderId="0" xfId="2" applyFont="1" applyAlignment="1" applyProtection="1">
      <alignment vertical="top"/>
      <protection locked="0" hidden="1"/>
    </xf>
    <xf numFmtId="0" fontId="6" fillId="0" borderId="25" xfId="0" applyFont="1" applyBorder="1" applyAlignment="1" applyProtection="1">
      <alignment vertical="center" wrapText="1"/>
      <protection hidden="1"/>
    </xf>
    <xf numFmtId="0" fontId="6" fillId="0" borderId="26" xfId="0" applyFont="1" applyBorder="1" applyAlignment="1" applyProtection="1">
      <alignment vertical="center" wrapText="1"/>
      <protection hidden="1"/>
    </xf>
    <xf numFmtId="0" fontId="6" fillId="0" borderId="23" xfId="0" applyFont="1" applyBorder="1" applyAlignment="1" applyProtection="1">
      <alignment vertical="center" wrapText="1"/>
      <protection hidden="1"/>
    </xf>
    <xf numFmtId="0" fontId="6" fillId="0" borderId="19" xfId="0" applyFont="1" applyBorder="1" applyAlignment="1" applyProtection="1">
      <alignment vertical="center" wrapText="1"/>
      <protection hidden="1"/>
    </xf>
    <xf numFmtId="0" fontId="6" fillId="2" borderId="25" xfId="0" applyFont="1" applyFill="1" applyBorder="1" applyAlignment="1" applyProtection="1">
      <alignment vertical="center"/>
      <protection hidden="1"/>
    </xf>
    <xf numFmtId="0" fontId="6" fillId="2" borderId="26" xfId="0" applyFont="1" applyFill="1" applyBorder="1" applyAlignment="1" applyProtection="1">
      <alignment vertical="center"/>
      <protection hidden="1"/>
    </xf>
    <xf numFmtId="0" fontId="6" fillId="0" borderId="0" xfId="0" applyFont="1" applyAlignment="1" applyProtection="1">
      <alignment vertical="center" wrapText="1"/>
      <protection hidden="1"/>
    </xf>
    <xf numFmtId="49" fontId="7" fillId="0" borderId="0" xfId="2" applyNumberFormat="1" applyFont="1" applyAlignment="1" applyProtection="1">
      <alignment vertical="center"/>
      <protection hidden="1"/>
    </xf>
    <xf numFmtId="0" fontId="9" fillId="0" borderId="0" xfId="2" applyFont="1" applyAlignment="1" applyProtection="1">
      <alignment vertical="center"/>
      <protection hidden="1"/>
    </xf>
    <xf numFmtId="0" fontId="9" fillId="0" borderId="0" xfId="2" applyFont="1" applyAlignment="1" applyProtection="1">
      <alignment horizontal="right" vertical="center"/>
      <protection hidden="1"/>
    </xf>
    <xf numFmtId="0" fontId="8" fillId="0" borderId="0" xfId="2" applyFont="1" applyAlignment="1" applyProtection="1">
      <alignment horizontal="right" vertical="center"/>
      <protection hidden="1"/>
    </xf>
    <xf numFmtId="0" fontId="20" fillId="0" borderId="0" xfId="2" applyFont="1" applyAlignment="1" applyProtection="1">
      <alignment vertical="center"/>
      <protection hidden="1"/>
    </xf>
    <xf numFmtId="0" fontId="4" fillId="0" borderId="0" xfId="2" applyFont="1" applyAlignment="1" applyProtection="1">
      <alignment vertical="center"/>
      <protection hidden="1"/>
    </xf>
    <xf numFmtId="0" fontId="6" fillId="10" borderId="0" xfId="0" applyFont="1" applyFill="1" applyAlignment="1" applyProtection="1">
      <alignment vertical="center" wrapText="1"/>
      <protection hidden="1"/>
    </xf>
    <xf numFmtId="0" fontId="20" fillId="0" borderId="6" xfId="2" applyFont="1" applyBorder="1" applyAlignment="1" applyProtection="1">
      <alignment vertical="center"/>
      <protection hidden="1"/>
    </xf>
    <xf numFmtId="0" fontId="12" fillId="0" borderId="0" xfId="1" applyFont="1" applyAlignment="1" applyProtection="1">
      <alignment vertical="center"/>
      <protection hidden="1"/>
    </xf>
    <xf numFmtId="0" fontId="20" fillId="0" borderId="0" xfId="1" applyFont="1" applyAlignment="1" applyProtection="1">
      <alignment vertical="center"/>
      <protection hidden="1"/>
    </xf>
    <xf numFmtId="0" fontId="4" fillId="0" borderId="39" xfId="1" applyFont="1" applyBorder="1" applyAlignment="1" applyProtection="1">
      <alignment vertical="top"/>
      <protection hidden="1"/>
    </xf>
    <xf numFmtId="0" fontId="4" fillId="0" borderId="46" xfId="1" applyFont="1" applyBorder="1" applyAlignment="1" applyProtection="1">
      <alignment vertical="top"/>
      <protection hidden="1"/>
    </xf>
    <xf numFmtId="4" fontId="0" fillId="0" borderId="43" xfId="0" applyNumberFormat="1" applyBorder="1" applyAlignment="1" applyProtection="1">
      <alignment horizontal="right" vertical="top"/>
      <protection hidden="1"/>
    </xf>
    <xf numFmtId="0" fontId="23" fillId="0" borderId="0" xfId="1" quotePrefix="1" applyFont="1" applyAlignment="1" applyProtection="1">
      <alignment horizontal="right" vertical="top"/>
      <protection hidden="1"/>
    </xf>
    <xf numFmtId="0" fontId="21" fillId="0" borderId="23" xfId="0" applyFont="1" applyBorder="1" applyAlignment="1" applyProtection="1">
      <alignment vertical="top"/>
      <protection hidden="1"/>
    </xf>
    <xf numFmtId="0" fontId="21" fillId="0" borderId="25" xfId="0" applyFont="1" applyBorder="1" applyAlignment="1" applyProtection="1">
      <alignment vertical="top"/>
      <protection hidden="1"/>
    </xf>
    <xf numFmtId="0" fontId="21" fillId="0" borderId="29" xfId="0" applyFont="1" applyBorder="1" applyAlignment="1" applyProtection="1">
      <alignment vertical="top"/>
      <protection hidden="1"/>
    </xf>
    <xf numFmtId="0" fontId="21" fillId="10" borderId="0" xfId="0" applyFont="1" applyFill="1" applyAlignment="1" applyProtection="1">
      <alignment vertical="top"/>
      <protection hidden="1"/>
    </xf>
    <xf numFmtId="0" fontId="21" fillId="0" borderId="0" xfId="1" applyFont="1" applyAlignment="1" applyProtection="1">
      <alignment vertical="top"/>
      <protection hidden="1"/>
    </xf>
    <xf numFmtId="0" fontId="4" fillId="0" borderId="45" xfId="1" applyFont="1" applyBorder="1" applyAlignment="1" applyProtection="1">
      <alignment vertical="top"/>
      <protection hidden="1"/>
    </xf>
    <xf numFmtId="0" fontId="0" fillId="0" borderId="54" xfId="1" applyFont="1" applyBorder="1" applyAlignment="1" applyProtection="1">
      <alignment horizontal="right" vertical="top"/>
      <protection locked="0"/>
    </xf>
    <xf numFmtId="0" fontId="0" fillId="0" borderId="54" xfId="1" applyFont="1" applyBorder="1" applyAlignment="1" applyProtection="1">
      <alignment horizontal="center" vertical="top"/>
      <protection locked="0"/>
    </xf>
    <xf numFmtId="4" fontId="0" fillId="0" borderId="54" xfId="1" applyNumberFormat="1" applyFont="1" applyBorder="1" applyAlignment="1" applyProtection="1">
      <alignment horizontal="right" vertical="top"/>
      <protection locked="0"/>
    </xf>
    <xf numFmtId="4" fontId="0" fillId="0" borderId="42" xfId="0" applyNumberFormat="1" applyBorder="1" applyAlignment="1" applyProtection="1">
      <alignment horizontal="right" vertical="top"/>
      <protection hidden="1"/>
    </xf>
    <xf numFmtId="0" fontId="13" fillId="0" borderId="39" xfId="1" applyFont="1" applyBorder="1" applyAlignment="1" applyProtection="1">
      <alignment horizontal="left" vertical="top" wrapText="1"/>
      <protection locked="0"/>
    </xf>
    <xf numFmtId="0" fontId="13" fillId="10" borderId="0" xfId="0" applyFont="1" applyFill="1" applyAlignment="1" applyProtection="1">
      <alignment vertical="top"/>
      <protection hidden="1"/>
    </xf>
    <xf numFmtId="49" fontId="7" fillId="0" borderId="6" xfId="1" applyNumberFormat="1" applyFont="1" applyBorder="1" applyAlignment="1" applyProtection="1">
      <alignment vertical="center"/>
      <protection hidden="1"/>
    </xf>
    <xf numFmtId="0" fontId="9" fillId="0" borderId="6" xfId="1" applyFont="1" applyBorder="1" applyAlignment="1" applyProtection="1">
      <alignment vertical="center"/>
      <protection hidden="1"/>
    </xf>
    <xf numFmtId="0" fontId="9" fillId="0" borderId="6" xfId="1" applyFont="1" applyBorder="1" applyAlignment="1" applyProtection="1">
      <alignment horizontal="right" vertical="center"/>
      <protection hidden="1"/>
    </xf>
    <xf numFmtId="0" fontId="13" fillId="0" borderId="0" xfId="1" applyFont="1" applyAlignment="1" applyProtection="1">
      <alignment horizontal="left" vertical="top" wrapText="1"/>
      <protection locked="0"/>
    </xf>
    <xf numFmtId="0" fontId="28" fillId="3" borderId="8" xfId="1" applyFont="1" applyFill="1" applyBorder="1" applyAlignment="1" applyProtection="1">
      <alignment vertical="top"/>
      <protection hidden="1"/>
    </xf>
    <xf numFmtId="49" fontId="7" fillId="3" borderId="9" xfId="1" applyNumberFormat="1" applyFont="1" applyFill="1" applyBorder="1" applyAlignment="1" applyProtection="1">
      <alignment vertical="center"/>
      <protection hidden="1"/>
    </xf>
    <xf numFmtId="0" fontId="9" fillId="3" borderId="9" xfId="1" applyFont="1" applyFill="1" applyBorder="1" applyAlignment="1" applyProtection="1">
      <alignment vertical="center"/>
      <protection hidden="1"/>
    </xf>
    <xf numFmtId="0" fontId="9" fillId="3" borderId="9" xfId="1" applyFont="1" applyFill="1" applyBorder="1" applyAlignment="1" applyProtection="1">
      <alignment horizontal="right" vertical="center"/>
      <protection hidden="1"/>
    </xf>
    <xf numFmtId="4" fontId="6" fillId="3" borderId="16" xfId="0" applyNumberFormat="1" applyFont="1" applyFill="1" applyBorder="1" applyAlignment="1" applyProtection="1">
      <alignment horizontal="right" vertical="center"/>
      <protection hidden="1"/>
    </xf>
    <xf numFmtId="0" fontId="28" fillId="0" borderId="6" xfId="1" applyFont="1" applyBorder="1" applyAlignment="1" applyProtection="1">
      <alignment vertical="top"/>
      <protection hidden="1"/>
    </xf>
    <xf numFmtId="4" fontId="6" fillId="0" borderId="0" xfId="0" applyNumberFormat="1" applyFont="1" applyAlignment="1" applyProtection="1">
      <alignment horizontal="right" vertical="center"/>
      <protection hidden="1"/>
    </xf>
    <xf numFmtId="49" fontId="4" fillId="0" borderId="45" xfId="1" applyNumberFormat="1" applyFont="1" applyBorder="1" applyAlignment="1" applyProtection="1">
      <alignment horizontal="center" vertical="center"/>
      <protection hidden="1"/>
    </xf>
    <xf numFmtId="0" fontId="9" fillId="2" borderId="9" xfId="1" applyFont="1" applyFill="1" applyBorder="1" applyAlignment="1" applyProtection="1">
      <alignment horizontal="right" vertical="center" wrapText="1"/>
      <protection hidden="1"/>
    </xf>
    <xf numFmtId="0" fontId="6" fillId="2" borderId="10" xfId="1" applyFont="1" applyFill="1" applyBorder="1" applyAlignment="1" applyProtection="1">
      <alignment horizontal="right" vertical="center" wrapText="1"/>
      <protection hidden="1"/>
    </xf>
    <xf numFmtId="0" fontId="28" fillId="0" borderId="38" xfId="1" applyFont="1" applyBorder="1" applyAlignment="1" applyProtection="1">
      <alignment vertical="top"/>
      <protection hidden="1"/>
    </xf>
    <xf numFmtId="0" fontId="28" fillId="4" borderId="47" xfId="1" applyFont="1" applyFill="1" applyBorder="1" applyAlignment="1" applyProtection="1">
      <alignment vertical="top"/>
      <protection hidden="1"/>
    </xf>
    <xf numFmtId="0" fontId="0" fillId="0" borderId="11" xfId="1" applyFont="1" applyBorder="1" applyProtection="1">
      <protection hidden="1"/>
    </xf>
    <xf numFmtId="166" fontId="0" fillId="0" borderId="42" xfId="0" applyNumberFormat="1" applyBorder="1" applyAlignment="1" applyProtection="1">
      <alignment horizontal="right" vertical="top"/>
      <protection hidden="1"/>
    </xf>
    <xf numFmtId="4" fontId="0" fillId="3" borderId="65" xfId="0" applyNumberFormat="1" applyFill="1" applyBorder="1" applyAlignment="1" applyProtection="1">
      <alignment horizontal="right" vertical="center"/>
      <protection hidden="1"/>
    </xf>
    <xf numFmtId="0" fontId="0" fillId="0" borderId="60" xfId="1" applyFont="1" applyBorder="1" applyAlignment="1" applyProtection="1">
      <alignment horizontal="right" vertical="center"/>
      <protection locked="0"/>
    </xf>
    <xf numFmtId="0" fontId="0" fillId="0" borderId="60" xfId="1" applyFont="1" applyBorder="1" applyAlignment="1" applyProtection="1">
      <alignment horizontal="center" vertical="center"/>
      <protection locked="0"/>
    </xf>
    <xf numFmtId="4" fontId="0" fillId="0" borderId="60" xfId="1" applyNumberFormat="1" applyFont="1" applyBorder="1" applyAlignment="1" applyProtection="1">
      <alignment horizontal="right" vertical="center"/>
      <protection locked="0"/>
    </xf>
    <xf numFmtId="4" fontId="0" fillId="3" borderId="41" xfId="0" applyNumberFormat="1" applyFill="1" applyBorder="1" applyAlignment="1" applyProtection="1">
      <alignment horizontal="right" vertical="center"/>
      <protection hidden="1"/>
    </xf>
    <xf numFmtId="0" fontId="4" fillId="0" borderId="11" xfId="1" applyFont="1" applyBorder="1" applyProtection="1">
      <protection hidden="1"/>
    </xf>
    <xf numFmtId="0" fontId="37" fillId="0" borderId="11" xfId="1" applyFont="1" applyBorder="1" applyProtection="1">
      <protection hidden="1"/>
    </xf>
    <xf numFmtId="0" fontId="10" fillId="0" borderId="54" xfId="1" applyFont="1" applyBorder="1" applyAlignment="1" applyProtection="1">
      <alignment horizontal="left" wrapText="1"/>
      <protection hidden="1"/>
    </xf>
    <xf numFmtId="49" fontId="4" fillId="4" borderId="1" xfId="1" applyNumberFormat="1" applyFont="1" applyFill="1" applyBorder="1" applyAlignment="1" applyProtection="1">
      <alignment horizontal="center" vertical="top"/>
      <protection hidden="1"/>
    </xf>
    <xf numFmtId="49" fontId="4" fillId="0" borderId="49" xfId="1" applyNumberFormat="1" applyFont="1" applyBorder="1" applyAlignment="1" applyProtection="1">
      <alignment horizontal="center" vertical="top"/>
      <protection hidden="1"/>
    </xf>
    <xf numFmtId="166" fontId="33" fillId="0" borderId="13" xfId="1" applyNumberFormat="1" applyFont="1" applyBorder="1" applyAlignment="1" applyProtection="1">
      <alignment horizontal="left" wrapText="1"/>
      <protection hidden="1"/>
    </xf>
    <xf numFmtId="0" fontId="29" fillId="0" borderId="54" xfId="1" applyFont="1" applyBorder="1" applyAlignment="1" applyProtection="1">
      <alignment horizontal="left" vertical="top"/>
      <protection hidden="1"/>
    </xf>
    <xf numFmtId="4" fontId="0" fillId="0" borderId="0" xfId="1" applyNumberFormat="1" applyFont="1" applyAlignment="1" applyProtection="1">
      <alignment vertical="top" wrapText="1"/>
      <protection locked="0" hidden="1"/>
    </xf>
    <xf numFmtId="166" fontId="33" fillId="0" borderId="0" xfId="1" applyNumberFormat="1" applyFont="1" applyAlignment="1" applyProtection="1">
      <alignment horizontal="left" wrapText="1"/>
      <protection hidden="1"/>
    </xf>
    <xf numFmtId="49" fontId="13" fillId="0" borderId="49" xfId="1" applyNumberFormat="1" applyFont="1" applyBorder="1" applyAlignment="1" applyProtection="1">
      <alignment horizontal="left" vertical="top"/>
      <protection hidden="1"/>
    </xf>
    <xf numFmtId="0" fontId="0" fillId="0" borderId="42" xfId="1" applyFont="1" applyBorder="1" applyProtection="1">
      <protection hidden="1"/>
    </xf>
    <xf numFmtId="166" fontId="33" fillId="0" borderId="42" xfId="1" applyNumberFormat="1" applyFont="1" applyBorder="1" applyAlignment="1" applyProtection="1">
      <alignment horizontal="left" wrapText="1"/>
      <protection hidden="1"/>
    </xf>
    <xf numFmtId="10" fontId="0" fillId="0" borderId="0" xfId="1" applyNumberFormat="1" applyFont="1" applyAlignment="1" applyProtection="1">
      <alignment vertical="top" wrapText="1"/>
      <protection locked="0"/>
    </xf>
    <xf numFmtId="0" fontId="0" fillId="0" borderId="11" xfId="1" applyFont="1" applyBorder="1" applyAlignment="1" applyProtection="1">
      <alignment wrapText="1"/>
      <protection hidden="1"/>
    </xf>
    <xf numFmtId="0" fontId="33" fillId="0" borderId="0" xfId="1" applyFont="1" applyAlignment="1" applyProtection="1">
      <alignment wrapText="1"/>
      <protection hidden="1"/>
    </xf>
    <xf numFmtId="0" fontId="0" fillId="0" borderId="38" xfId="1" applyFont="1" applyBorder="1" applyAlignment="1" applyProtection="1">
      <alignment wrapText="1"/>
      <protection hidden="1"/>
    </xf>
    <xf numFmtId="0" fontId="10" fillId="0" borderId="68" xfId="1" applyFont="1" applyBorder="1" applyAlignment="1" applyProtection="1">
      <alignment horizontal="left" wrapText="1"/>
      <protection hidden="1"/>
    </xf>
    <xf numFmtId="166" fontId="33" fillId="0" borderId="43" xfId="1" applyNumberFormat="1" applyFont="1" applyBorder="1" applyAlignment="1" applyProtection="1">
      <alignment horizontal="left" wrapText="1"/>
      <protection hidden="1"/>
    </xf>
    <xf numFmtId="0" fontId="13" fillId="0" borderId="49" xfId="1" quotePrefix="1" applyFont="1" applyBorder="1" applyAlignment="1" applyProtection="1">
      <alignment horizontal="center" vertical="top"/>
      <protection hidden="1"/>
    </xf>
    <xf numFmtId="0" fontId="37" fillId="4" borderId="1" xfId="1" applyFont="1" applyFill="1" applyBorder="1" applyAlignment="1" applyProtection="1">
      <alignment vertical="center"/>
      <protection hidden="1"/>
    </xf>
    <xf numFmtId="0" fontId="4" fillId="8" borderId="0" xfId="2" applyFont="1" applyFill="1" applyAlignment="1" applyProtection="1">
      <alignment vertical="top"/>
      <protection hidden="1"/>
    </xf>
    <xf numFmtId="49" fontId="4" fillId="8" borderId="0" xfId="2" applyNumberFormat="1" applyFont="1" applyFill="1" applyAlignment="1" applyProtection="1">
      <alignment vertical="center"/>
      <protection hidden="1"/>
    </xf>
    <xf numFmtId="0" fontId="8" fillId="8" borderId="0" xfId="2" applyFont="1" applyFill="1" applyAlignment="1" applyProtection="1">
      <alignment vertical="center"/>
      <protection hidden="1"/>
    </xf>
    <xf numFmtId="0" fontId="8" fillId="8" borderId="0" xfId="2" applyFont="1" applyFill="1" applyAlignment="1" applyProtection="1">
      <alignment horizontal="right" vertical="center"/>
      <protection hidden="1"/>
    </xf>
    <xf numFmtId="0" fontId="40" fillId="8" borderId="40" xfId="2" applyFont="1" applyFill="1" applyBorder="1" applyAlignment="1" applyProtection="1">
      <alignment horizontal="right" vertical="center"/>
      <protection hidden="1"/>
    </xf>
    <xf numFmtId="4" fontId="40" fillId="8" borderId="16" xfId="0" applyNumberFormat="1" applyFont="1" applyFill="1" applyBorder="1" applyAlignment="1" applyProtection="1">
      <alignment horizontal="right" vertical="center"/>
      <protection hidden="1"/>
    </xf>
    <xf numFmtId="0" fontId="20" fillId="8" borderId="0" xfId="2" applyFont="1" applyFill="1" applyAlignment="1" applyProtection="1">
      <alignment vertical="top"/>
      <protection hidden="1"/>
    </xf>
    <xf numFmtId="0" fontId="4" fillId="0" borderId="39" xfId="1" applyFont="1" applyBorder="1" applyAlignment="1" applyProtection="1">
      <alignment horizontal="left" vertical="top"/>
      <protection hidden="1"/>
    </xf>
    <xf numFmtId="0" fontId="28" fillId="4" borderId="8" xfId="1" applyFont="1" applyFill="1" applyBorder="1" applyAlignment="1" applyProtection="1">
      <alignment vertical="top"/>
      <protection hidden="1"/>
    </xf>
    <xf numFmtId="0" fontId="4" fillId="0" borderId="54" xfId="1" applyFont="1" applyBorder="1" applyAlignment="1" applyProtection="1">
      <alignment vertical="top" wrapText="1"/>
      <protection hidden="1"/>
    </xf>
    <xf numFmtId="166" fontId="0" fillId="0" borderId="42" xfId="0" applyNumberFormat="1" applyBorder="1" applyAlignment="1" applyProtection="1">
      <alignment horizontal="right"/>
      <protection hidden="1"/>
    </xf>
    <xf numFmtId="16" fontId="30" fillId="0" borderId="48" xfId="0" quotePrefix="1" applyNumberFormat="1" applyFont="1" applyBorder="1" applyAlignment="1" applyProtection="1">
      <alignment horizontal="left" vertical="top"/>
      <protection hidden="1"/>
    </xf>
    <xf numFmtId="16" fontId="30" fillId="0" borderId="48" xfId="0" quotePrefix="1" applyNumberFormat="1" applyFont="1" applyBorder="1" applyAlignment="1" applyProtection="1">
      <alignment horizontal="left" vertical="center"/>
      <protection hidden="1"/>
    </xf>
    <xf numFmtId="16" fontId="3" fillId="0" borderId="47" xfId="0" quotePrefix="1" applyNumberFormat="1" applyFont="1" applyBorder="1" applyAlignment="1" applyProtection="1">
      <alignment horizontal="right" vertical="top"/>
      <protection hidden="1"/>
    </xf>
    <xf numFmtId="0" fontId="4" fillId="0" borderId="23" xfId="0" applyFont="1" applyBorder="1" applyAlignment="1" applyProtection="1">
      <alignment vertical="top"/>
      <protection hidden="1"/>
    </xf>
    <xf numFmtId="16" fontId="4" fillId="0" borderId="31" xfId="0" quotePrefix="1" applyNumberFormat="1" applyFont="1" applyBorder="1" applyAlignment="1" applyProtection="1">
      <alignment horizontal="right" vertical="center"/>
      <protection hidden="1"/>
    </xf>
    <xf numFmtId="0" fontId="3" fillId="0" borderId="25" xfId="0" applyFont="1" applyBorder="1" applyAlignment="1" applyProtection="1">
      <alignment vertical="top"/>
      <protection hidden="1"/>
    </xf>
    <xf numFmtId="0" fontId="3" fillId="0" borderId="26" xfId="0" applyFont="1" applyBorder="1" applyAlignment="1" applyProtection="1">
      <alignment vertical="top"/>
      <protection hidden="1"/>
    </xf>
    <xf numFmtId="0" fontId="29" fillId="0" borderId="23" xfId="0" applyFont="1" applyBorder="1" applyAlignment="1" applyProtection="1">
      <alignment vertical="top"/>
      <protection hidden="1"/>
    </xf>
    <xf numFmtId="0" fontId="3" fillId="3" borderId="29" xfId="0" applyFont="1" applyFill="1" applyBorder="1" applyAlignment="1" applyProtection="1">
      <alignment vertical="top"/>
      <protection hidden="1"/>
    </xf>
    <xf numFmtId="0" fontId="0" fillId="3" borderId="29" xfId="0" applyFill="1" applyBorder="1" applyAlignment="1" applyProtection="1">
      <alignment vertical="top"/>
      <protection hidden="1"/>
    </xf>
    <xf numFmtId="0" fontId="3" fillId="3" borderId="30" xfId="0" applyFont="1" applyFill="1" applyBorder="1" applyAlignment="1" applyProtection="1">
      <alignment vertical="top"/>
      <protection hidden="1"/>
    </xf>
    <xf numFmtId="0" fontId="3" fillId="0" borderId="24" xfId="0" applyFont="1" applyBorder="1" applyAlignment="1" applyProtection="1">
      <alignment horizontal="left" vertical="top"/>
      <protection hidden="1"/>
    </xf>
    <xf numFmtId="0" fontId="3" fillId="0" borderId="25" xfId="0" applyFont="1" applyBorder="1" applyAlignment="1" applyProtection="1">
      <alignment horizontal="left" vertical="top"/>
      <protection hidden="1"/>
    </xf>
    <xf numFmtId="0" fontId="3" fillId="0" borderId="26" xfId="0" applyFont="1" applyBorder="1" applyAlignment="1" applyProtection="1">
      <alignment horizontal="left" vertical="top"/>
      <protection hidden="1"/>
    </xf>
    <xf numFmtId="0" fontId="0" fillId="0" borderId="54" xfId="1" applyFont="1" applyBorder="1" applyAlignment="1" applyProtection="1">
      <alignment horizontal="right" vertical="top"/>
      <protection hidden="1"/>
    </xf>
    <xf numFmtId="0" fontId="0" fillId="0" borderId="54" xfId="1" applyFont="1" applyBorder="1" applyAlignment="1" applyProtection="1">
      <alignment horizontal="center" vertical="top"/>
      <protection hidden="1"/>
    </xf>
    <xf numFmtId="4" fontId="0" fillId="0" borderId="54" xfId="1" applyNumberFormat="1" applyFont="1" applyBorder="1" applyAlignment="1" applyProtection="1">
      <alignment horizontal="right" vertical="top"/>
      <protection hidden="1"/>
    </xf>
    <xf numFmtId="0" fontId="0" fillId="0" borderId="68" xfId="1" applyFont="1" applyBorder="1" applyAlignment="1" applyProtection="1">
      <alignment horizontal="right" vertical="top"/>
      <protection hidden="1"/>
    </xf>
    <xf numFmtId="0" fontId="0" fillId="0" borderId="68" xfId="1" applyFont="1" applyBorder="1" applyAlignment="1" applyProtection="1">
      <alignment horizontal="center" vertical="top"/>
      <protection hidden="1"/>
    </xf>
    <xf numFmtId="4" fontId="0" fillId="0" borderId="68" xfId="1" applyNumberFormat="1" applyFont="1" applyBorder="1" applyAlignment="1" applyProtection="1">
      <alignment horizontal="right" vertical="top"/>
      <protection hidden="1"/>
    </xf>
    <xf numFmtId="0" fontId="10" fillId="0" borderId="54" xfId="1" applyFont="1" applyBorder="1" applyAlignment="1" applyProtection="1">
      <alignment horizontal="left" wrapText="1"/>
      <protection locked="0"/>
    </xf>
    <xf numFmtId="0" fontId="29" fillId="0" borderId="54" xfId="1" applyFont="1" applyBorder="1" applyAlignment="1" applyProtection="1">
      <alignment horizontal="left" vertical="top"/>
      <protection locked="0"/>
    </xf>
    <xf numFmtId="0" fontId="0" fillId="0" borderId="60" xfId="1" applyFont="1" applyBorder="1" applyAlignment="1" applyProtection="1">
      <alignment horizontal="right" vertical="center"/>
      <protection hidden="1"/>
    </xf>
    <xf numFmtId="0" fontId="0" fillId="0" borderId="60" xfId="1" applyFont="1" applyBorder="1" applyAlignment="1" applyProtection="1">
      <alignment horizontal="center" vertical="center"/>
      <protection hidden="1"/>
    </xf>
    <xf numFmtId="4" fontId="0" fillId="0" borderId="60" xfId="1" applyNumberFormat="1" applyFont="1" applyBorder="1" applyAlignment="1" applyProtection="1">
      <alignment horizontal="right" vertical="center"/>
      <protection hidden="1"/>
    </xf>
    <xf numFmtId="0" fontId="32" fillId="11" borderId="0" xfId="2" applyFont="1" applyFill="1" applyAlignment="1" applyProtection="1">
      <alignment vertical="center" wrapText="1"/>
      <protection hidden="1"/>
    </xf>
    <xf numFmtId="0" fontId="6" fillId="11" borderId="54" xfId="2" applyFont="1" applyFill="1" applyBorder="1" applyAlignment="1" applyProtection="1">
      <alignment horizontal="center" vertical="top" wrapText="1"/>
      <protection hidden="1"/>
    </xf>
    <xf numFmtId="0" fontId="6" fillId="11" borderId="0" xfId="2" applyFont="1" applyFill="1" applyAlignment="1" applyProtection="1">
      <alignment horizontal="center" vertical="top" wrapText="1"/>
      <protection hidden="1"/>
    </xf>
    <xf numFmtId="0" fontId="6" fillId="11" borderId="0" xfId="2" applyFont="1" applyFill="1" applyAlignment="1" applyProtection="1">
      <alignment horizontal="left" vertical="top" wrapText="1"/>
      <protection hidden="1"/>
    </xf>
    <xf numFmtId="0" fontId="43" fillId="11" borderId="0" xfId="2" applyFont="1" applyFill="1" applyAlignment="1" applyProtection="1">
      <alignment horizontal="right"/>
      <protection hidden="1"/>
    </xf>
    <xf numFmtId="0" fontId="4" fillId="11" borderId="54" xfId="2" applyFont="1" applyFill="1" applyBorder="1" applyAlignment="1" applyProtection="1">
      <alignment horizontal="center" vertical="top" wrapText="1"/>
      <protection hidden="1"/>
    </xf>
    <xf numFmtId="0" fontId="14" fillId="0" borderId="0" xfId="0" applyFont="1" applyAlignment="1" applyProtection="1">
      <alignment horizontal="center" vertical="top"/>
      <protection hidden="1"/>
    </xf>
    <xf numFmtId="0" fontId="6" fillId="0" borderId="29" xfId="0" applyFont="1" applyBorder="1" applyAlignment="1" applyProtection="1">
      <alignment vertical="center" wrapText="1"/>
      <protection hidden="1"/>
    </xf>
    <xf numFmtId="0" fontId="6" fillId="0" borderId="30" xfId="0" applyFont="1" applyBorder="1" applyAlignment="1" applyProtection="1">
      <alignment vertical="center" wrapText="1"/>
      <protection hidden="1"/>
    </xf>
    <xf numFmtId="4" fontId="21" fillId="0" borderId="0" xfId="0" applyNumberFormat="1" applyFont="1" applyAlignment="1" applyProtection="1">
      <alignment vertical="top"/>
      <protection hidden="1"/>
    </xf>
    <xf numFmtId="0" fontId="21" fillId="0" borderId="39" xfId="1" applyFont="1" applyBorder="1" applyAlignment="1" applyProtection="1">
      <alignment horizontal="left" vertical="top" wrapText="1"/>
      <protection locked="0"/>
    </xf>
    <xf numFmtId="0" fontId="21" fillId="0" borderId="0" xfId="2" applyFont="1" applyAlignment="1" applyProtection="1">
      <alignment horizontal="left" vertical="top"/>
      <protection hidden="1"/>
    </xf>
    <xf numFmtId="0" fontId="39" fillId="0" borderId="0" xfId="2" applyFont="1" applyAlignment="1" applyProtection="1">
      <alignment horizontal="center"/>
      <protection hidden="1"/>
    </xf>
    <xf numFmtId="0" fontId="0" fillId="3" borderId="0" xfId="1" applyFont="1" applyFill="1" applyProtection="1">
      <protection hidden="1"/>
    </xf>
    <xf numFmtId="0" fontId="21" fillId="3" borderId="0" xfId="1" applyFont="1" applyFill="1" applyProtection="1">
      <protection hidden="1"/>
    </xf>
    <xf numFmtId="49" fontId="4" fillId="4" borderId="0" xfId="1" applyNumberFormat="1" applyFont="1" applyFill="1" applyAlignment="1" applyProtection="1">
      <alignment horizontal="center" vertical="top"/>
      <protection hidden="1"/>
    </xf>
    <xf numFmtId="164" fontId="21" fillId="0" borderId="0" xfId="1" applyNumberFormat="1" applyFont="1" applyAlignment="1" applyProtection="1">
      <alignment vertical="top" wrapText="1"/>
      <protection hidden="1"/>
    </xf>
    <xf numFmtId="164" fontId="21" fillId="3" borderId="0" xfId="1" applyNumberFormat="1" applyFont="1" applyFill="1" applyAlignment="1" applyProtection="1">
      <alignment vertical="top"/>
      <protection hidden="1"/>
    </xf>
    <xf numFmtId="0" fontId="3" fillId="0" borderId="0" xfId="1" quotePrefix="1" applyFont="1" applyAlignment="1" applyProtection="1">
      <alignment horizontal="left" vertical="top" wrapText="1"/>
      <protection hidden="1"/>
    </xf>
    <xf numFmtId="0" fontId="3" fillId="0" borderId="0" xfId="1" quotePrefix="1" applyFont="1" applyAlignment="1" applyProtection="1">
      <alignment horizontal="left" vertical="top"/>
      <protection hidden="1"/>
    </xf>
    <xf numFmtId="164" fontId="21" fillId="0" borderId="0" xfId="1" applyNumberFormat="1" applyFont="1" applyAlignment="1" applyProtection="1">
      <alignment horizontal="left" vertical="top" wrapText="1"/>
      <protection hidden="1"/>
    </xf>
    <xf numFmtId="164" fontId="21" fillId="0" borderId="0" xfId="1" applyNumberFormat="1" applyFont="1" applyAlignment="1" applyProtection="1">
      <alignment horizontal="left" vertical="top"/>
      <protection hidden="1"/>
    </xf>
    <xf numFmtId="0" fontId="0" fillId="0" borderId="0" xfId="1" applyFont="1" applyAlignment="1" applyProtection="1">
      <alignment vertical="top"/>
      <protection locked="0"/>
    </xf>
    <xf numFmtId="0" fontId="54" fillId="0" borderId="0" xfId="0" applyFont="1" applyAlignment="1" applyProtection="1">
      <alignment vertical="top"/>
      <protection hidden="1"/>
    </xf>
    <xf numFmtId="0" fontId="32" fillId="12" borderId="0" xfId="2" applyFont="1" applyFill="1" applyAlignment="1" applyProtection="1">
      <alignment vertical="center" wrapText="1"/>
      <protection hidden="1"/>
    </xf>
    <xf numFmtId="0" fontId="6" fillId="12" borderId="54" xfId="2" applyFont="1" applyFill="1" applyBorder="1" applyAlignment="1" applyProtection="1">
      <alignment horizontal="center" vertical="top" wrapText="1"/>
      <protection hidden="1"/>
    </xf>
    <xf numFmtId="0" fontId="6" fillId="12" borderId="0" xfId="2" applyFont="1" applyFill="1" applyAlignment="1" applyProtection="1">
      <alignment horizontal="center" vertical="top" wrapText="1"/>
      <protection hidden="1"/>
    </xf>
    <xf numFmtId="0" fontId="6" fillId="12" borderId="0" xfId="2" applyFont="1" applyFill="1" applyAlignment="1" applyProtection="1">
      <alignment horizontal="left" vertical="top" wrapText="1"/>
      <protection hidden="1"/>
    </xf>
    <xf numFmtId="0" fontId="43" fillId="12" borderId="0" xfId="2" applyFont="1" applyFill="1" applyAlignment="1" applyProtection="1">
      <alignment horizontal="right"/>
      <protection hidden="1"/>
    </xf>
    <xf numFmtId="0" fontId="4" fillId="12" borderId="54" xfId="2" applyFont="1" applyFill="1" applyBorder="1" applyAlignment="1" applyProtection="1">
      <alignment horizontal="center" vertical="top" wrapText="1"/>
      <protection hidden="1"/>
    </xf>
    <xf numFmtId="0" fontId="0" fillId="0" borderId="24" xfId="0" applyBorder="1" applyAlignment="1" applyProtection="1">
      <alignment vertical="top"/>
      <protection hidden="1"/>
    </xf>
    <xf numFmtId="0" fontId="0" fillId="0" borderId="20" xfId="0" applyBorder="1" applyAlignment="1" applyProtection="1">
      <alignment vertical="top"/>
      <protection hidden="1"/>
    </xf>
    <xf numFmtId="0" fontId="0" fillId="0" borderId="29" xfId="0" applyBorder="1" applyAlignment="1" applyProtection="1">
      <alignment vertical="top"/>
      <protection hidden="1"/>
    </xf>
    <xf numFmtId="0" fontId="6" fillId="0" borderId="3" xfId="0" applyFont="1" applyBorder="1" applyAlignment="1" applyProtection="1">
      <alignment vertical="top"/>
      <protection hidden="1"/>
    </xf>
    <xf numFmtId="0" fontId="6" fillId="0" borderId="25" xfId="0" applyFont="1" applyBorder="1" applyAlignment="1" applyProtection="1">
      <alignment horizontal="left" vertical="top"/>
      <protection hidden="1"/>
    </xf>
    <xf numFmtId="0" fontId="6" fillId="0" borderId="29" xfId="0" applyFont="1" applyBorder="1" applyAlignment="1" applyProtection="1">
      <alignment horizontal="left" vertical="center"/>
      <protection hidden="1"/>
    </xf>
    <xf numFmtId="49" fontId="0" fillId="0" borderId="0" xfId="0" applyNumberFormat="1" applyAlignment="1" applyProtection="1">
      <alignment vertical="top"/>
      <protection hidden="1"/>
    </xf>
    <xf numFmtId="0" fontId="6" fillId="0" borderId="2" xfId="0" applyFont="1" applyBorder="1" applyAlignment="1" applyProtection="1">
      <alignment vertical="center"/>
      <protection hidden="1"/>
    </xf>
    <xf numFmtId="0" fontId="6" fillId="0" borderId="30" xfId="0" applyFont="1" applyBorder="1" applyAlignment="1" applyProtection="1">
      <alignment vertical="center"/>
      <protection hidden="1"/>
    </xf>
    <xf numFmtId="49" fontId="5" fillId="0" borderId="0" xfId="0" applyNumberFormat="1" applyFont="1" applyAlignment="1" applyProtection="1">
      <alignment horizontal="center" vertical="center" wrapText="1"/>
      <protection hidden="1"/>
    </xf>
    <xf numFmtId="49" fontId="6" fillId="0" borderId="3" xfId="0" applyNumberFormat="1" applyFont="1" applyBorder="1" applyAlignment="1" applyProtection="1">
      <alignment vertical="center"/>
      <protection hidden="1"/>
    </xf>
    <xf numFmtId="0" fontId="57" fillId="0" borderId="0" xfId="0" applyFont="1" applyAlignment="1" applyProtection="1">
      <alignment vertical="top"/>
      <protection hidden="1"/>
    </xf>
    <xf numFmtId="4" fontId="8" fillId="8" borderId="39" xfId="0" applyNumberFormat="1" applyFont="1" applyFill="1" applyBorder="1" applyAlignment="1" applyProtection="1">
      <alignment horizontal="center" vertical="top"/>
      <protection hidden="1"/>
    </xf>
    <xf numFmtId="49" fontId="4" fillId="0" borderId="71" xfId="0" applyNumberFormat="1" applyFont="1" applyBorder="1" applyAlignment="1" applyProtection="1">
      <alignment vertical="center"/>
      <protection hidden="1"/>
    </xf>
    <xf numFmtId="0" fontId="6" fillId="0" borderId="25" xfId="0" applyFont="1" applyBorder="1" applyAlignment="1" applyProtection="1">
      <alignment horizontal="center" vertical="center" wrapText="1"/>
      <protection hidden="1"/>
    </xf>
    <xf numFmtId="16" fontId="58" fillId="0" borderId="25" xfId="0" quotePrefix="1" applyNumberFormat="1" applyFont="1" applyBorder="1" applyAlignment="1" applyProtection="1">
      <alignment vertical="center"/>
      <protection hidden="1"/>
    </xf>
    <xf numFmtId="168" fontId="6" fillId="0" borderId="25" xfId="0" applyNumberFormat="1" applyFont="1" applyBorder="1" applyAlignment="1" applyProtection="1">
      <alignment vertical="center" wrapText="1"/>
      <protection hidden="1"/>
    </xf>
    <xf numFmtId="0" fontId="0" fillId="0" borderId="72" xfId="0" applyBorder="1" applyAlignment="1" applyProtection="1">
      <alignment vertical="center" wrapText="1"/>
      <protection hidden="1"/>
    </xf>
    <xf numFmtId="1" fontId="8" fillId="0" borderId="72" xfId="0" applyNumberFormat="1" applyFont="1" applyBorder="1" applyAlignment="1" applyProtection="1">
      <alignment horizontal="center" vertical="center" wrapText="1"/>
      <protection hidden="1"/>
    </xf>
    <xf numFmtId="49" fontId="6" fillId="0" borderId="0" xfId="0" quotePrefix="1" applyNumberFormat="1" applyFont="1" applyAlignment="1" applyProtection="1">
      <alignment vertical="top"/>
      <protection hidden="1"/>
    </xf>
    <xf numFmtId="0" fontId="57" fillId="0" borderId="0" xfId="0" applyFont="1" applyAlignment="1" applyProtection="1">
      <alignment vertical="center"/>
      <protection hidden="1"/>
    </xf>
    <xf numFmtId="49" fontId="8" fillId="0" borderId="8" xfId="0" applyNumberFormat="1" applyFont="1" applyBorder="1" applyAlignment="1" applyProtection="1">
      <alignment vertical="center"/>
      <protection hidden="1"/>
    </xf>
    <xf numFmtId="16" fontId="40" fillId="0" borderId="9" xfId="0" quotePrefix="1" applyNumberFormat="1" applyFont="1" applyBorder="1" applyAlignment="1" applyProtection="1">
      <alignment vertical="center"/>
      <protection hidden="1"/>
    </xf>
    <xf numFmtId="16" fontId="4" fillId="0" borderId="9" xfId="0" quotePrefix="1" applyNumberFormat="1" applyFont="1" applyBorder="1" applyAlignment="1" applyProtection="1">
      <alignment vertical="center"/>
      <protection hidden="1"/>
    </xf>
    <xf numFmtId="16" fontId="4" fillId="0" borderId="9" xfId="0" quotePrefix="1" applyNumberFormat="1" applyFont="1" applyBorder="1" applyAlignment="1" applyProtection="1">
      <alignment horizontal="center" vertical="center"/>
      <protection hidden="1"/>
    </xf>
    <xf numFmtId="0" fontId="6" fillId="0" borderId="10" xfId="0" applyFont="1" applyBorder="1" applyAlignment="1" applyProtection="1">
      <alignment horizontal="right" vertical="center"/>
      <protection locked="0"/>
    </xf>
    <xf numFmtId="0" fontId="57" fillId="0" borderId="0" xfId="0" applyFont="1"/>
    <xf numFmtId="49" fontId="8" fillId="0" borderId="14" xfId="0" quotePrefix="1" applyNumberFormat="1" applyFont="1" applyBorder="1" applyAlignment="1" applyProtection="1">
      <alignment horizontal="left" vertical="top"/>
      <protection hidden="1"/>
    </xf>
    <xf numFmtId="0" fontId="6" fillId="0" borderId="3" xfId="0" applyFont="1" applyBorder="1" applyAlignment="1" applyProtection="1">
      <alignment horizontal="left" vertical="top"/>
      <protection hidden="1"/>
    </xf>
    <xf numFmtId="0" fontId="4" fillId="0" borderId="3" xfId="0" applyFont="1" applyBorder="1" applyAlignment="1" applyProtection="1">
      <alignment horizontal="right" vertical="center"/>
      <protection hidden="1"/>
    </xf>
    <xf numFmtId="166" fontId="4" fillId="0" borderId="15" xfId="0" applyNumberFormat="1" applyFont="1" applyBorder="1" applyAlignment="1" applyProtection="1">
      <alignment vertical="top"/>
      <protection hidden="1"/>
    </xf>
    <xf numFmtId="0" fontId="0" fillId="0" borderId="0" xfId="0" applyProtection="1">
      <protection locked="0"/>
    </xf>
    <xf numFmtId="49" fontId="8" fillId="0" borderId="31" xfId="0" quotePrefix="1" applyNumberFormat="1" applyFont="1" applyBorder="1" applyAlignment="1" applyProtection="1">
      <alignment horizontal="left" vertical="top"/>
      <protection hidden="1"/>
    </xf>
    <xf numFmtId="0" fontId="6" fillId="0" borderId="24" xfId="0" applyFont="1" applyBorder="1" applyAlignment="1" applyProtection="1">
      <alignment vertical="top"/>
      <protection hidden="1"/>
    </xf>
    <xf numFmtId="0" fontId="6" fillId="0" borderId="25" xfId="0" applyFont="1" applyBorder="1" applyAlignment="1" applyProtection="1">
      <alignment vertical="top"/>
      <protection hidden="1"/>
    </xf>
    <xf numFmtId="0" fontId="4" fillId="0" borderId="25" xfId="0" applyFont="1" applyBorder="1" applyAlignment="1" applyProtection="1">
      <alignment horizontal="left" vertical="center"/>
      <protection hidden="1"/>
    </xf>
    <xf numFmtId="0" fontId="4" fillId="0" borderId="26" xfId="0" applyFont="1" applyBorder="1" applyAlignment="1" applyProtection="1">
      <alignment horizontal="right" vertical="center"/>
      <protection hidden="1"/>
    </xf>
    <xf numFmtId="168" fontId="0" fillId="0" borderId="1" xfId="0" applyNumberFormat="1" applyBorder="1" applyAlignment="1" applyProtection="1">
      <alignment horizontal="center" vertical="center"/>
      <protection hidden="1"/>
    </xf>
    <xf numFmtId="0" fontId="0" fillId="0" borderId="27" xfId="0" applyBorder="1" applyAlignment="1" applyProtection="1">
      <alignment horizontal="left" vertical="top"/>
      <protection hidden="1"/>
    </xf>
    <xf numFmtId="0" fontId="0" fillId="0" borderId="0" xfId="0" applyAlignment="1" applyProtection="1">
      <alignment horizontal="left" vertical="top"/>
      <protection hidden="1"/>
    </xf>
    <xf numFmtId="0" fontId="18" fillId="0" borderId="0" xfId="0" applyFont="1" applyAlignment="1" applyProtection="1">
      <alignment vertical="center"/>
      <protection locked="0" hidden="1"/>
    </xf>
    <xf numFmtId="49" fontId="4" fillId="0" borderId="73" xfId="0" quotePrefix="1" applyNumberFormat="1" applyFont="1" applyBorder="1" applyAlignment="1" applyProtection="1">
      <alignment horizontal="right" vertical="top"/>
      <protection hidden="1"/>
    </xf>
    <xf numFmtId="0" fontId="8" fillId="4" borderId="1" xfId="0" applyFont="1" applyFill="1" applyBorder="1" applyAlignment="1" applyProtection="1">
      <alignment vertical="top"/>
      <protection hidden="1"/>
    </xf>
    <xf numFmtId="49" fontId="4" fillId="0" borderId="47" xfId="0" quotePrefix="1" applyNumberFormat="1" applyFont="1" applyBorder="1" applyAlignment="1" applyProtection="1">
      <alignment horizontal="right" vertical="top"/>
      <protection hidden="1"/>
    </xf>
    <xf numFmtId="0" fontId="8" fillId="0" borderId="30" xfId="0" applyFont="1" applyBorder="1" applyAlignment="1" applyProtection="1">
      <alignment vertical="top"/>
      <protection hidden="1"/>
    </xf>
    <xf numFmtId="166" fontId="4" fillId="0" borderId="12" xfId="0" applyNumberFormat="1" applyFont="1" applyBorder="1" applyAlignment="1" applyProtection="1">
      <alignment vertical="top"/>
      <protection hidden="1"/>
    </xf>
    <xf numFmtId="0" fontId="18" fillId="0" borderId="0" xfId="0" applyFont="1" applyProtection="1">
      <protection locked="0" hidden="1"/>
    </xf>
    <xf numFmtId="49" fontId="4" fillId="0" borderId="9" xfId="0" quotePrefix="1" applyNumberFormat="1" applyFont="1" applyBorder="1" applyAlignment="1" applyProtection="1">
      <alignment horizontal="right" vertical="top"/>
      <protection hidden="1"/>
    </xf>
    <xf numFmtId="0" fontId="4" fillId="0" borderId="9" xfId="0" applyFont="1" applyBorder="1" applyAlignment="1" applyProtection="1">
      <alignment horizontal="left" vertical="top" wrapText="1"/>
      <protection locked="0"/>
    </xf>
    <xf numFmtId="0" fontId="4" fillId="0" borderId="9" xfId="0" applyFont="1" applyBorder="1" applyAlignment="1" applyProtection="1">
      <alignment horizontal="left" vertical="top"/>
      <protection locked="0"/>
    </xf>
    <xf numFmtId="4" fontId="0" fillId="0" borderId="0" xfId="0" applyNumberFormat="1" applyAlignment="1" applyProtection="1">
      <alignment vertical="top" wrapText="1"/>
      <protection locked="0" hidden="1"/>
    </xf>
    <xf numFmtId="4" fontId="0" fillId="0" borderId="0" xfId="0" applyNumberFormat="1" applyAlignment="1" applyProtection="1">
      <alignment vertical="center" wrapText="1"/>
      <protection locked="0" hidden="1"/>
    </xf>
    <xf numFmtId="49" fontId="8" fillId="0" borderId="15" xfId="0" quotePrefix="1" applyNumberFormat="1" applyFont="1" applyBorder="1" applyAlignment="1" applyProtection="1">
      <alignment horizontal="left" vertical="top"/>
      <protection hidden="1"/>
    </xf>
    <xf numFmtId="0" fontId="6" fillId="0" borderId="23" xfId="0" applyFont="1" applyBorder="1" applyAlignment="1" applyProtection="1">
      <alignment vertical="top"/>
      <protection hidden="1"/>
    </xf>
    <xf numFmtId="0" fontId="6" fillId="0" borderId="3" xfId="0" applyFont="1" applyBorder="1" applyAlignment="1" applyProtection="1">
      <alignment horizontal="right" vertical="top"/>
      <protection hidden="1"/>
    </xf>
    <xf numFmtId="0" fontId="36" fillId="0" borderId="3" xfId="0" applyFont="1" applyBorder="1" applyAlignment="1" applyProtection="1">
      <alignment horizontal="left" vertical="top"/>
      <protection hidden="1"/>
    </xf>
    <xf numFmtId="166" fontId="4" fillId="0" borderId="1" xfId="0" applyNumberFormat="1" applyFont="1" applyBorder="1" applyAlignment="1" applyProtection="1">
      <alignment vertical="top"/>
      <protection hidden="1"/>
    </xf>
    <xf numFmtId="49" fontId="4" fillId="0" borderId="31" xfId="0" applyNumberFormat="1" applyFont="1" applyBorder="1" applyAlignment="1" applyProtection="1">
      <alignment horizontal="right" vertical="top"/>
      <protection hidden="1"/>
    </xf>
    <xf numFmtId="49" fontId="4" fillId="0" borderId="15" xfId="0" applyNumberFormat="1" applyFont="1" applyBorder="1" applyAlignment="1" applyProtection="1">
      <alignment horizontal="right" vertical="top"/>
      <protection hidden="1"/>
    </xf>
    <xf numFmtId="0" fontId="0" fillId="0" borderId="11" xfId="0" applyBorder="1" applyAlignment="1" applyProtection="1">
      <alignment horizontal="left" vertical="top"/>
      <protection hidden="1"/>
    </xf>
    <xf numFmtId="0" fontId="0" fillId="0" borderId="0" xfId="0" applyAlignment="1" applyProtection="1">
      <alignment horizontal="center" vertical="top"/>
      <protection hidden="1"/>
    </xf>
    <xf numFmtId="166" fontId="0" fillId="4" borderId="8" xfId="0" applyNumberFormat="1" applyFill="1" applyBorder="1" applyAlignment="1" applyProtection="1">
      <alignment vertical="top"/>
      <protection locked="0"/>
    </xf>
    <xf numFmtId="4" fontId="6" fillId="0" borderId="15" xfId="0" applyNumberFormat="1" applyFont="1" applyBorder="1" applyAlignment="1" applyProtection="1">
      <alignment vertical="top"/>
      <protection locked="0"/>
    </xf>
    <xf numFmtId="0" fontId="4" fillId="4" borderId="1" xfId="0" applyFont="1" applyFill="1" applyBorder="1" applyAlignment="1" applyProtection="1">
      <alignment vertical="top"/>
      <protection hidden="1"/>
    </xf>
    <xf numFmtId="2" fontId="0" fillId="4" borderId="8" xfId="0" applyNumberFormat="1" applyFill="1" applyBorder="1" applyAlignment="1" applyProtection="1">
      <alignment horizontal="center" vertical="top"/>
      <protection locked="0"/>
    </xf>
    <xf numFmtId="166" fontId="14" fillId="0" borderId="12" xfId="0" applyNumberFormat="1" applyFont="1" applyBorder="1" applyAlignment="1" applyProtection="1">
      <alignment horizontal="left" vertical="top"/>
      <protection hidden="1"/>
    </xf>
    <xf numFmtId="0" fontId="4" fillId="0" borderId="0" xfId="0" applyFont="1" applyAlignment="1" applyProtection="1">
      <alignment vertical="top"/>
      <protection locked="0"/>
    </xf>
    <xf numFmtId="0" fontId="4" fillId="7" borderId="1" xfId="0" applyFont="1" applyFill="1" applyBorder="1" applyAlignment="1" applyProtection="1">
      <alignment vertical="top"/>
      <protection hidden="1"/>
    </xf>
    <xf numFmtId="0" fontId="0" fillId="0" borderId="28" xfId="0" applyBorder="1" applyAlignment="1" applyProtection="1">
      <alignment horizontal="left" vertical="top"/>
      <protection hidden="1"/>
    </xf>
    <xf numFmtId="0" fontId="16" fillId="0" borderId="0" xfId="0" applyFont="1" applyAlignment="1" applyProtection="1">
      <alignment vertical="top"/>
      <protection hidden="1"/>
    </xf>
    <xf numFmtId="2" fontId="0" fillId="7" borderId="8" xfId="0" applyNumberFormat="1" applyFill="1" applyBorder="1" applyAlignment="1" applyProtection="1">
      <alignment horizontal="center" vertical="top"/>
      <protection locked="0"/>
    </xf>
    <xf numFmtId="0" fontId="6" fillId="3" borderId="9" xfId="0" applyFont="1" applyFill="1" applyBorder="1" applyAlignment="1" applyProtection="1">
      <alignment vertical="top"/>
      <protection hidden="1"/>
    </xf>
    <xf numFmtId="0" fontId="0" fillId="3" borderId="9" xfId="0" applyFill="1" applyBorder="1" applyAlignment="1" applyProtection="1">
      <alignment vertical="top"/>
      <protection hidden="1"/>
    </xf>
    <xf numFmtId="0" fontId="6" fillId="3" borderId="9" xfId="0" applyFont="1" applyFill="1" applyBorder="1" applyAlignment="1" applyProtection="1">
      <alignment vertical="top" wrapText="1"/>
      <protection hidden="1"/>
    </xf>
    <xf numFmtId="166" fontId="6" fillId="3" borderId="1" xfId="0" applyNumberFormat="1" applyFont="1" applyFill="1" applyBorder="1" applyAlignment="1" applyProtection="1">
      <alignment vertical="center"/>
      <protection hidden="1"/>
    </xf>
    <xf numFmtId="49" fontId="8" fillId="0" borderId="9" xfId="0" applyNumberFormat="1" applyFont="1" applyBorder="1" applyAlignment="1" applyProtection="1">
      <alignment horizontal="left" vertical="top"/>
      <protection hidden="1"/>
    </xf>
    <xf numFmtId="166" fontId="6" fillId="0" borderId="9" xfId="0" applyNumberFormat="1" applyFont="1" applyBorder="1" applyAlignment="1" applyProtection="1">
      <alignment vertical="top"/>
      <protection hidden="1"/>
    </xf>
    <xf numFmtId="49" fontId="8" fillId="0" borderId="48" xfId="0" applyNumberFormat="1" applyFont="1" applyBorder="1" applyAlignment="1" applyProtection="1">
      <alignment horizontal="left" vertical="top"/>
      <protection hidden="1"/>
    </xf>
    <xf numFmtId="0" fontId="4" fillId="0" borderId="3" xfId="0" applyFont="1" applyBorder="1" applyAlignment="1" applyProtection="1">
      <alignment vertical="top"/>
      <protection hidden="1"/>
    </xf>
    <xf numFmtId="0" fontId="6" fillId="0" borderId="0" xfId="0" applyFont="1" applyAlignment="1" applyProtection="1">
      <alignment vertical="top"/>
      <protection hidden="1"/>
    </xf>
    <xf numFmtId="0" fontId="14" fillId="0" borderId="0" xfId="0" applyFont="1" applyAlignment="1" applyProtection="1">
      <alignment vertical="top" wrapText="1"/>
      <protection hidden="1"/>
    </xf>
    <xf numFmtId="0" fontId="10" fillId="0" borderId="15" xfId="0" applyFont="1" applyBorder="1" applyAlignment="1" applyProtection="1">
      <alignment vertical="top" wrapText="1"/>
      <protection hidden="1"/>
    </xf>
    <xf numFmtId="0" fontId="21" fillId="0" borderId="26" xfId="0" applyFont="1" applyBorder="1" applyAlignment="1" applyProtection="1">
      <alignment horizontal="right" vertical="top"/>
      <protection hidden="1"/>
    </xf>
    <xf numFmtId="2" fontId="0" fillId="5" borderId="1" xfId="0" applyNumberFormat="1" applyFill="1" applyBorder="1" applyAlignment="1" applyProtection="1">
      <alignment horizontal="center" vertical="top" wrapText="1"/>
      <protection locked="0"/>
    </xf>
    <xf numFmtId="49" fontId="4" fillId="0" borderId="31" xfId="0" quotePrefix="1" applyNumberFormat="1" applyFont="1" applyBorder="1" applyAlignment="1" applyProtection="1">
      <alignment horizontal="right" vertical="top"/>
      <protection hidden="1"/>
    </xf>
    <xf numFmtId="0" fontId="0" fillId="0" borderId="28" xfId="0" applyBorder="1" applyAlignment="1" applyProtection="1">
      <alignment horizontal="left" vertical="top" wrapText="1"/>
      <protection hidden="1"/>
    </xf>
    <xf numFmtId="4" fontId="0" fillId="0" borderId="4" xfId="0" applyNumberFormat="1" applyBorder="1" applyAlignment="1" applyProtection="1">
      <alignment horizontal="center" vertical="center"/>
      <protection hidden="1"/>
    </xf>
    <xf numFmtId="0" fontId="0" fillId="3" borderId="8" xfId="0" applyFill="1" applyBorder="1" applyAlignment="1" applyProtection="1">
      <alignment horizontal="left" vertical="top"/>
      <protection hidden="1"/>
    </xf>
    <xf numFmtId="49" fontId="8" fillId="0" borderId="3" xfId="0" applyNumberFormat="1" applyFont="1" applyBorder="1" applyAlignment="1" applyProtection="1">
      <alignment horizontal="left" vertical="top"/>
      <protection hidden="1"/>
    </xf>
    <xf numFmtId="166" fontId="6" fillId="0" borderId="3" xfId="0" applyNumberFormat="1" applyFont="1" applyBorder="1" applyAlignment="1" applyProtection="1">
      <alignment vertical="top"/>
      <protection hidden="1"/>
    </xf>
    <xf numFmtId="0" fontId="6" fillId="0" borderId="22" xfId="0" applyFont="1" applyBorder="1" applyAlignment="1" applyProtection="1">
      <alignment vertical="top"/>
      <protection hidden="1"/>
    </xf>
    <xf numFmtId="0" fontId="6" fillId="0" borderId="23" xfId="0" applyFont="1" applyBorder="1" applyAlignment="1" applyProtection="1">
      <alignment vertical="top" wrapText="1"/>
      <protection hidden="1"/>
    </xf>
    <xf numFmtId="0" fontId="4" fillId="0" borderId="23" xfId="0" applyFont="1" applyBorder="1" applyAlignment="1" applyProtection="1">
      <alignment vertical="top" wrapText="1"/>
      <protection hidden="1"/>
    </xf>
    <xf numFmtId="0" fontId="4" fillId="0" borderId="23" xfId="0" applyFont="1" applyBorder="1" applyAlignment="1" applyProtection="1">
      <alignment horizontal="right" vertical="center" wrapText="1"/>
      <protection hidden="1"/>
    </xf>
    <xf numFmtId="10" fontId="0" fillId="0" borderId="3" xfId="0" applyNumberFormat="1" applyBorder="1" applyAlignment="1" applyProtection="1">
      <alignment horizontal="center" vertical="center"/>
      <protection hidden="1"/>
    </xf>
    <xf numFmtId="166" fontId="4" fillId="0" borderId="14" xfId="0" applyNumberFormat="1" applyFont="1" applyBorder="1" applyAlignment="1" applyProtection="1">
      <alignment vertical="top"/>
      <protection hidden="1"/>
    </xf>
    <xf numFmtId="0" fontId="6" fillId="0" borderId="11" xfId="0" applyFont="1" applyBorder="1" applyAlignment="1" applyProtection="1">
      <alignment vertical="top" wrapText="1"/>
      <protection hidden="1"/>
    </xf>
    <xf numFmtId="0" fontId="6" fillId="0" borderId="0" xfId="0" applyFont="1" applyAlignment="1" applyProtection="1">
      <alignment vertical="top" wrapText="1"/>
      <protection hidden="1"/>
    </xf>
    <xf numFmtId="2" fontId="0" fillId="0" borderId="1" xfId="0" applyNumberFormat="1" applyBorder="1" applyAlignment="1" applyProtection="1">
      <alignment horizontal="center" vertical="center"/>
      <protection hidden="1"/>
    </xf>
    <xf numFmtId="4" fontId="6" fillId="3" borderId="3" xfId="0" applyNumberFormat="1" applyFont="1" applyFill="1" applyBorder="1" applyAlignment="1" applyProtection="1">
      <alignment horizontal="center" vertical="center"/>
      <protection hidden="1"/>
    </xf>
    <xf numFmtId="0" fontId="33" fillId="0" borderId="0" xfId="0" applyFont="1" applyAlignment="1" applyProtection="1">
      <alignment vertical="top"/>
      <protection locked="0" hidden="1"/>
    </xf>
    <xf numFmtId="16" fontId="16" fillId="0" borderId="3" xfId="0" quotePrefix="1" applyNumberFormat="1" applyFont="1" applyBorder="1" applyAlignment="1" applyProtection="1">
      <alignment vertical="top"/>
      <protection hidden="1"/>
    </xf>
    <xf numFmtId="16" fontId="29" fillId="0" borderId="3" xfId="0" quotePrefix="1" applyNumberFormat="1" applyFont="1" applyBorder="1" applyAlignment="1" applyProtection="1">
      <alignment vertical="top"/>
      <protection hidden="1"/>
    </xf>
    <xf numFmtId="16" fontId="8" fillId="7" borderId="14" xfId="0" quotePrefix="1" applyNumberFormat="1" applyFont="1" applyFill="1" applyBorder="1" applyAlignment="1" applyProtection="1">
      <alignment vertical="top"/>
      <protection hidden="1"/>
    </xf>
    <xf numFmtId="16" fontId="8" fillId="0" borderId="15" xfId="0" quotePrefix="1" applyNumberFormat="1" applyFont="1" applyBorder="1" applyAlignment="1" applyProtection="1">
      <alignment vertical="top"/>
      <protection hidden="1"/>
    </xf>
    <xf numFmtId="49" fontId="4" fillId="0" borderId="74" xfId="0" quotePrefix="1" applyNumberFormat="1" applyFont="1" applyBorder="1" applyAlignment="1" applyProtection="1">
      <alignment horizontal="right" vertical="top"/>
      <protection hidden="1"/>
    </xf>
    <xf numFmtId="16" fontId="8" fillId="0" borderId="74" xfId="0" quotePrefix="1" applyNumberFormat="1" applyFont="1" applyBorder="1" applyAlignment="1" applyProtection="1">
      <alignment vertical="top"/>
      <protection hidden="1"/>
    </xf>
    <xf numFmtId="16" fontId="4" fillId="7" borderId="1" xfId="0" quotePrefix="1" applyNumberFormat="1" applyFont="1" applyFill="1" applyBorder="1" applyAlignment="1" applyProtection="1">
      <alignment horizontal="left" vertical="top"/>
      <protection hidden="1"/>
    </xf>
    <xf numFmtId="16" fontId="0" fillId="0" borderId="11" xfId="0" quotePrefix="1" applyNumberFormat="1" applyBorder="1" applyAlignment="1" applyProtection="1">
      <alignment horizontal="left" vertical="top" wrapText="1"/>
      <protection hidden="1"/>
    </xf>
    <xf numFmtId="2" fontId="0" fillId="5" borderId="1" xfId="0" applyNumberFormat="1" applyFill="1" applyBorder="1" applyAlignment="1" applyProtection="1">
      <alignment horizontal="center" vertical="top"/>
      <protection locked="0" hidden="1"/>
    </xf>
    <xf numFmtId="166" fontId="0" fillId="0" borderId="12" xfId="0" applyNumberFormat="1" applyBorder="1" applyAlignment="1" applyProtection="1">
      <alignment vertical="center"/>
      <protection hidden="1"/>
    </xf>
    <xf numFmtId="0" fontId="0" fillId="0" borderId="20" xfId="0" applyBorder="1" applyAlignment="1" applyProtection="1">
      <alignment horizontal="left" vertical="top"/>
      <protection hidden="1"/>
    </xf>
    <xf numFmtId="0" fontId="0" fillId="0" borderId="29" xfId="0" applyBorder="1" applyAlignment="1" applyProtection="1">
      <alignment horizontal="left" vertical="top"/>
      <protection hidden="1"/>
    </xf>
    <xf numFmtId="0" fontId="0" fillId="0" borderId="29" xfId="0" applyBorder="1" applyAlignment="1" applyProtection="1">
      <alignment horizontal="left" vertical="top" wrapText="1"/>
      <protection hidden="1"/>
    </xf>
    <xf numFmtId="4" fontId="28" fillId="0" borderId="10" xfId="0" applyNumberFormat="1" applyFont="1" applyBorder="1" applyAlignment="1" applyProtection="1">
      <alignment horizontal="center" vertical="center"/>
      <protection hidden="1"/>
    </xf>
    <xf numFmtId="4" fontId="40" fillId="3" borderId="9" xfId="0" applyNumberFormat="1" applyFont="1" applyFill="1" applyBorder="1" applyAlignment="1" applyProtection="1">
      <alignment horizontal="center" vertical="center"/>
      <protection hidden="1"/>
    </xf>
    <xf numFmtId="49" fontId="4" fillId="0" borderId="0" xfId="0" quotePrefix="1" applyNumberFormat="1" applyFont="1" applyAlignment="1" applyProtection="1">
      <alignment horizontal="left" vertical="top"/>
      <protection hidden="1"/>
    </xf>
    <xf numFmtId="0" fontId="0" fillId="0" borderId="0" xfId="0" applyAlignment="1" applyProtection="1">
      <alignment horizontal="left" vertical="top" wrapText="1"/>
      <protection hidden="1"/>
    </xf>
    <xf numFmtId="49" fontId="8" fillId="0" borderId="48" xfId="0" quotePrefix="1" applyNumberFormat="1" applyFont="1" applyBorder="1" applyAlignment="1" applyProtection="1">
      <alignment horizontal="left" vertical="top"/>
      <protection hidden="1"/>
    </xf>
    <xf numFmtId="0" fontId="6" fillId="0" borderId="3" xfId="0" applyFont="1" applyBorder="1" applyAlignment="1" applyProtection="1">
      <alignment vertical="top" wrapText="1"/>
      <protection hidden="1"/>
    </xf>
    <xf numFmtId="0" fontId="8" fillId="4" borderId="1" xfId="0" applyFont="1" applyFill="1" applyBorder="1" applyAlignment="1" applyProtection="1">
      <alignment vertical="top" wrapText="1"/>
      <protection hidden="1"/>
    </xf>
    <xf numFmtId="0" fontId="33" fillId="0" borderId="0" xfId="0" quotePrefix="1" applyFont="1" applyAlignment="1" applyProtection="1">
      <alignment vertical="top"/>
      <protection locked="0" hidden="1"/>
    </xf>
    <xf numFmtId="0" fontId="8" fillId="0" borderId="24" xfId="0" applyFont="1" applyBorder="1" applyAlignment="1" applyProtection="1">
      <alignment vertical="top"/>
      <protection hidden="1"/>
    </xf>
    <xf numFmtId="3" fontId="6" fillId="4" borderId="1" xfId="0" applyNumberFormat="1" applyFont="1" applyFill="1" applyBorder="1" applyAlignment="1" applyProtection="1">
      <alignment horizontal="center" vertical="top"/>
      <protection locked="0"/>
    </xf>
    <xf numFmtId="0" fontId="0" fillId="0" borderId="11" xfId="0" applyBorder="1" applyAlignment="1" applyProtection="1">
      <alignment vertical="top" wrapText="1"/>
      <protection hidden="1"/>
    </xf>
    <xf numFmtId="0" fontId="0" fillId="0" borderId="0" xfId="0" applyAlignment="1" applyProtection="1">
      <alignment vertical="top" wrapText="1"/>
      <protection hidden="1"/>
    </xf>
    <xf numFmtId="2" fontId="0" fillId="0" borderId="0" xfId="0" quotePrefix="1" applyNumberFormat="1" applyAlignment="1" applyProtection="1">
      <alignment vertical="top"/>
      <protection locked="0" hidden="1"/>
    </xf>
    <xf numFmtId="0" fontId="6" fillId="0" borderId="29" xfId="0" applyFont="1" applyBorder="1" applyAlignment="1" applyProtection="1">
      <alignment vertical="top"/>
      <protection hidden="1"/>
    </xf>
    <xf numFmtId="166" fontId="21" fillId="0" borderId="1" xfId="0" quotePrefix="1" applyNumberFormat="1" applyFont="1" applyBorder="1" applyAlignment="1" applyProtection="1">
      <alignment vertical="top"/>
      <protection hidden="1"/>
    </xf>
    <xf numFmtId="4" fontId="6" fillId="3" borderId="9" xfId="0" applyNumberFormat="1" applyFont="1" applyFill="1" applyBorder="1" applyAlignment="1" applyProtection="1">
      <alignment horizontal="center" vertical="center"/>
      <protection hidden="1"/>
    </xf>
    <xf numFmtId="0" fontId="4" fillId="0" borderId="3" xfId="0" applyFont="1" applyBorder="1" applyAlignment="1" applyProtection="1">
      <alignment vertical="center"/>
      <protection hidden="1"/>
    </xf>
    <xf numFmtId="0" fontId="6" fillId="0" borderId="29" xfId="0" applyFont="1" applyBorder="1" applyAlignment="1" applyProtection="1">
      <alignment vertical="top" wrapText="1"/>
      <protection hidden="1"/>
    </xf>
    <xf numFmtId="4" fontId="6" fillId="0" borderId="30" xfId="0" applyNumberFormat="1" applyFont="1" applyBorder="1" applyAlignment="1" applyProtection="1">
      <alignment horizontal="center" vertical="center"/>
      <protection hidden="1"/>
    </xf>
    <xf numFmtId="16" fontId="8" fillId="7" borderId="1" xfId="0" quotePrefix="1" applyNumberFormat="1" applyFont="1" applyFill="1" applyBorder="1" applyAlignment="1" applyProtection="1">
      <alignment vertical="top"/>
      <protection hidden="1"/>
    </xf>
    <xf numFmtId="16" fontId="0" fillId="0" borderId="27" xfId="0" quotePrefix="1" applyNumberFormat="1" applyBorder="1" applyAlignment="1" applyProtection="1">
      <alignment vertical="top"/>
      <protection hidden="1"/>
    </xf>
    <xf numFmtId="16" fontId="0" fillId="0" borderId="28" xfId="0" quotePrefix="1" applyNumberFormat="1" applyBorder="1" applyAlignment="1" applyProtection="1">
      <alignment vertical="top"/>
      <protection hidden="1"/>
    </xf>
    <xf numFmtId="16" fontId="8" fillId="0" borderId="28" xfId="0" quotePrefix="1" applyNumberFormat="1" applyFont="1" applyBorder="1" applyAlignment="1" applyProtection="1">
      <alignment vertical="top"/>
      <protection hidden="1"/>
    </xf>
    <xf numFmtId="16" fontId="29" fillId="0" borderId="28" xfId="0" quotePrefix="1" applyNumberFormat="1" applyFont="1" applyBorder="1" applyAlignment="1" applyProtection="1">
      <alignment vertical="top"/>
      <protection hidden="1"/>
    </xf>
    <xf numFmtId="16" fontId="8" fillId="0" borderId="30" xfId="0" quotePrefix="1" applyNumberFormat="1" applyFont="1" applyBorder="1" applyAlignment="1" applyProtection="1">
      <alignment vertical="top"/>
      <protection hidden="1"/>
    </xf>
    <xf numFmtId="16" fontId="8" fillId="0" borderId="12" xfId="0" quotePrefix="1" applyNumberFormat="1" applyFont="1" applyBorder="1" applyAlignment="1" applyProtection="1">
      <alignment vertical="top"/>
      <protection hidden="1"/>
    </xf>
    <xf numFmtId="16" fontId="4" fillId="4" borderId="1" xfId="0" quotePrefix="1" applyNumberFormat="1" applyFont="1" applyFill="1" applyBorder="1" applyAlignment="1" applyProtection="1">
      <alignment vertical="top"/>
      <protection hidden="1"/>
    </xf>
    <xf numFmtId="16" fontId="0" fillId="0" borderId="24" xfId="0" quotePrefix="1" applyNumberFormat="1" applyBorder="1" applyAlignment="1" applyProtection="1">
      <alignment vertical="top"/>
      <protection hidden="1"/>
    </xf>
    <xf numFmtId="16" fontId="0" fillId="0" borderId="25" xfId="0" quotePrefix="1" applyNumberFormat="1" applyBorder="1" applyAlignment="1" applyProtection="1">
      <alignment vertical="top"/>
      <protection hidden="1"/>
    </xf>
    <xf numFmtId="16" fontId="4" fillId="0" borderId="25" xfId="0" quotePrefix="1" applyNumberFormat="1" applyFont="1" applyBorder="1" applyAlignment="1" applyProtection="1">
      <alignment vertical="top"/>
      <protection hidden="1"/>
    </xf>
    <xf numFmtId="16" fontId="4" fillId="0" borderId="26" xfId="0" quotePrefix="1" applyNumberFormat="1" applyFont="1" applyBorder="1" applyAlignment="1" applyProtection="1">
      <alignment horizontal="right" vertical="top"/>
      <protection hidden="1"/>
    </xf>
    <xf numFmtId="0" fontId="19" fillId="0" borderId="0" xfId="0" applyFont="1" applyProtection="1">
      <protection locked="0" hidden="1"/>
    </xf>
    <xf numFmtId="16" fontId="0" fillId="0" borderId="39" xfId="0" quotePrefix="1" applyNumberFormat="1" applyBorder="1" applyAlignment="1" applyProtection="1">
      <alignment vertical="top"/>
      <protection hidden="1"/>
    </xf>
    <xf numFmtId="16" fontId="4" fillId="0" borderId="39" xfId="0" quotePrefix="1" applyNumberFormat="1" applyFont="1" applyBorder="1" applyAlignment="1" applyProtection="1">
      <alignment vertical="top"/>
      <protection hidden="1"/>
    </xf>
    <xf numFmtId="16" fontId="4" fillId="0" borderId="39" xfId="0" quotePrefix="1" applyNumberFormat="1" applyFont="1" applyBorder="1" applyAlignment="1" applyProtection="1">
      <alignment horizontal="right" vertical="top"/>
      <protection hidden="1"/>
    </xf>
    <xf numFmtId="169" fontId="0" fillId="0" borderId="9" xfId="0" applyNumberFormat="1" applyBorder="1" applyAlignment="1" applyProtection="1">
      <alignment horizontal="center" vertical="top"/>
      <protection hidden="1"/>
    </xf>
    <xf numFmtId="0" fontId="0" fillId="0" borderId="39" xfId="0" applyBorder="1" applyAlignment="1" applyProtection="1">
      <alignment vertical="top"/>
      <protection hidden="1"/>
    </xf>
    <xf numFmtId="0" fontId="0" fillId="0" borderId="25" xfId="0" applyBorder="1" applyAlignment="1" applyProtection="1">
      <alignment horizontal="left" vertical="center"/>
      <protection hidden="1"/>
    </xf>
    <xf numFmtId="0" fontId="4" fillId="0" borderId="26" xfId="0" applyFont="1" applyBorder="1" applyAlignment="1" applyProtection="1">
      <alignment horizontal="left" vertical="center"/>
      <protection hidden="1"/>
    </xf>
    <xf numFmtId="0" fontId="0" fillId="0" borderId="39" xfId="0" applyBorder="1" applyAlignment="1" applyProtection="1">
      <alignment horizontal="left" vertical="center"/>
      <protection hidden="1"/>
    </xf>
    <xf numFmtId="16" fontId="0" fillId="0" borderId="0" xfId="0" quotePrefix="1" applyNumberFormat="1" applyAlignment="1" applyProtection="1">
      <alignment vertical="top"/>
      <protection hidden="1"/>
    </xf>
    <xf numFmtId="169" fontId="0" fillId="0" borderId="3" xfId="0" applyNumberFormat="1" applyBorder="1" applyAlignment="1" applyProtection="1">
      <alignment horizontal="center" vertical="top"/>
      <protection locked="0"/>
    </xf>
    <xf numFmtId="0" fontId="0" fillId="0" borderId="25" xfId="0" applyBorder="1" applyAlignment="1" applyProtection="1">
      <alignment vertical="center"/>
      <protection hidden="1"/>
    </xf>
    <xf numFmtId="0" fontId="0" fillId="0" borderId="25" xfId="0" applyBorder="1" applyAlignment="1" applyProtection="1">
      <alignment horizontal="center" vertical="center"/>
      <protection hidden="1"/>
    </xf>
    <xf numFmtId="0" fontId="0" fillId="0" borderId="26" xfId="0" applyBorder="1" applyAlignment="1" applyProtection="1">
      <alignment vertical="center"/>
      <protection hidden="1"/>
    </xf>
    <xf numFmtId="10" fontId="0" fillId="0" borderId="0" xfId="0" applyNumberFormat="1" applyAlignment="1" applyProtection="1">
      <alignment horizontal="center" vertical="top"/>
      <protection locked="0"/>
    </xf>
    <xf numFmtId="166" fontId="6" fillId="0" borderId="10" xfId="0" applyNumberFormat="1" applyFont="1" applyBorder="1" applyAlignment="1" applyProtection="1">
      <alignment horizontal="right" vertical="center"/>
      <protection locked="0"/>
    </xf>
    <xf numFmtId="0" fontId="14" fillId="0" borderId="0" xfId="0" applyFont="1" applyAlignment="1" applyProtection="1">
      <alignment vertical="center"/>
      <protection locked="0" hidden="1"/>
    </xf>
    <xf numFmtId="49" fontId="8" fillId="0" borderId="1" xfId="0" quotePrefix="1" applyNumberFormat="1" applyFont="1" applyBorder="1" applyAlignment="1" applyProtection="1">
      <alignment horizontal="left" vertical="top"/>
      <protection hidden="1"/>
    </xf>
    <xf numFmtId="49" fontId="4" fillId="0" borderId="1" xfId="0" quotePrefix="1" applyNumberFormat="1" applyFont="1" applyBorder="1" applyAlignment="1" applyProtection="1">
      <alignment horizontal="left" vertical="top"/>
      <protection hidden="1"/>
    </xf>
    <xf numFmtId="16" fontId="0" fillId="0" borderId="8" xfId="0" quotePrefix="1" applyNumberFormat="1" applyBorder="1" applyAlignment="1" applyProtection="1">
      <alignment vertical="top"/>
      <protection hidden="1"/>
    </xf>
    <xf numFmtId="16" fontId="0" fillId="0" borderId="9" xfId="0" quotePrefix="1" applyNumberFormat="1" applyBorder="1" applyAlignment="1" applyProtection="1">
      <alignment vertical="top"/>
      <protection hidden="1"/>
    </xf>
    <xf numFmtId="166" fontId="0" fillId="0" borderId="14" xfId="0" applyNumberFormat="1" applyBorder="1" applyAlignment="1" applyProtection="1">
      <alignment vertical="center"/>
      <protection hidden="1"/>
    </xf>
    <xf numFmtId="0" fontId="18" fillId="0" borderId="0" xfId="0" applyFont="1" applyAlignment="1" applyProtection="1">
      <alignment vertical="top" wrapText="1"/>
      <protection locked="0" hidden="1"/>
    </xf>
    <xf numFmtId="49" fontId="0" fillId="0" borderId="3" xfId="0" applyNumberFormat="1" applyBorder="1" applyAlignment="1" applyProtection="1">
      <alignment vertical="top"/>
      <protection hidden="1"/>
    </xf>
    <xf numFmtId="0" fontId="14" fillId="0" borderId="3" xfId="0" applyFont="1" applyBorder="1" applyAlignment="1" applyProtection="1">
      <alignment vertical="top"/>
      <protection hidden="1"/>
    </xf>
    <xf numFmtId="0" fontId="0" fillId="0" borderId="75" xfId="0" applyBorder="1" applyAlignment="1" applyProtection="1">
      <alignment vertical="top"/>
      <protection hidden="1"/>
    </xf>
    <xf numFmtId="49" fontId="8" fillId="8" borderId="45" xfId="0" quotePrefix="1" applyNumberFormat="1" applyFont="1" applyFill="1" applyBorder="1" applyAlignment="1" applyProtection="1">
      <alignment horizontal="left" vertical="center"/>
      <protection hidden="1"/>
    </xf>
    <xf numFmtId="16" fontId="40" fillId="8" borderId="49" xfId="0" quotePrefix="1" applyNumberFormat="1" applyFont="1" applyFill="1" applyBorder="1" applyAlignment="1" applyProtection="1">
      <alignment vertical="center"/>
      <protection hidden="1"/>
    </xf>
    <xf numFmtId="16" fontId="40" fillId="8" borderId="0" xfId="0" quotePrefix="1" applyNumberFormat="1" applyFont="1" applyFill="1" applyAlignment="1" applyProtection="1">
      <alignment vertical="center"/>
      <protection hidden="1"/>
    </xf>
    <xf numFmtId="0" fontId="0" fillId="8" borderId="40" xfId="0" quotePrefix="1" applyFill="1" applyBorder="1" applyAlignment="1" applyProtection="1">
      <alignment horizontal="right" vertical="center"/>
      <protection hidden="1"/>
    </xf>
    <xf numFmtId="16" fontId="6" fillId="0" borderId="23" xfId="0" quotePrefix="1" applyNumberFormat="1" applyFont="1" applyBorder="1" applyAlignment="1" applyProtection="1">
      <alignment vertical="top"/>
      <protection hidden="1"/>
    </xf>
    <xf numFmtId="0" fontId="59" fillId="7" borderId="8" xfId="0" applyFont="1" applyFill="1" applyBorder="1" applyAlignment="1" applyProtection="1">
      <alignment vertical="top"/>
      <protection hidden="1"/>
    </xf>
    <xf numFmtId="0" fontId="0" fillId="0" borderId="26" xfId="0" applyBorder="1" applyAlignment="1" applyProtection="1">
      <alignment horizontal="center" vertical="top"/>
      <protection hidden="1"/>
    </xf>
    <xf numFmtId="4" fontId="0" fillId="5" borderId="1" xfId="0" applyNumberFormat="1" applyFill="1" applyBorder="1" applyAlignment="1" applyProtection="1">
      <alignment horizontal="right" vertical="top"/>
      <protection locked="0"/>
    </xf>
    <xf numFmtId="0" fontId="0" fillId="7" borderId="8" xfId="0" applyFill="1" applyBorder="1" applyAlignment="1" applyProtection="1">
      <alignment vertical="top"/>
      <protection hidden="1"/>
    </xf>
    <xf numFmtId="4" fontId="0" fillId="5" borderId="15" xfId="0" applyNumberFormat="1" applyFill="1" applyBorder="1" applyAlignment="1" applyProtection="1">
      <alignment horizontal="right" vertical="top"/>
      <protection locked="0"/>
    </xf>
    <xf numFmtId="0" fontId="0" fillId="0" borderId="30" xfId="0" applyBorder="1" applyAlignment="1" applyProtection="1">
      <alignment horizontal="center" vertical="top"/>
      <protection hidden="1"/>
    </xf>
    <xf numFmtId="0" fontId="6" fillId="0" borderId="5" xfId="0" applyFont="1" applyBorder="1" applyAlignment="1" applyProtection="1">
      <alignment vertical="top"/>
      <protection hidden="1"/>
    </xf>
    <xf numFmtId="0" fontId="6" fillId="0" borderId="6" xfId="0" applyFont="1" applyBorder="1" applyAlignment="1" applyProtection="1">
      <alignment vertical="top"/>
      <protection hidden="1"/>
    </xf>
    <xf numFmtId="0" fontId="6" fillId="0" borderId="13" xfId="0" applyFont="1" applyBorder="1" applyAlignment="1" applyProtection="1">
      <alignment vertical="top"/>
      <protection hidden="1"/>
    </xf>
    <xf numFmtId="4" fontId="6" fillId="0" borderId="73" xfId="0" applyNumberFormat="1" applyFont="1" applyBorder="1" applyAlignment="1" applyProtection="1">
      <alignment vertical="top"/>
      <protection hidden="1"/>
    </xf>
    <xf numFmtId="0" fontId="48" fillId="0" borderId="64" xfId="0" applyFont="1" applyBorder="1" applyAlignment="1" applyProtection="1">
      <alignment vertical="top"/>
      <protection locked="0" hidden="1"/>
    </xf>
    <xf numFmtId="0" fontId="60" fillId="0" borderId="28" xfId="0" applyFont="1" applyBorder="1" applyAlignment="1" applyProtection="1">
      <alignment vertical="center"/>
      <protection locked="0" hidden="1"/>
    </xf>
    <xf numFmtId="0" fontId="0" fillId="0" borderId="28" xfId="0" applyBorder="1" applyAlignment="1" applyProtection="1">
      <alignment vertical="top"/>
      <protection hidden="1"/>
    </xf>
    <xf numFmtId="0" fontId="0" fillId="0" borderId="49" xfId="0" applyBorder="1" applyAlignment="1" applyProtection="1">
      <alignment vertical="top"/>
      <protection hidden="1"/>
    </xf>
    <xf numFmtId="0" fontId="0" fillId="0" borderId="8" xfId="0" applyBorder="1" applyAlignment="1" applyProtection="1">
      <alignment vertical="top"/>
      <protection hidden="1"/>
    </xf>
    <xf numFmtId="165" fontId="0" fillId="0" borderId="10" xfId="0" quotePrefix="1" applyNumberFormat="1" applyBorder="1" applyAlignment="1" applyProtection="1">
      <alignment horizontal="right" vertical="top"/>
      <protection hidden="1"/>
    </xf>
    <xf numFmtId="0" fontId="18" fillId="0" borderId="49" xfId="0" applyFont="1" applyBorder="1" applyAlignment="1" applyProtection="1">
      <alignment vertical="center"/>
      <protection locked="0" hidden="1"/>
    </xf>
    <xf numFmtId="4" fontId="0" fillId="0" borderId="49" xfId="0" applyNumberFormat="1" applyBorder="1" applyAlignment="1" applyProtection="1">
      <alignment vertical="top"/>
      <protection hidden="1"/>
    </xf>
    <xf numFmtId="0" fontId="0" fillId="0" borderId="22" xfId="0" applyBorder="1" applyAlignment="1" applyProtection="1">
      <alignment horizontal="right" vertical="top"/>
      <protection hidden="1"/>
    </xf>
    <xf numFmtId="0" fontId="0" fillId="0" borderId="23" xfId="0" applyBorder="1" applyAlignment="1" applyProtection="1">
      <alignment vertical="top"/>
      <protection hidden="1"/>
    </xf>
    <xf numFmtId="0" fontId="18" fillId="0" borderId="19" xfId="0" applyFont="1" applyBorder="1" applyAlignment="1" applyProtection="1">
      <alignment horizontal="right" vertical="center"/>
      <protection hidden="1"/>
    </xf>
    <xf numFmtId="0" fontId="18" fillId="0" borderId="7" xfId="0" applyFont="1" applyBorder="1" applyAlignment="1" applyProtection="1">
      <alignment horizontal="right" vertical="center"/>
      <protection hidden="1"/>
    </xf>
    <xf numFmtId="49" fontId="0" fillId="0" borderId="15" xfId="0" applyNumberFormat="1" applyBorder="1" applyAlignment="1" applyProtection="1">
      <alignment vertical="top"/>
      <protection hidden="1"/>
    </xf>
    <xf numFmtId="0" fontId="0" fillId="5" borderId="1" xfId="0" applyFill="1" applyBorder="1" applyAlignment="1" applyProtection="1">
      <alignment vertical="top"/>
      <protection hidden="1"/>
    </xf>
    <xf numFmtId="0" fontId="0" fillId="0" borderId="30" xfId="0" applyBorder="1" applyAlignment="1" applyProtection="1">
      <alignment vertical="top"/>
      <protection hidden="1"/>
    </xf>
    <xf numFmtId="0" fontId="0" fillId="0" borderId="22" xfId="0" applyBorder="1" applyAlignment="1" applyProtection="1">
      <alignment vertical="top"/>
      <protection hidden="1"/>
    </xf>
    <xf numFmtId="0" fontId="18" fillId="0" borderId="69" xfId="0" applyFont="1" applyBorder="1" applyAlignment="1" applyProtection="1">
      <alignment vertical="center"/>
      <protection locked="0" hidden="1"/>
    </xf>
    <xf numFmtId="0" fontId="0" fillId="0" borderId="39" xfId="0" applyBorder="1" applyAlignment="1" applyProtection="1">
      <alignment vertical="top"/>
      <protection locked="0" hidden="1"/>
    </xf>
    <xf numFmtId="4" fontId="0" fillId="0" borderId="39" xfId="0" applyNumberFormat="1" applyBorder="1" applyAlignment="1" applyProtection="1">
      <alignment vertical="top"/>
      <protection hidden="1"/>
    </xf>
    <xf numFmtId="166" fontId="0" fillId="0" borderId="39" xfId="0" applyNumberFormat="1" applyBorder="1" applyAlignment="1" applyProtection="1">
      <alignment vertical="top"/>
      <protection hidden="1"/>
    </xf>
    <xf numFmtId="49" fontId="61" fillId="4" borderId="1" xfId="0" quotePrefix="1" applyNumberFormat="1" applyFont="1" applyFill="1" applyBorder="1" applyAlignment="1" applyProtection="1">
      <alignment vertical="center"/>
      <protection hidden="1"/>
    </xf>
    <xf numFmtId="16" fontId="28" fillId="0" borderId="9" xfId="0" quotePrefix="1" applyNumberFormat="1" applyFont="1" applyBorder="1" applyAlignment="1" applyProtection="1">
      <alignment vertical="center"/>
      <protection hidden="1"/>
    </xf>
    <xf numFmtId="16" fontId="28" fillId="0" borderId="10" xfId="0" quotePrefix="1" applyNumberFormat="1" applyFont="1" applyBorder="1" applyAlignment="1" applyProtection="1">
      <alignment vertical="center"/>
      <protection hidden="1"/>
    </xf>
    <xf numFmtId="49" fontId="0" fillId="0" borderId="14" xfId="0" applyNumberFormat="1" applyBorder="1" applyAlignment="1" applyProtection="1">
      <alignment vertical="top"/>
      <protection hidden="1"/>
    </xf>
    <xf numFmtId="0" fontId="0" fillId="0" borderId="29" xfId="0" applyBorder="1" applyAlignment="1" applyProtection="1">
      <alignment horizontal="center" vertical="top"/>
      <protection hidden="1"/>
    </xf>
    <xf numFmtId="4" fontId="55" fillId="0" borderId="1" xfId="0" applyNumberFormat="1" applyFont="1" applyBorder="1" applyAlignment="1" applyProtection="1">
      <alignment vertical="top"/>
      <protection locked="0"/>
    </xf>
    <xf numFmtId="0" fontId="0" fillId="0" borderId="27" xfId="0" applyBorder="1" applyAlignment="1" applyProtection="1">
      <alignment vertical="top"/>
      <protection hidden="1"/>
    </xf>
    <xf numFmtId="16" fontId="0" fillId="0" borderId="28" xfId="0" quotePrefix="1" applyNumberFormat="1" applyBorder="1" applyAlignment="1" applyProtection="1">
      <alignment horizontal="left" vertical="top"/>
      <protection hidden="1"/>
    </xf>
    <xf numFmtId="16" fontId="0" fillId="0" borderId="28" xfId="0" quotePrefix="1" applyNumberFormat="1" applyBorder="1" applyAlignment="1" applyProtection="1">
      <alignment horizontal="left" vertical="top" wrapText="1"/>
      <protection hidden="1"/>
    </xf>
    <xf numFmtId="16" fontId="0" fillId="0" borderId="21" xfId="0" quotePrefix="1" applyNumberFormat="1" applyBorder="1" applyAlignment="1" applyProtection="1">
      <alignment horizontal="center" vertical="top" wrapText="1"/>
      <protection hidden="1"/>
    </xf>
    <xf numFmtId="16" fontId="0" fillId="0" borderId="22" xfId="0" quotePrefix="1" applyNumberFormat="1" applyBorder="1" applyAlignment="1" applyProtection="1">
      <alignment horizontal="left" vertical="top"/>
      <protection hidden="1"/>
    </xf>
    <xf numFmtId="16" fontId="0" fillId="0" borderId="23" xfId="0" quotePrefix="1" applyNumberFormat="1" applyBorder="1" applyAlignment="1" applyProtection="1">
      <alignment horizontal="left" vertical="top"/>
      <protection hidden="1"/>
    </xf>
    <xf numFmtId="16" fontId="4" fillId="0" borderId="23" xfId="0" quotePrefix="1" applyNumberFormat="1" applyFont="1" applyBorder="1" applyAlignment="1" applyProtection="1">
      <alignment horizontal="center"/>
      <protection hidden="1"/>
    </xf>
    <xf numFmtId="0" fontId="4" fillId="0" borderId="30" xfId="0" applyFont="1" applyBorder="1" applyAlignment="1" applyProtection="1">
      <alignment horizontal="center"/>
      <protection hidden="1"/>
    </xf>
    <xf numFmtId="4" fontId="0" fillId="0" borderId="15" xfId="0" applyNumberFormat="1" applyBorder="1" applyAlignment="1" applyProtection="1">
      <alignment horizontal="right" vertical="top"/>
      <protection locked="0" hidden="1"/>
    </xf>
    <xf numFmtId="0" fontId="0" fillId="0" borderId="27" xfId="0" quotePrefix="1" applyBorder="1" applyAlignment="1">
      <alignment vertical="top"/>
    </xf>
    <xf numFmtId="4" fontId="55" fillId="0" borderId="1" xfId="0" applyNumberFormat="1" applyFont="1" applyBorder="1" applyAlignment="1" applyProtection="1">
      <alignment horizontal="right" vertical="top"/>
      <protection locked="0"/>
    </xf>
    <xf numFmtId="0" fontId="0" fillId="4" borderId="20" xfId="0" quotePrefix="1" applyFill="1" applyBorder="1" applyAlignment="1" applyProtection="1">
      <alignment vertical="top"/>
      <protection locked="0"/>
    </xf>
    <xf numFmtId="0" fontId="0" fillId="3" borderId="10" xfId="0" applyFill="1" applyBorder="1" applyAlignment="1" applyProtection="1">
      <alignment vertical="top"/>
      <protection hidden="1"/>
    </xf>
    <xf numFmtId="49" fontId="0" fillId="0" borderId="9" xfId="0" applyNumberFormat="1" applyBorder="1" applyAlignment="1" applyProtection="1">
      <alignment vertical="top"/>
      <protection hidden="1"/>
    </xf>
    <xf numFmtId="0" fontId="18" fillId="0" borderId="9" xfId="0" applyFont="1" applyBorder="1" applyAlignment="1" applyProtection="1">
      <alignment vertical="top"/>
      <protection hidden="1"/>
    </xf>
    <xf numFmtId="10" fontId="0" fillId="0" borderId="1" xfId="0" quotePrefix="1" applyNumberFormat="1" applyBorder="1" applyAlignment="1" applyProtection="1">
      <alignment horizontal="center" vertical="top"/>
      <protection hidden="1"/>
    </xf>
    <xf numFmtId="166" fontId="0" fillId="0" borderId="14" xfId="0" applyNumberFormat="1" applyBorder="1" applyAlignment="1" applyProtection="1">
      <alignment horizontal="right" vertical="top"/>
      <protection hidden="1"/>
    </xf>
    <xf numFmtId="16" fontId="28" fillId="8" borderId="40" xfId="0" quotePrefix="1" applyNumberFormat="1" applyFont="1" applyFill="1" applyBorder="1" applyAlignment="1" applyProtection="1">
      <alignment horizontal="left" vertical="center"/>
      <protection hidden="1"/>
    </xf>
    <xf numFmtId="0" fontId="6" fillId="0" borderId="11" xfId="0" applyFont="1" applyBorder="1" applyAlignment="1" applyProtection="1">
      <alignment horizontal="left" vertical="top"/>
      <protection hidden="1"/>
    </xf>
    <xf numFmtId="0" fontId="9" fillId="0" borderId="0" xfId="0" applyFont="1" applyAlignment="1" applyProtection="1">
      <alignment horizontal="left" vertical="top"/>
      <protection hidden="1"/>
    </xf>
    <xf numFmtId="0" fontId="21" fillId="0" borderId="0" xfId="0" applyFont="1" applyAlignment="1" applyProtection="1">
      <alignment horizontal="center" vertical="center"/>
      <protection hidden="1"/>
    </xf>
    <xf numFmtId="0" fontId="4" fillId="0" borderId="4" xfId="0" applyFont="1" applyBorder="1" applyAlignment="1" applyProtection="1">
      <alignment horizontal="right" vertical="center"/>
      <protection hidden="1"/>
    </xf>
    <xf numFmtId="0" fontId="6" fillId="0" borderId="38" xfId="0" applyFont="1" applyBorder="1" applyAlignment="1" applyProtection="1">
      <alignment vertical="top"/>
      <protection hidden="1"/>
    </xf>
    <xf numFmtId="0" fontId="6" fillId="0" borderId="39" xfId="0" applyFont="1" applyBorder="1" applyAlignment="1" applyProtection="1">
      <alignment vertical="top"/>
      <protection hidden="1"/>
    </xf>
    <xf numFmtId="0" fontId="6" fillId="0" borderId="39" xfId="0" applyFont="1" applyBorder="1" applyAlignment="1" applyProtection="1">
      <alignment horizontal="left" vertical="top"/>
      <protection hidden="1"/>
    </xf>
    <xf numFmtId="0" fontId="4" fillId="0" borderId="51" xfId="0" applyFont="1" applyBorder="1" applyAlignment="1" applyProtection="1">
      <alignment horizontal="right" vertical="center"/>
      <protection hidden="1"/>
    </xf>
    <xf numFmtId="2" fontId="0" fillId="0" borderId="0" xfId="0" applyNumberFormat="1" applyAlignment="1" applyProtection="1">
      <alignment horizontal="center" vertical="top"/>
      <protection locked="0"/>
    </xf>
    <xf numFmtId="49" fontId="4" fillId="0" borderId="73" xfId="0" applyNumberFormat="1" applyFont="1" applyBorder="1" applyAlignment="1" applyProtection="1">
      <alignment horizontal="right" vertical="top"/>
      <protection hidden="1"/>
    </xf>
    <xf numFmtId="0" fontId="0" fillId="0" borderId="21" xfId="0" applyBorder="1" applyAlignment="1" applyProtection="1">
      <alignment horizontal="left" vertical="top"/>
      <protection hidden="1"/>
    </xf>
    <xf numFmtId="49" fontId="4" fillId="0" borderId="74" xfId="0" applyNumberFormat="1" applyFont="1" applyBorder="1" applyAlignment="1" applyProtection="1">
      <alignment horizontal="right" vertical="top"/>
      <protection hidden="1"/>
    </xf>
    <xf numFmtId="0" fontId="0" fillId="0" borderId="38" xfId="0" applyBorder="1" applyAlignment="1" applyProtection="1">
      <alignment horizontal="left" vertical="top"/>
      <protection hidden="1"/>
    </xf>
    <xf numFmtId="0" fontId="0" fillId="0" borderId="39" xfId="0" applyBorder="1" applyAlignment="1" applyProtection="1">
      <alignment horizontal="left" vertical="top"/>
      <protection hidden="1"/>
    </xf>
    <xf numFmtId="0" fontId="0" fillId="0" borderId="51" xfId="0" applyBorder="1" applyAlignment="1" applyProtection="1">
      <alignment horizontal="left" vertical="top"/>
      <protection hidden="1"/>
    </xf>
    <xf numFmtId="10" fontId="21" fillId="0" borderId="30" xfId="0" applyNumberFormat="1" applyFont="1" applyBorder="1" applyAlignment="1" applyProtection="1">
      <alignment horizontal="center" vertical="top"/>
      <protection hidden="1"/>
    </xf>
    <xf numFmtId="4" fontId="0" fillId="0" borderId="0" xfId="0" quotePrefix="1" applyNumberFormat="1" applyAlignment="1" applyProtection="1">
      <alignment vertical="top"/>
      <protection locked="0" hidden="1"/>
    </xf>
    <xf numFmtId="0" fontId="0" fillId="0" borderId="39" xfId="0" applyBorder="1" applyAlignment="1" applyProtection="1">
      <alignment vertical="top" wrapText="1"/>
      <protection hidden="1"/>
    </xf>
    <xf numFmtId="4" fontId="6" fillId="0" borderId="74" xfId="0" applyNumberFormat="1" applyFont="1" applyBorder="1" applyAlignment="1" applyProtection="1">
      <alignment vertical="top"/>
      <protection locked="0"/>
    </xf>
    <xf numFmtId="0" fontId="4" fillId="0" borderId="39" xfId="0" applyFont="1" applyBorder="1" applyAlignment="1" applyProtection="1">
      <alignment vertical="top"/>
      <protection hidden="1"/>
    </xf>
    <xf numFmtId="0" fontId="4" fillId="0" borderId="74" xfId="0" applyFont="1" applyBorder="1" applyAlignment="1" applyProtection="1">
      <alignment vertical="top"/>
      <protection hidden="1"/>
    </xf>
    <xf numFmtId="0" fontId="0" fillId="3" borderId="5" xfId="0" applyFill="1" applyBorder="1" applyAlignment="1" applyProtection="1">
      <alignment vertical="top"/>
      <protection hidden="1"/>
    </xf>
    <xf numFmtId="0" fontId="6" fillId="3" borderId="6" xfId="0" applyFont="1" applyFill="1" applyBorder="1" applyAlignment="1" applyProtection="1">
      <alignment vertical="top"/>
      <protection hidden="1"/>
    </xf>
    <xf numFmtId="0" fontId="6" fillId="3" borderId="6" xfId="0" applyFont="1" applyFill="1" applyBorder="1" applyAlignment="1" applyProtection="1">
      <alignment vertical="top" wrapText="1"/>
      <protection hidden="1"/>
    </xf>
    <xf numFmtId="0" fontId="4" fillId="0" borderId="38" xfId="0" applyFont="1" applyBorder="1" applyAlignment="1" applyProtection="1">
      <alignment vertical="top"/>
      <protection hidden="1"/>
    </xf>
    <xf numFmtId="0" fontId="0" fillId="3" borderId="27" xfId="0" applyFill="1" applyBorder="1" applyAlignment="1" applyProtection="1">
      <alignment vertical="top"/>
      <protection hidden="1"/>
    </xf>
    <xf numFmtId="0" fontId="6" fillId="3" borderId="28" xfId="0" applyFont="1" applyFill="1" applyBorder="1" applyAlignment="1" applyProtection="1">
      <alignment vertical="top"/>
      <protection hidden="1"/>
    </xf>
    <xf numFmtId="0" fontId="0" fillId="3" borderId="28" xfId="0" applyFill="1" applyBorder="1" applyAlignment="1" applyProtection="1">
      <alignment vertical="top"/>
      <protection hidden="1"/>
    </xf>
    <xf numFmtId="0" fontId="6" fillId="3" borderId="28" xfId="0" applyFont="1" applyFill="1" applyBorder="1" applyAlignment="1" applyProtection="1">
      <alignment vertical="top" wrapText="1"/>
      <protection hidden="1"/>
    </xf>
    <xf numFmtId="4" fontId="4" fillId="3" borderId="6" xfId="0" applyNumberFormat="1" applyFont="1" applyFill="1" applyBorder="1" applyAlignment="1" applyProtection="1">
      <alignment horizontal="center" vertical="center"/>
      <protection hidden="1"/>
    </xf>
    <xf numFmtId="166" fontId="0" fillId="0" borderId="22" xfId="0" applyNumberFormat="1" applyBorder="1" applyAlignment="1" applyProtection="1">
      <alignment vertical="top"/>
      <protection hidden="1"/>
    </xf>
    <xf numFmtId="166" fontId="0" fillId="0" borderId="48" xfId="0" applyNumberFormat="1" applyBorder="1" applyAlignment="1" applyProtection="1">
      <alignment vertical="top"/>
      <protection hidden="1"/>
    </xf>
    <xf numFmtId="166" fontId="0" fillId="0" borderId="20" xfId="0" applyNumberFormat="1" applyBorder="1" applyAlignment="1" applyProtection="1">
      <alignment vertical="top"/>
      <protection hidden="1"/>
    </xf>
    <xf numFmtId="166" fontId="0" fillId="0" borderId="47" xfId="0" applyNumberFormat="1" applyBorder="1" applyAlignment="1" applyProtection="1">
      <alignment vertical="top"/>
      <protection hidden="1"/>
    </xf>
    <xf numFmtId="4" fontId="4" fillId="3" borderId="28" xfId="0" applyNumberFormat="1" applyFont="1" applyFill="1" applyBorder="1" applyAlignment="1" applyProtection="1">
      <alignment horizontal="center" vertical="center"/>
      <protection hidden="1"/>
    </xf>
    <xf numFmtId="166" fontId="6" fillId="3" borderId="48" xfId="0" applyNumberFormat="1" applyFont="1" applyFill="1" applyBorder="1" applyAlignment="1" applyProtection="1">
      <alignment vertical="center"/>
      <protection hidden="1"/>
    </xf>
    <xf numFmtId="166" fontId="6" fillId="3" borderId="47" xfId="0" applyNumberFormat="1" applyFont="1" applyFill="1" applyBorder="1" applyAlignment="1" applyProtection="1">
      <alignment vertical="center"/>
      <protection hidden="1"/>
    </xf>
    <xf numFmtId="4" fontId="0" fillId="0" borderId="7" xfId="0" applyNumberFormat="1" applyBorder="1" applyAlignment="1" applyProtection="1">
      <alignment horizontal="center" vertical="center"/>
      <protection hidden="1"/>
    </xf>
    <xf numFmtId="0" fontId="6" fillId="3" borderId="3" xfId="0" applyFont="1" applyFill="1" applyBorder="1" applyAlignment="1" applyProtection="1">
      <alignment horizontal="left" vertical="top"/>
      <protection hidden="1"/>
    </xf>
    <xf numFmtId="0" fontId="0" fillId="3" borderId="3" xfId="0" applyFill="1" applyBorder="1" applyAlignment="1" applyProtection="1">
      <alignment horizontal="left" vertical="top" wrapText="1"/>
      <protection hidden="1"/>
    </xf>
    <xf numFmtId="4" fontId="0" fillId="3" borderId="3" xfId="0" applyNumberFormat="1" applyFill="1" applyBorder="1" applyAlignment="1" applyProtection="1">
      <alignment horizontal="center" vertical="center"/>
      <protection hidden="1"/>
    </xf>
    <xf numFmtId="0" fontId="0" fillId="3" borderId="2" xfId="0" applyFill="1" applyBorder="1" applyAlignment="1" applyProtection="1">
      <alignment horizontal="left" vertical="top"/>
      <protection hidden="1"/>
    </xf>
    <xf numFmtId="0" fontId="0" fillId="3" borderId="6" xfId="0" applyFill="1" applyBorder="1" applyAlignment="1" applyProtection="1">
      <alignment horizontal="left" vertical="top"/>
      <protection hidden="1"/>
    </xf>
    <xf numFmtId="0" fontId="6" fillId="3" borderId="6" xfId="0" applyFont="1" applyFill="1" applyBorder="1" applyAlignment="1" applyProtection="1">
      <alignment horizontal="left" vertical="top"/>
      <protection hidden="1"/>
    </xf>
    <xf numFmtId="0" fontId="0" fillId="3" borderId="6" xfId="0" applyFill="1" applyBorder="1" applyAlignment="1" applyProtection="1">
      <alignment horizontal="left" vertical="top" wrapText="1"/>
      <protection hidden="1"/>
    </xf>
    <xf numFmtId="4" fontId="0" fillId="3" borderId="6" xfId="0" applyNumberFormat="1" applyFill="1" applyBorder="1" applyAlignment="1" applyProtection="1">
      <alignment horizontal="center" vertical="center"/>
      <protection hidden="1"/>
    </xf>
    <xf numFmtId="4" fontId="28" fillId="0" borderId="4" xfId="0" applyNumberFormat="1" applyFont="1" applyBorder="1" applyAlignment="1" applyProtection="1">
      <alignment horizontal="center" vertical="center"/>
      <protection hidden="1"/>
    </xf>
    <xf numFmtId="0" fontId="37" fillId="0" borderId="0" xfId="0" applyFont="1"/>
    <xf numFmtId="0" fontId="5" fillId="0" borderId="23" xfId="0" applyFont="1" applyBorder="1" applyAlignment="1" applyProtection="1">
      <alignment vertical="center" wrapText="1"/>
      <protection hidden="1"/>
    </xf>
    <xf numFmtId="0" fontId="6" fillId="0" borderId="29" xfId="0" applyFont="1" applyBorder="1" applyAlignment="1" applyProtection="1">
      <alignment vertical="center"/>
      <protection hidden="1"/>
    </xf>
    <xf numFmtId="0" fontId="5" fillId="0" borderId="29" xfId="0" applyFont="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0" fillId="0" borderId="23" xfId="0" applyBorder="1" applyAlignment="1" applyProtection="1">
      <alignment horizontal="left" vertical="top"/>
      <protection hidden="1"/>
    </xf>
    <xf numFmtId="0" fontId="0" fillId="0" borderId="3" xfId="0" applyBorder="1" applyAlignment="1" applyProtection="1">
      <alignment horizontal="left" vertical="top"/>
      <protection hidden="1"/>
    </xf>
    <xf numFmtId="0" fontId="6" fillId="0" borderId="4" xfId="0" applyFont="1" applyBorder="1" applyAlignment="1" applyProtection="1">
      <alignment horizontal="left" vertical="center" wrapText="1"/>
      <protection hidden="1"/>
    </xf>
    <xf numFmtId="16" fontId="40" fillId="14" borderId="0" xfId="0" quotePrefix="1" applyNumberFormat="1" applyFont="1" applyFill="1" applyAlignment="1" applyProtection="1">
      <alignment horizontal="left" vertical="center"/>
      <protection hidden="1"/>
    </xf>
    <xf numFmtId="16" fontId="8" fillId="14" borderId="0" xfId="0" quotePrefix="1" applyNumberFormat="1" applyFont="1" applyFill="1" applyAlignment="1" applyProtection="1">
      <alignment horizontal="left" vertical="center"/>
      <protection hidden="1"/>
    </xf>
    <xf numFmtId="10" fontId="4" fillId="0" borderId="1" xfId="0" applyNumberFormat="1" applyFont="1" applyBorder="1" applyAlignment="1" applyProtection="1">
      <alignment horizontal="center" vertical="top"/>
      <protection locked="0"/>
    </xf>
    <xf numFmtId="0" fontId="4" fillId="0" borderId="1" xfId="0" applyFont="1" applyBorder="1" applyAlignment="1" applyProtection="1">
      <alignment vertical="top"/>
      <protection locked="0"/>
    </xf>
    <xf numFmtId="0" fontId="4" fillId="0" borderId="1" xfId="0" applyFont="1" applyBorder="1" applyAlignment="1" applyProtection="1">
      <alignment horizontal="center" vertical="top"/>
      <protection locked="0"/>
    </xf>
    <xf numFmtId="16" fontId="40" fillId="0" borderId="6" xfId="0" quotePrefix="1" applyNumberFormat="1" applyFont="1" applyBorder="1" applyAlignment="1" applyProtection="1">
      <alignment horizontal="left" vertical="center"/>
      <protection hidden="1"/>
    </xf>
    <xf numFmtId="16" fontId="8" fillId="0" borderId="6" xfId="0" quotePrefix="1" applyNumberFormat="1" applyFont="1" applyBorder="1" applyAlignment="1" applyProtection="1">
      <alignment horizontal="left" vertical="center"/>
      <protection hidden="1"/>
    </xf>
    <xf numFmtId="10" fontId="4" fillId="0" borderId="0" xfId="0" applyNumberFormat="1" applyFont="1" applyAlignment="1" applyProtection="1">
      <alignment horizontal="center" vertical="top"/>
      <protection locked="0"/>
    </xf>
    <xf numFmtId="0" fontId="4" fillId="0" borderId="0" xfId="0" applyFont="1" applyAlignment="1" applyProtection="1">
      <alignment horizontal="center" vertical="top"/>
      <protection locked="0"/>
    </xf>
    <xf numFmtId="168" fontId="31" fillId="3" borderId="4" xfId="0" applyNumberFormat="1" applyFont="1" applyFill="1" applyBorder="1" applyAlignment="1" applyProtection="1">
      <alignment horizontal="left" vertical="center" wrapText="1"/>
      <protection hidden="1"/>
    </xf>
    <xf numFmtId="0" fontId="6" fillId="3" borderId="2" xfId="0" applyFont="1" applyFill="1" applyBorder="1" applyAlignment="1" applyProtection="1">
      <alignment vertical="top"/>
      <protection hidden="1"/>
    </xf>
    <xf numFmtId="0" fontId="6" fillId="3" borderId="3" xfId="0" applyFont="1" applyFill="1" applyBorder="1" applyAlignment="1" applyProtection="1">
      <alignment horizontal="right" vertical="top"/>
      <protection hidden="1"/>
    </xf>
    <xf numFmtId="168" fontId="31" fillId="3" borderId="7" xfId="0" applyNumberFormat="1" applyFont="1" applyFill="1" applyBorder="1" applyAlignment="1" applyProtection="1">
      <alignment vertical="center" wrapText="1"/>
      <protection hidden="1"/>
    </xf>
    <xf numFmtId="0" fontId="8" fillId="0" borderId="15" xfId="0" applyFont="1" applyBorder="1" applyAlignment="1" applyProtection="1">
      <alignment horizontal="center" vertical="top" wrapText="1"/>
      <protection hidden="1"/>
    </xf>
    <xf numFmtId="0" fontId="8" fillId="0" borderId="11" xfId="0" applyFont="1" applyBorder="1" applyAlignment="1" applyProtection="1">
      <alignment horizontal="center" vertical="top" wrapText="1"/>
      <protection hidden="1"/>
    </xf>
    <xf numFmtId="0" fontId="0" fillId="0" borderId="12" xfId="0" applyBorder="1" applyAlignment="1" applyProtection="1">
      <alignment vertical="top" wrapText="1"/>
      <protection hidden="1"/>
    </xf>
    <xf numFmtId="0" fontId="8" fillId="0" borderId="12" xfId="0" applyFont="1" applyBorder="1" applyAlignment="1" applyProtection="1">
      <alignment horizontal="center" vertical="top" wrapText="1"/>
      <protection hidden="1"/>
    </xf>
    <xf numFmtId="0" fontId="0" fillId="0" borderId="5" xfId="0" applyBorder="1" applyAlignment="1" applyProtection="1">
      <alignment vertical="top" wrapText="1"/>
      <protection hidden="1"/>
    </xf>
    <xf numFmtId="0" fontId="8" fillId="0" borderId="5" xfId="0" applyFont="1" applyBorder="1" applyAlignment="1" applyProtection="1">
      <alignment vertical="center" wrapText="1"/>
      <protection hidden="1"/>
    </xf>
    <xf numFmtId="166" fontId="8" fillId="0" borderId="1" xfId="0" applyNumberFormat="1" applyFont="1" applyBorder="1" applyAlignment="1" applyProtection="1">
      <alignment horizontal="center" vertical="top" wrapText="1"/>
      <protection hidden="1"/>
    </xf>
    <xf numFmtId="0" fontId="8" fillId="0" borderId="48" xfId="0" applyFont="1" applyBorder="1" applyAlignment="1" applyProtection="1">
      <alignment vertical="top"/>
      <protection hidden="1"/>
    </xf>
    <xf numFmtId="0" fontId="4" fillId="0" borderId="48" xfId="0" applyFont="1" applyBorder="1" applyAlignment="1" applyProtection="1">
      <alignment vertical="top"/>
      <protection hidden="1"/>
    </xf>
    <xf numFmtId="166" fontId="0" fillId="0" borderId="48" xfId="0" applyNumberFormat="1" applyBorder="1" applyAlignment="1" applyProtection="1">
      <alignment horizontal="right" vertical="top"/>
      <protection hidden="1"/>
    </xf>
    <xf numFmtId="167" fontId="0" fillId="0" borderId="48" xfId="0" applyNumberFormat="1" applyBorder="1" applyAlignment="1" applyProtection="1">
      <alignment horizontal="right" vertical="top"/>
      <protection hidden="1"/>
    </xf>
    <xf numFmtId="166" fontId="0" fillId="0" borderId="48" xfId="0" quotePrefix="1" applyNumberFormat="1" applyBorder="1" applyAlignment="1" applyProtection="1">
      <alignment horizontal="right" vertical="top"/>
      <protection hidden="1"/>
    </xf>
    <xf numFmtId="166" fontId="6" fillId="0" borderId="48" xfId="0" applyNumberFormat="1" applyFont="1" applyBorder="1" applyAlignment="1" applyProtection="1">
      <alignment horizontal="right" vertical="top"/>
      <protection hidden="1"/>
    </xf>
    <xf numFmtId="0" fontId="8" fillId="0" borderId="31" xfId="0" applyFont="1" applyBorder="1" applyAlignment="1" applyProtection="1">
      <alignment vertical="top"/>
      <protection hidden="1"/>
    </xf>
    <xf numFmtId="0" fontId="4" fillId="0" borderId="31" xfId="0" applyFont="1" applyBorder="1" applyAlignment="1" applyProtection="1">
      <alignment vertical="top"/>
      <protection hidden="1"/>
    </xf>
    <xf numFmtId="166" fontId="0" fillId="0" borderId="31" xfId="0" applyNumberFormat="1" applyBorder="1" applyAlignment="1" applyProtection="1">
      <alignment horizontal="right" vertical="top"/>
      <protection hidden="1"/>
    </xf>
    <xf numFmtId="167" fontId="0" fillId="0" borderId="31" xfId="0" applyNumberFormat="1" applyBorder="1" applyAlignment="1" applyProtection="1">
      <alignment horizontal="right" vertical="top"/>
      <protection hidden="1"/>
    </xf>
    <xf numFmtId="166" fontId="0" fillId="0" borderId="31" xfId="0" quotePrefix="1" applyNumberFormat="1" applyBorder="1" applyAlignment="1" applyProtection="1">
      <alignment horizontal="right" vertical="top"/>
      <protection hidden="1"/>
    </xf>
    <xf numFmtId="166" fontId="6" fillId="0" borderId="31" xfId="0" applyNumberFormat="1" applyFont="1" applyBorder="1" applyAlignment="1" applyProtection="1">
      <alignment horizontal="right" vertical="top"/>
      <protection hidden="1"/>
    </xf>
    <xf numFmtId="0" fontId="8" fillId="0" borderId="47" xfId="0" applyFont="1" applyBorder="1" applyAlignment="1" applyProtection="1">
      <alignment vertical="top"/>
      <protection hidden="1"/>
    </xf>
    <xf numFmtId="0" fontId="4" fillId="0" borderId="47" xfId="0" applyFont="1" applyBorder="1" applyAlignment="1" applyProtection="1">
      <alignment vertical="top"/>
      <protection hidden="1"/>
    </xf>
    <xf numFmtId="166" fontId="0" fillId="0" borderId="47" xfId="0" applyNumberFormat="1" applyBorder="1" applyAlignment="1" applyProtection="1">
      <alignment horizontal="right" vertical="top"/>
      <protection hidden="1"/>
    </xf>
    <xf numFmtId="167" fontId="0" fillId="0" borderId="47" xfId="0" applyNumberFormat="1" applyBorder="1" applyAlignment="1" applyProtection="1">
      <alignment horizontal="right" vertical="top"/>
      <protection hidden="1"/>
    </xf>
    <xf numFmtId="166" fontId="0" fillId="0" borderId="47" xfId="0" quotePrefix="1" applyNumberFormat="1" applyBorder="1" applyAlignment="1" applyProtection="1">
      <alignment horizontal="right" vertical="top"/>
      <protection hidden="1"/>
    </xf>
    <xf numFmtId="166" fontId="6" fillId="0" borderId="47" xfId="0" applyNumberFormat="1" applyFont="1" applyBorder="1" applyAlignment="1" applyProtection="1">
      <alignment horizontal="right" vertical="top"/>
      <protection hidden="1"/>
    </xf>
    <xf numFmtId="0" fontId="12" fillId="0" borderId="0" xfId="2" applyFont="1" applyProtection="1">
      <protection hidden="1"/>
    </xf>
    <xf numFmtId="4" fontId="0" fillId="0" borderId="0" xfId="2" applyNumberFormat="1" applyFont="1" applyAlignment="1" applyProtection="1">
      <alignment vertical="top"/>
      <protection hidden="1"/>
    </xf>
    <xf numFmtId="0" fontId="8" fillId="8" borderId="45" xfId="0" applyFont="1" applyFill="1" applyBorder="1" applyAlignment="1" applyProtection="1">
      <alignment vertical="center"/>
      <protection hidden="1"/>
    </xf>
    <xf numFmtId="2" fontId="6" fillId="8" borderId="54" xfId="0" applyNumberFormat="1" applyFont="1" applyFill="1" applyBorder="1" applyAlignment="1" applyProtection="1">
      <alignment vertical="center"/>
      <protection hidden="1"/>
    </xf>
    <xf numFmtId="167" fontId="6" fillId="8" borderId="54" xfId="0" applyNumberFormat="1" applyFont="1" applyFill="1" applyBorder="1" applyAlignment="1" applyProtection="1">
      <alignment horizontal="right" vertical="center"/>
      <protection hidden="1"/>
    </xf>
    <xf numFmtId="166" fontId="6" fillId="8" borderId="54" xfId="0" applyNumberFormat="1" applyFont="1" applyFill="1" applyBorder="1" applyAlignment="1" applyProtection="1">
      <alignment horizontal="right" vertical="center"/>
      <protection hidden="1"/>
    </xf>
    <xf numFmtId="166" fontId="0" fillId="8" borderId="54" xfId="0" applyNumberFormat="1" applyFill="1" applyBorder="1" applyAlignment="1" applyProtection="1">
      <alignment horizontal="right" vertical="center"/>
      <protection hidden="1"/>
    </xf>
    <xf numFmtId="166" fontId="0" fillId="8" borderId="76" xfId="0" applyNumberFormat="1" applyFill="1" applyBorder="1" applyAlignment="1" applyProtection="1">
      <alignment horizontal="right" vertical="center"/>
      <protection hidden="1"/>
    </xf>
    <xf numFmtId="166" fontId="6" fillId="8" borderId="16" xfId="0" applyNumberFormat="1" applyFont="1" applyFill="1" applyBorder="1" applyAlignment="1" applyProtection="1">
      <alignment horizontal="right" vertical="center"/>
      <protection hidden="1"/>
    </xf>
    <xf numFmtId="16" fontId="4" fillId="0" borderId="31" xfId="0" applyNumberFormat="1" applyFont="1" applyBorder="1" applyAlignment="1" applyProtection="1">
      <alignment vertical="top"/>
      <protection hidden="1"/>
    </xf>
    <xf numFmtId="168" fontId="31" fillId="3" borderId="13" xfId="0" applyNumberFormat="1" applyFont="1" applyFill="1" applyBorder="1" applyAlignment="1" applyProtection="1">
      <alignment vertical="center" wrapText="1"/>
      <protection hidden="1"/>
    </xf>
    <xf numFmtId="166" fontId="21" fillId="3" borderId="7" xfId="0" applyNumberFormat="1" applyFont="1" applyFill="1" applyBorder="1" applyAlignment="1" applyProtection="1">
      <alignment horizontal="right" vertical="center"/>
      <protection hidden="1"/>
    </xf>
    <xf numFmtId="0" fontId="0" fillId="0" borderId="0" xfId="0" applyAlignment="1" applyProtection="1">
      <alignment vertical="top"/>
      <protection locked="0"/>
    </xf>
    <xf numFmtId="0" fontId="39" fillId="0" borderId="0" xfId="0" applyFont="1" applyAlignment="1" applyProtection="1">
      <alignment vertical="top"/>
      <protection locked="0" hidden="1"/>
    </xf>
    <xf numFmtId="16" fontId="40" fillId="8" borderId="0" xfId="0" quotePrefix="1" applyNumberFormat="1" applyFont="1" applyFill="1" applyAlignment="1" applyProtection="1">
      <alignment horizontal="left" vertical="center"/>
      <protection hidden="1"/>
    </xf>
    <xf numFmtId="0" fontId="40" fillId="0" borderId="9" xfId="0" applyFont="1" applyBorder="1"/>
    <xf numFmtId="0" fontId="40" fillId="0" borderId="10" xfId="0" applyFont="1" applyBorder="1"/>
    <xf numFmtId="0" fontId="8" fillId="3" borderId="9" xfId="0" applyFont="1" applyFill="1" applyBorder="1" applyAlignment="1" applyProtection="1">
      <alignment vertical="top" wrapText="1"/>
      <protection hidden="1"/>
    </xf>
    <xf numFmtId="0" fontId="8" fillId="3" borderId="11" xfId="0" applyFont="1" applyFill="1" applyBorder="1" applyAlignment="1" applyProtection="1">
      <alignment vertical="center" wrapText="1"/>
      <protection hidden="1"/>
    </xf>
    <xf numFmtId="0" fontId="4" fillId="3" borderId="0" xfId="0" applyFont="1" applyFill="1" applyAlignment="1" applyProtection="1">
      <alignment vertical="top"/>
      <protection hidden="1"/>
    </xf>
    <xf numFmtId="0" fontId="8" fillId="3" borderId="13" xfId="0" applyFont="1" applyFill="1" applyBorder="1" applyAlignment="1" applyProtection="1">
      <alignment horizontal="center" vertical="top" wrapText="1"/>
      <protection hidden="1"/>
    </xf>
    <xf numFmtId="16" fontId="8" fillId="3" borderId="4" xfId="0" applyNumberFormat="1" applyFont="1" applyFill="1" applyBorder="1" applyAlignment="1" applyProtection="1">
      <alignment horizontal="center" vertical="top" wrapText="1"/>
      <protection hidden="1"/>
    </xf>
    <xf numFmtId="0" fontId="8" fillId="3" borderId="1" xfId="0" applyFont="1" applyFill="1" applyBorder="1" applyAlignment="1" applyProtection="1">
      <alignment vertical="top" wrapText="1"/>
      <protection hidden="1"/>
    </xf>
    <xf numFmtId="0" fontId="8" fillId="3" borderId="1" xfId="0" applyFont="1" applyFill="1" applyBorder="1" applyAlignment="1" applyProtection="1">
      <alignment horizontal="center" vertical="top" wrapText="1"/>
      <protection hidden="1"/>
    </xf>
    <xf numFmtId="0" fontId="8" fillId="3" borderId="5" xfId="0" applyFont="1" applyFill="1" applyBorder="1" applyAlignment="1" applyProtection="1">
      <alignment vertical="center" wrapText="1"/>
      <protection hidden="1"/>
    </xf>
    <xf numFmtId="0" fontId="4" fillId="3" borderId="6" xfId="0" applyFont="1" applyFill="1" applyBorder="1" applyAlignment="1" applyProtection="1">
      <alignment vertical="top"/>
      <protection hidden="1"/>
    </xf>
    <xf numFmtId="0" fontId="8" fillId="3" borderId="7" xfId="0" applyFont="1" applyFill="1" applyBorder="1" applyAlignment="1" applyProtection="1">
      <alignment horizontal="center" vertical="top" wrapText="1"/>
      <protection hidden="1"/>
    </xf>
    <xf numFmtId="0" fontId="8" fillId="3" borderId="10" xfId="0" applyFont="1" applyFill="1" applyBorder="1" applyAlignment="1" applyProtection="1">
      <alignment horizontal="center" vertical="top" wrapText="1"/>
      <protection hidden="1"/>
    </xf>
    <xf numFmtId="0" fontId="8" fillId="0" borderId="48" xfId="0" applyFont="1" applyBorder="1" applyAlignment="1" applyProtection="1">
      <alignment vertical="center"/>
      <protection hidden="1"/>
    </xf>
    <xf numFmtId="0" fontId="4" fillId="0" borderId="22" xfId="0" applyFont="1" applyBorder="1" applyAlignment="1" applyProtection="1">
      <alignment vertical="center"/>
      <protection hidden="1"/>
    </xf>
    <xf numFmtId="2" fontId="0" fillId="0" borderId="19" xfId="0" applyNumberFormat="1" applyBorder="1" applyAlignment="1" applyProtection="1">
      <alignment horizontal="center" vertical="center"/>
      <protection hidden="1"/>
    </xf>
    <xf numFmtId="166" fontId="6" fillId="0" borderId="19" xfId="0" applyNumberFormat="1" applyFont="1" applyBorder="1" applyAlignment="1" applyProtection="1">
      <alignment horizontal="right" vertical="center"/>
      <protection hidden="1"/>
    </xf>
    <xf numFmtId="166" fontId="0" fillId="4" borderId="48" xfId="0" applyNumberFormat="1" applyFill="1" applyBorder="1" applyAlignment="1" applyProtection="1">
      <alignment horizontal="right" vertical="center"/>
      <protection hidden="1"/>
    </xf>
    <xf numFmtId="166" fontId="0" fillId="0" borderId="48" xfId="0" applyNumberFormat="1" applyBorder="1" applyAlignment="1" applyProtection="1">
      <alignment horizontal="right" vertical="center"/>
      <protection hidden="1"/>
    </xf>
    <xf numFmtId="167" fontId="0" fillId="4" borderId="48" xfId="0" applyNumberFormat="1" applyFill="1" applyBorder="1" applyAlignment="1" applyProtection="1">
      <alignment horizontal="center" vertical="center"/>
      <protection locked="0"/>
    </xf>
    <xf numFmtId="166" fontId="6" fillId="0" borderId="48" xfId="0" applyNumberFormat="1" applyFont="1" applyBorder="1" applyAlignment="1" applyProtection="1">
      <alignment horizontal="right" vertical="center"/>
      <protection hidden="1"/>
    </xf>
    <xf numFmtId="0" fontId="8" fillId="0" borderId="31" xfId="0" applyFont="1" applyBorder="1" applyAlignment="1" applyProtection="1">
      <alignment vertical="center"/>
      <protection hidden="1"/>
    </xf>
    <xf numFmtId="0" fontId="4" fillId="0" borderId="24" xfId="0" applyFont="1" applyBorder="1" applyAlignment="1" applyProtection="1">
      <alignment vertical="center"/>
      <protection hidden="1"/>
    </xf>
    <xf numFmtId="2" fontId="0" fillId="0" borderId="26" xfId="0" applyNumberFormat="1" applyBorder="1" applyAlignment="1" applyProtection="1">
      <alignment horizontal="center" vertical="center"/>
      <protection hidden="1"/>
    </xf>
    <xf numFmtId="166" fontId="6" fillId="0" borderId="26" xfId="0" applyNumberFormat="1" applyFont="1" applyBorder="1" applyAlignment="1" applyProtection="1">
      <alignment horizontal="right" vertical="center"/>
      <protection hidden="1"/>
    </xf>
    <xf numFmtId="166" fontId="0" fillId="4" borderId="31" xfId="0" applyNumberFormat="1" applyFill="1" applyBorder="1" applyAlignment="1" applyProtection="1">
      <alignment horizontal="right" vertical="center"/>
      <protection hidden="1"/>
    </xf>
    <xf numFmtId="166" fontId="0" fillId="0" borderId="31" xfId="0" applyNumberFormat="1" applyBorder="1" applyAlignment="1" applyProtection="1">
      <alignment horizontal="right" vertical="center"/>
      <protection hidden="1"/>
    </xf>
    <xf numFmtId="167" fontId="0" fillId="4" borderId="31" xfId="0" applyNumberFormat="1" applyFill="1" applyBorder="1" applyAlignment="1" applyProtection="1">
      <alignment horizontal="center" vertical="center"/>
      <protection locked="0"/>
    </xf>
    <xf numFmtId="166" fontId="6" fillId="0" borderId="31" xfId="0" applyNumberFormat="1" applyFont="1" applyBorder="1" applyAlignment="1" applyProtection="1">
      <alignment horizontal="right" vertical="center"/>
      <protection hidden="1"/>
    </xf>
    <xf numFmtId="0" fontId="0" fillId="0" borderId="0" xfId="0" quotePrefix="1" applyAlignment="1" applyProtection="1">
      <alignment vertical="top"/>
      <protection hidden="1"/>
    </xf>
    <xf numFmtId="0" fontId="8" fillId="0" borderId="47" xfId="0" applyFont="1" applyBorder="1" applyAlignment="1" applyProtection="1">
      <alignment vertical="center"/>
      <protection hidden="1"/>
    </xf>
    <xf numFmtId="0" fontId="4" fillId="0" borderId="20" xfId="0" applyFont="1" applyBorder="1" applyAlignment="1" applyProtection="1">
      <alignment vertical="center"/>
      <protection hidden="1"/>
    </xf>
    <xf numFmtId="2" fontId="0" fillId="0" borderId="30" xfId="0" applyNumberFormat="1" applyBorder="1" applyAlignment="1" applyProtection="1">
      <alignment horizontal="center" vertical="center"/>
      <protection hidden="1"/>
    </xf>
    <xf numFmtId="166" fontId="6" fillId="0" borderId="30" xfId="0" applyNumberFormat="1" applyFont="1" applyBorder="1" applyAlignment="1" applyProtection="1">
      <alignment horizontal="right" vertical="center"/>
      <protection hidden="1"/>
    </xf>
    <xf numFmtId="166" fontId="0" fillId="4" borderId="47" xfId="0" applyNumberFormat="1" applyFill="1" applyBorder="1" applyAlignment="1" applyProtection="1">
      <alignment horizontal="right" vertical="center"/>
      <protection hidden="1"/>
    </xf>
    <xf numFmtId="166" fontId="0" fillId="0" borderId="47" xfId="0" applyNumberFormat="1" applyBorder="1" applyAlignment="1" applyProtection="1">
      <alignment horizontal="right" vertical="center"/>
      <protection hidden="1"/>
    </xf>
    <xf numFmtId="167" fontId="0" fillId="4" borderId="47" xfId="0" applyNumberFormat="1" applyFill="1" applyBorder="1" applyAlignment="1" applyProtection="1">
      <alignment horizontal="center" vertical="center"/>
      <protection locked="0"/>
    </xf>
    <xf numFmtId="166" fontId="6" fillId="0" borderId="47" xfId="0" applyNumberFormat="1" applyFont="1" applyBorder="1" applyAlignment="1" applyProtection="1">
      <alignment horizontal="right" vertical="center"/>
      <protection hidden="1"/>
    </xf>
    <xf numFmtId="0" fontId="6" fillId="3" borderId="0" xfId="0" applyFont="1" applyFill="1" applyAlignment="1" applyProtection="1">
      <alignment vertical="center"/>
      <protection hidden="1"/>
    </xf>
    <xf numFmtId="0" fontId="8" fillId="3" borderId="0" xfId="0" applyFont="1" applyFill="1" applyAlignment="1" applyProtection="1">
      <alignment vertical="center"/>
      <protection hidden="1"/>
    </xf>
    <xf numFmtId="2" fontId="6" fillId="3" borderId="40" xfId="0" applyNumberFormat="1" applyFont="1" applyFill="1" applyBorder="1" applyAlignment="1" applyProtection="1">
      <alignment horizontal="center" vertical="center"/>
      <protection hidden="1"/>
    </xf>
    <xf numFmtId="166" fontId="40" fillId="3" borderId="16" xfId="0" applyNumberFormat="1" applyFont="1" applyFill="1" applyBorder="1" applyAlignment="1" applyProtection="1">
      <alignment horizontal="right" vertical="center"/>
      <protection hidden="1"/>
    </xf>
    <xf numFmtId="166" fontId="0" fillId="3" borderId="77" xfId="0" applyNumberFormat="1" applyFill="1" applyBorder="1" applyAlignment="1" applyProtection="1">
      <alignment horizontal="right" vertical="center"/>
      <protection hidden="1"/>
    </xf>
    <xf numFmtId="166" fontId="0" fillId="3" borderId="54" xfId="0" applyNumberFormat="1" applyFill="1" applyBorder="1" applyAlignment="1" applyProtection="1">
      <alignment horizontal="right" vertical="center"/>
      <protection hidden="1"/>
    </xf>
    <xf numFmtId="166" fontId="0" fillId="3" borderId="54" xfId="0" applyNumberFormat="1" applyFill="1" applyBorder="1" applyAlignment="1" applyProtection="1">
      <alignment horizontal="center" vertical="center"/>
      <protection hidden="1"/>
    </xf>
    <xf numFmtId="166" fontId="6" fillId="3" borderId="49" xfId="0" applyNumberFormat="1" applyFont="1" applyFill="1" applyBorder="1" applyAlignment="1" applyProtection="1">
      <alignment horizontal="right" vertical="center"/>
      <protection hidden="1"/>
    </xf>
    <xf numFmtId="0" fontId="8" fillId="3" borderId="8" xfId="0" applyFont="1" applyFill="1" applyBorder="1" applyAlignment="1" applyProtection="1">
      <alignment vertical="top"/>
      <protection hidden="1"/>
    </xf>
    <xf numFmtId="0" fontId="8" fillId="3" borderId="9" xfId="0" applyFont="1" applyFill="1" applyBorder="1" applyAlignment="1" applyProtection="1">
      <alignment horizontal="center" vertical="top" wrapText="1"/>
      <protection hidden="1"/>
    </xf>
    <xf numFmtId="0" fontId="4" fillId="0" borderId="48" xfId="0" applyFont="1" applyBorder="1" applyAlignment="1">
      <alignment horizontal="left" vertical="center"/>
    </xf>
    <xf numFmtId="166" fontId="0" fillId="4" borderId="48" xfId="0" applyNumberFormat="1" applyFill="1" applyBorder="1" applyAlignment="1" applyProtection="1">
      <alignment horizontal="right" vertical="center"/>
      <protection locked="0"/>
    </xf>
    <xf numFmtId="0" fontId="4" fillId="0" borderId="31" xfId="0" applyFont="1" applyBorder="1" applyAlignment="1">
      <alignment horizontal="left" vertical="center"/>
    </xf>
    <xf numFmtId="166" fontId="0" fillId="4" borderId="31" xfId="0" applyNumberFormat="1" applyFill="1" applyBorder="1" applyAlignment="1" applyProtection="1">
      <alignment horizontal="right" vertical="center"/>
      <protection locked="0"/>
    </xf>
    <xf numFmtId="0" fontId="4" fillId="0" borderId="47" xfId="0" applyFont="1" applyBorder="1" applyAlignment="1">
      <alignment horizontal="left" vertical="center"/>
    </xf>
    <xf numFmtId="166" fontId="0" fillId="4" borderId="47" xfId="0" applyNumberFormat="1" applyFill="1" applyBorder="1" applyAlignment="1" applyProtection="1">
      <alignment horizontal="right" vertical="center"/>
      <protection locked="0"/>
    </xf>
    <xf numFmtId="0" fontId="0" fillId="3" borderId="0" xfId="0" applyFill="1" applyAlignment="1">
      <alignment vertical="center"/>
    </xf>
    <xf numFmtId="10" fontId="6" fillId="3" borderId="0" xfId="0" applyNumberFormat="1" applyFont="1" applyFill="1" applyAlignment="1" applyProtection="1">
      <alignment vertical="center"/>
      <protection hidden="1"/>
    </xf>
    <xf numFmtId="167" fontId="6" fillId="3" borderId="0" xfId="0" applyNumberFormat="1" applyFont="1" applyFill="1" applyAlignment="1" applyProtection="1">
      <alignment horizontal="right" vertical="center"/>
      <protection hidden="1"/>
    </xf>
    <xf numFmtId="166" fontId="0" fillId="3" borderId="40" xfId="0" applyNumberFormat="1" applyFill="1" applyBorder="1" applyAlignment="1" applyProtection="1">
      <alignment horizontal="right" vertical="center"/>
      <protection hidden="1"/>
    </xf>
    <xf numFmtId="166" fontId="0" fillId="3" borderId="77" xfId="0" applyNumberFormat="1" applyFill="1" applyBorder="1" applyAlignment="1" applyProtection="1">
      <alignment horizontal="center" vertical="center"/>
      <protection hidden="1"/>
    </xf>
    <xf numFmtId="0" fontId="0" fillId="0" borderId="6" xfId="0" applyBorder="1"/>
    <xf numFmtId="0" fontId="6" fillId="0" borderId="8" xfId="0" applyFont="1" applyBorder="1"/>
    <xf numFmtId="0" fontId="4" fillId="0" borderId="2" xfId="0" applyFont="1" applyBorder="1" applyAlignment="1">
      <alignment vertical="center"/>
    </xf>
    <xf numFmtId="0" fontId="0" fillId="0" borderId="4" xfId="0" applyBorder="1"/>
    <xf numFmtId="166" fontId="0" fillId="0" borderId="14" xfId="0" applyNumberFormat="1" applyBorder="1" applyAlignment="1">
      <alignment vertical="center"/>
    </xf>
    <xf numFmtId="0" fontId="4" fillId="0" borderId="24" xfId="0" applyFont="1" applyBorder="1" applyAlignment="1">
      <alignment vertical="center"/>
    </xf>
    <xf numFmtId="0" fontId="0" fillId="0" borderId="26" xfId="0" applyBorder="1"/>
    <xf numFmtId="167" fontId="6" fillId="4" borderId="31" xfId="0" applyNumberFormat="1" applyFont="1" applyFill="1" applyBorder="1" applyAlignment="1" applyProtection="1">
      <alignment horizontal="center" vertical="center"/>
      <protection locked="0"/>
    </xf>
    <xf numFmtId="4" fontId="0" fillId="0" borderId="31" xfId="0" applyNumberFormat="1" applyBorder="1" applyAlignment="1">
      <alignment vertical="center"/>
    </xf>
    <xf numFmtId="0" fontId="4" fillId="0" borderId="20" xfId="0" applyFont="1" applyBorder="1" applyAlignment="1">
      <alignment vertical="center"/>
    </xf>
    <xf numFmtId="0" fontId="0" fillId="0" borderId="30" xfId="0" applyBorder="1"/>
    <xf numFmtId="166" fontId="0" fillId="4" borderId="12" xfId="0" applyNumberFormat="1" applyFill="1" applyBorder="1" applyAlignment="1" applyProtection="1">
      <alignment vertical="center"/>
      <protection locked="0"/>
    </xf>
    <xf numFmtId="0" fontId="40" fillId="3" borderId="0" xfId="0" applyFont="1" applyFill="1" applyAlignment="1">
      <alignment vertical="center"/>
    </xf>
    <xf numFmtId="0" fontId="0" fillId="3" borderId="0" xfId="0" applyFill="1"/>
    <xf numFmtId="0" fontId="6" fillId="3" borderId="40" xfId="0" applyFont="1" applyFill="1" applyBorder="1" applyAlignment="1">
      <alignment vertical="center"/>
    </xf>
    <xf numFmtId="4" fontId="40" fillId="3" borderId="16" xfId="0" applyNumberFormat="1" applyFont="1" applyFill="1" applyBorder="1" applyAlignment="1">
      <alignment vertical="center"/>
    </xf>
    <xf numFmtId="1" fontId="31" fillId="3" borderId="0" xfId="0" applyNumberFormat="1" applyFont="1" applyFill="1" applyAlignment="1" applyProtection="1">
      <alignment vertical="center"/>
      <protection hidden="1"/>
    </xf>
    <xf numFmtId="0" fontId="6" fillId="3" borderId="11" xfId="0" applyFont="1" applyFill="1" applyBorder="1" applyAlignment="1" applyProtection="1">
      <alignment horizontal="left" vertical="center"/>
      <protection hidden="1"/>
    </xf>
    <xf numFmtId="0" fontId="6" fillId="3" borderId="27" xfId="0" applyFont="1" applyFill="1" applyBorder="1" applyAlignment="1" applyProtection="1">
      <alignment horizontal="left" vertical="center"/>
      <protection hidden="1"/>
    </xf>
    <xf numFmtId="0" fontId="0" fillId="3" borderId="28" xfId="0" applyFill="1" applyBorder="1" applyAlignment="1" applyProtection="1">
      <alignment horizontal="left" vertical="center" wrapText="1"/>
      <protection hidden="1"/>
    </xf>
    <xf numFmtId="170" fontId="0" fillId="4" borderId="48" xfId="0" applyNumberFormat="1" applyFill="1" applyBorder="1" applyAlignment="1" applyProtection="1">
      <alignment horizontal="center" vertical="center"/>
      <protection locked="0"/>
    </xf>
    <xf numFmtId="170" fontId="0" fillId="4" borderId="31" xfId="0" applyNumberFormat="1" applyFill="1" applyBorder="1" applyAlignment="1" applyProtection="1">
      <alignment horizontal="center" vertical="center"/>
      <protection locked="0"/>
    </xf>
    <xf numFmtId="170" fontId="0" fillId="4" borderId="47" xfId="0" applyNumberFormat="1" applyFill="1" applyBorder="1" applyAlignment="1" applyProtection="1">
      <alignment horizontal="center" vertical="center"/>
      <protection locked="0"/>
    </xf>
    <xf numFmtId="0" fontId="20" fillId="3" borderId="0" xfId="1" applyFont="1" applyFill="1" applyAlignment="1" applyProtection="1">
      <alignment horizontal="left" vertical="top" wrapText="1"/>
      <protection hidden="1"/>
    </xf>
    <xf numFmtId="0" fontId="8" fillId="9" borderId="0" xfId="2" applyFont="1" applyFill="1" applyAlignment="1" applyProtection="1">
      <alignment horizontal="left" vertical="top" wrapText="1"/>
      <protection hidden="1"/>
    </xf>
    <xf numFmtId="0" fontId="8" fillId="11" borderId="0" xfId="2" applyFont="1" applyFill="1" applyAlignment="1" applyProtection="1">
      <alignment horizontal="left" vertical="top" wrapText="1"/>
      <protection hidden="1"/>
    </xf>
    <xf numFmtId="0" fontId="8" fillId="12" borderId="0" xfId="2" applyFont="1" applyFill="1" applyAlignment="1" applyProtection="1">
      <alignment horizontal="left" vertical="top" wrapText="1"/>
      <protection hidden="1"/>
    </xf>
    <xf numFmtId="49" fontId="4" fillId="0" borderId="46" xfId="1" applyNumberFormat="1" applyFont="1" applyBorder="1" applyAlignment="1" applyProtection="1">
      <alignment horizontal="center" vertical="center"/>
      <protection hidden="1"/>
    </xf>
    <xf numFmtId="0" fontId="4" fillId="0" borderId="2" xfId="0" applyFont="1" applyBorder="1" applyAlignment="1" applyProtection="1">
      <alignment vertical="top"/>
      <protection hidden="1"/>
    </xf>
    <xf numFmtId="16" fontId="4" fillId="4" borderId="1" xfId="0" quotePrefix="1" applyNumberFormat="1" applyFont="1" applyFill="1" applyBorder="1" applyAlignment="1" applyProtection="1">
      <alignment horizontal="center" vertical="top"/>
      <protection hidden="1"/>
    </xf>
    <xf numFmtId="0" fontId="6" fillId="3" borderId="5" xfId="0" applyFont="1" applyFill="1" applyBorder="1" applyAlignment="1" applyProtection="1">
      <alignment vertical="top"/>
      <protection hidden="1"/>
    </xf>
    <xf numFmtId="0" fontId="4" fillId="4" borderId="1" xfId="0" applyFont="1" applyFill="1" applyBorder="1" applyAlignment="1" applyProtection="1">
      <alignment horizontal="left" vertical="top" wrapText="1"/>
      <protection hidden="1"/>
    </xf>
    <xf numFmtId="0" fontId="4" fillId="0" borderId="29" xfId="0" applyFont="1" applyBorder="1" applyAlignment="1" applyProtection="1">
      <alignment horizontal="left" vertical="top" wrapText="1"/>
      <protection hidden="1"/>
    </xf>
    <xf numFmtId="4" fontId="0" fillId="0" borderId="4" xfId="0" applyNumberFormat="1" applyBorder="1" applyAlignment="1" applyProtection="1">
      <alignment vertical="top"/>
      <protection hidden="1"/>
    </xf>
    <xf numFmtId="4" fontId="0" fillId="0" borderId="30" xfId="0" applyNumberFormat="1" applyBorder="1" applyAlignment="1" applyProtection="1">
      <alignment vertical="top"/>
      <protection hidden="1"/>
    </xf>
    <xf numFmtId="0" fontId="8" fillId="2" borderId="6" xfId="1" applyFont="1" applyFill="1" applyBorder="1" applyAlignment="1" applyProtection="1">
      <alignment horizontal="left" vertical="top" wrapText="1"/>
      <protection hidden="1"/>
    </xf>
    <xf numFmtId="0" fontId="6" fillId="2" borderId="6" xfId="1" applyFont="1" applyFill="1" applyBorder="1" applyAlignment="1" applyProtection="1">
      <alignment horizontal="left" vertical="top" wrapText="1"/>
      <protection hidden="1"/>
    </xf>
    <xf numFmtId="0" fontId="8" fillId="0" borderId="6" xfId="1" applyFont="1" applyBorder="1" applyAlignment="1" applyProtection="1">
      <alignment horizontal="left" vertical="top" wrapText="1"/>
      <protection hidden="1"/>
    </xf>
    <xf numFmtId="0" fontId="8" fillId="0" borderId="6" xfId="1" applyFont="1" applyBorder="1" applyAlignment="1" applyProtection="1">
      <alignment horizontal="right" vertical="top" wrapText="1"/>
      <protection hidden="1"/>
    </xf>
    <xf numFmtId="0" fontId="8" fillId="2" borderId="6" xfId="1" applyFont="1" applyFill="1" applyBorder="1" applyAlignment="1" applyProtection="1">
      <alignment horizontal="center" vertical="top" wrapText="1"/>
      <protection hidden="1"/>
    </xf>
    <xf numFmtId="4" fontId="6" fillId="15" borderId="54" xfId="0" applyNumberFormat="1" applyFont="1" applyFill="1" applyBorder="1" applyAlignment="1" applyProtection="1">
      <alignment horizontal="center" vertical="top" wrapText="1"/>
      <protection hidden="1"/>
    </xf>
    <xf numFmtId="0" fontId="6" fillId="15" borderId="54" xfId="2" applyFont="1" applyFill="1" applyBorder="1" applyAlignment="1" applyProtection="1">
      <alignment horizontal="center" vertical="top" wrapText="1"/>
      <protection hidden="1"/>
    </xf>
    <xf numFmtId="0" fontId="8" fillId="15" borderId="0" xfId="2" applyFont="1" applyFill="1" applyAlignment="1" applyProtection="1">
      <alignment horizontal="center" vertical="top" wrapText="1"/>
      <protection hidden="1"/>
    </xf>
    <xf numFmtId="0" fontId="13" fillId="15" borderId="0" xfId="0" applyFont="1" applyFill="1" applyAlignment="1" applyProtection="1">
      <alignment vertical="top"/>
      <protection hidden="1"/>
    </xf>
    <xf numFmtId="0" fontId="6" fillId="15" borderId="0" xfId="0" applyFont="1" applyFill="1" applyAlignment="1" applyProtection="1">
      <alignment vertical="center" wrapText="1"/>
      <protection hidden="1"/>
    </xf>
    <xf numFmtId="0" fontId="6" fillId="15" borderId="0" xfId="0" applyFont="1" applyFill="1" applyAlignment="1" applyProtection="1">
      <alignment vertical="top" wrapText="1"/>
      <protection hidden="1"/>
    </xf>
    <xf numFmtId="0" fontId="8" fillId="15" borderId="54" xfId="2" applyFont="1" applyFill="1" applyBorder="1" applyAlignment="1" applyProtection="1">
      <alignment horizontal="center" vertical="top" wrapText="1"/>
      <protection hidden="1"/>
    </xf>
    <xf numFmtId="4" fontId="6" fillId="16" borderId="54" xfId="0" applyNumberFormat="1" applyFont="1" applyFill="1" applyBorder="1" applyAlignment="1" applyProtection="1">
      <alignment horizontal="center" vertical="top" wrapText="1"/>
      <protection hidden="1"/>
    </xf>
    <xf numFmtId="0" fontId="6" fillId="16" borderId="54" xfId="2" applyFont="1" applyFill="1" applyBorder="1" applyAlignment="1" applyProtection="1">
      <alignment horizontal="center" vertical="top" wrapText="1"/>
      <protection hidden="1"/>
    </xf>
    <xf numFmtId="0" fontId="8" fillId="16" borderId="0" xfId="2" applyFont="1" applyFill="1" applyAlignment="1" applyProtection="1">
      <alignment horizontal="center" vertical="top" wrapText="1"/>
      <protection hidden="1"/>
    </xf>
    <xf numFmtId="0" fontId="13" fillId="16" borderId="0" xfId="0" applyFont="1" applyFill="1" applyAlignment="1" applyProtection="1">
      <alignment vertical="top"/>
      <protection hidden="1"/>
    </xf>
    <xf numFmtId="0" fontId="6" fillId="16" borderId="0" xfId="0" applyFont="1" applyFill="1" applyAlignment="1" applyProtection="1">
      <alignment vertical="center" wrapText="1"/>
      <protection hidden="1"/>
    </xf>
    <xf numFmtId="0" fontId="6" fillId="16" borderId="0" xfId="0" applyFont="1" applyFill="1" applyAlignment="1" applyProtection="1">
      <alignment vertical="top" wrapText="1"/>
      <protection hidden="1"/>
    </xf>
    <xf numFmtId="0" fontId="8" fillId="16" borderId="54" xfId="2" applyFont="1" applyFill="1" applyBorder="1" applyAlignment="1" applyProtection="1">
      <alignment horizontal="center" vertical="top" wrapText="1"/>
      <protection hidden="1"/>
    </xf>
    <xf numFmtId="0" fontId="52" fillId="0" borderId="0" xfId="0" applyFont="1" applyAlignment="1" applyProtection="1">
      <alignment vertical="top"/>
      <protection hidden="1"/>
    </xf>
    <xf numFmtId="0" fontId="37" fillId="0" borderId="0" xfId="1" applyFont="1" applyProtection="1">
      <protection hidden="1"/>
    </xf>
    <xf numFmtId="0" fontId="37" fillId="0" borderId="0" xfId="1" applyFont="1" applyAlignment="1" applyProtection="1">
      <alignment horizontal="left" vertical="top"/>
      <protection hidden="1"/>
    </xf>
    <xf numFmtId="0" fontId="37" fillId="0" borderId="0" xfId="1" applyFont="1" applyAlignment="1" applyProtection="1">
      <alignment wrapText="1"/>
      <protection hidden="1"/>
    </xf>
    <xf numFmtId="0" fontId="0" fillId="3" borderId="7" xfId="0" applyFill="1" applyBorder="1" applyAlignment="1" applyProtection="1">
      <alignment horizontal="left" vertical="center" wrapText="1"/>
      <protection hidden="1"/>
    </xf>
    <xf numFmtId="0" fontId="37" fillId="0" borderId="0" xfId="1" applyFont="1" applyAlignment="1" applyProtection="1">
      <alignment vertical="top"/>
      <protection hidden="1"/>
    </xf>
    <xf numFmtId="0" fontId="37" fillId="2" borderId="0" xfId="1" applyFont="1" applyFill="1" applyProtection="1">
      <protection hidden="1"/>
    </xf>
    <xf numFmtId="0" fontId="37" fillId="0" borderId="0" xfId="1" applyFont="1" applyAlignment="1" applyProtection="1">
      <alignment vertical="center"/>
      <protection hidden="1"/>
    </xf>
    <xf numFmtId="0" fontId="13" fillId="0" borderId="54" xfId="1" quotePrefix="1" applyFont="1" applyBorder="1" applyAlignment="1" applyProtection="1">
      <alignment vertical="top"/>
      <protection hidden="1"/>
    </xf>
    <xf numFmtId="2" fontId="6" fillId="3" borderId="78" xfId="1" applyNumberFormat="1" applyFont="1" applyFill="1" applyBorder="1" applyAlignment="1" applyProtection="1">
      <alignment horizontal="center" vertical="center" wrapText="1"/>
      <protection hidden="1"/>
    </xf>
    <xf numFmtId="2" fontId="40" fillId="8" borderId="76" xfId="2" applyNumberFormat="1" applyFont="1" applyFill="1" applyBorder="1" applyAlignment="1" applyProtection="1">
      <alignment horizontal="center" vertical="center" wrapText="1"/>
      <protection hidden="1"/>
    </xf>
    <xf numFmtId="0" fontId="0" fillId="3" borderId="39" xfId="1" applyFont="1" applyFill="1" applyBorder="1" applyAlignment="1" applyProtection="1">
      <alignment vertical="top" wrapText="1"/>
      <protection hidden="1"/>
    </xf>
    <xf numFmtId="4" fontId="0" fillId="4" borderId="60" xfId="1" applyNumberFormat="1" applyFont="1" applyFill="1" applyBorder="1" applyAlignment="1" applyProtection="1">
      <alignment horizontal="center" vertical="top"/>
      <protection locked="0"/>
    </xf>
    <xf numFmtId="4" fontId="0" fillId="5" borderId="59" xfId="1" applyNumberFormat="1" applyFont="1" applyFill="1" applyBorder="1" applyAlignment="1" applyProtection="1">
      <alignment horizontal="right" vertical="top"/>
      <protection locked="0"/>
    </xf>
    <xf numFmtId="4" fontId="0" fillId="0" borderId="68" xfId="1" applyNumberFormat="1" applyFont="1" applyBorder="1" applyAlignment="1" applyProtection="1">
      <alignment horizontal="left" vertical="top"/>
      <protection locked="0"/>
    </xf>
    <xf numFmtId="4" fontId="0" fillId="0" borderId="0" xfId="1" applyNumberFormat="1" applyFont="1" applyAlignment="1" applyProtection="1">
      <alignment horizontal="left" vertical="top"/>
      <protection hidden="1"/>
    </xf>
    <xf numFmtId="4" fontId="7" fillId="0" borderId="0" xfId="1" applyNumberFormat="1" applyFont="1" applyAlignment="1" applyProtection="1">
      <alignment horizontal="left" vertical="top" wrapText="1"/>
      <protection hidden="1"/>
    </xf>
    <xf numFmtId="4" fontId="0" fillId="0" borderId="54" xfId="1" applyNumberFormat="1" applyFont="1" applyBorder="1" applyAlignment="1" applyProtection="1">
      <alignment horizontal="left" vertical="top"/>
      <protection locked="0"/>
    </xf>
    <xf numFmtId="4" fontId="0" fillId="5" borderId="60" xfId="1" applyNumberFormat="1" applyFont="1" applyFill="1" applyBorder="1" applyAlignment="1" applyProtection="1">
      <alignment horizontal="right" vertical="top"/>
      <protection locked="0"/>
    </xf>
    <xf numFmtId="4" fontId="0" fillId="0" borderId="39" xfId="1" applyNumberFormat="1" applyFont="1" applyBorder="1" applyAlignment="1" applyProtection="1">
      <alignment horizontal="left" vertical="top"/>
      <protection hidden="1"/>
    </xf>
    <xf numFmtId="4" fontId="7" fillId="0" borderId="39" xfId="1" applyNumberFormat="1" applyFont="1" applyBorder="1" applyAlignment="1" applyProtection="1">
      <alignment horizontal="left" vertical="top" wrapText="1"/>
      <protection hidden="1"/>
    </xf>
    <xf numFmtId="0" fontId="0" fillId="3" borderId="39" xfId="1" quotePrefix="1" applyFont="1" applyFill="1" applyBorder="1" applyAlignment="1" applyProtection="1">
      <alignment horizontal="left" vertical="top" wrapText="1"/>
      <protection hidden="1"/>
    </xf>
    <xf numFmtId="4" fontId="43" fillId="16" borderId="49" xfId="0" applyNumberFormat="1" applyFont="1" applyFill="1" applyBorder="1" applyProtection="1">
      <protection hidden="1"/>
    </xf>
    <xf numFmtId="4" fontId="43" fillId="16" borderId="45" xfId="0" applyNumberFormat="1" applyFont="1" applyFill="1" applyBorder="1" applyProtection="1">
      <protection hidden="1"/>
    </xf>
    <xf numFmtId="0" fontId="43" fillId="16" borderId="49" xfId="0" applyFont="1" applyFill="1" applyBorder="1" applyAlignment="1" applyProtection="1">
      <alignment horizontal="right"/>
      <protection hidden="1"/>
    </xf>
    <xf numFmtId="0" fontId="64" fillId="0" borderId="49" xfId="1" quotePrefix="1" applyFont="1" applyBorder="1" applyAlignment="1" applyProtection="1">
      <alignment horizontal="center" vertical="top"/>
      <protection hidden="1"/>
    </xf>
    <xf numFmtId="0" fontId="24" fillId="0" borderId="39" xfId="1" quotePrefix="1" applyFont="1" applyBorder="1" applyAlignment="1" applyProtection="1">
      <alignment horizontal="center" vertical="top"/>
      <protection hidden="1"/>
    </xf>
    <xf numFmtId="4" fontId="0" fillId="0" borderId="13" xfId="0" applyNumberFormat="1" applyBorder="1" applyAlignment="1" applyProtection="1">
      <alignment horizontal="left" vertical="top"/>
      <protection hidden="1"/>
    </xf>
    <xf numFmtId="4" fontId="0" fillId="3" borderId="21" xfId="0" applyNumberFormat="1" applyFill="1" applyBorder="1" applyAlignment="1" applyProtection="1">
      <alignment horizontal="right" vertical="top"/>
      <protection hidden="1"/>
    </xf>
    <xf numFmtId="0" fontId="64" fillId="0" borderId="69" xfId="1" quotePrefix="1" applyFont="1" applyBorder="1" applyAlignment="1" applyProtection="1">
      <alignment horizontal="center" vertical="top"/>
      <protection hidden="1"/>
    </xf>
    <xf numFmtId="4" fontId="0" fillId="0" borderId="51" xfId="0" applyNumberFormat="1" applyBorder="1" applyAlignment="1" applyProtection="1">
      <alignment horizontal="left" vertical="top"/>
      <protection hidden="1"/>
    </xf>
    <xf numFmtId="0" fontId="21" fillId="4" borderId="0" xfId="1" applyFont="1" applyFill="1" applyAlignment="1" applyProtection="1">
      <alignment vertical="top" wrapText="1"/>
      <protection locked="0"/>
    </xf>
    <xf numFmtId="0" fontId="64" fillId="0" borderId="79" xfId="1" quotePrefix="1" applyFont="1" applyBorder="1" applyAlignment="1" applyProtection="1">
      <alignment horizontal="center" vertical="top"/>
      <protection hidden="1"/>
    </xf>
    <xf numFmtId="4" fontId="0" fillId="0" borderId="61" xfId="1" applyNumberFormat="1" applyFont="1" applyBorder="1" applyAlignment="1" applyProtection="1">
      <alignment horizontal="left" vertical="top"/>
      <protection locked="0"/>
    </xf>
    <xf numFmtId="0" fontId="28" fillId="4" borderId="12" xfId="1" applyFont="1" applyFill="1" applyBorder="1" applyAlignment="1" applyProtection="1">
      <alignment vertical="top"/>
      <protection hidden="1"/>
    </xf>
    <xf numFmtId="0" fontId="28" fillId="0" borderId="8" xfId="1" applyFont="1" applyBorder="1" applyAlignment="1" applyProtection="1">
      <alignment vertical="top"/>
      <protection hidden="1"/>
    </xf>
    <xf numFmtId="0" fontId="0" fillId="3" borderId="0" xfId="1" applyFont="1" applyFill="1" applyAlignment="1" applyProtection="1">
      <alignment vertical="top" wrapText="1"/>
      <protection hidden="1"/>
    </xf>
    <xf numFmtId="4" fontId="0" fillId="0" borderId="42" xfId="0" applyNumberFormat="1" applyBorder="1" applyAlignment="1" applyProtection="1">
      <alignment horizontal="right" vertical="center"/>
      <protection hidden="1"/>
    </xf>
    <xf numFmtId="0" fontId="43" fillId="16" borderId="0" xfId="0" applyFont="1" applyFill="1" applyAlignment="1" applyProtection="1">
      <alignment horizontal="right" vertical="top" wrapText="1"/>
      <protection hidden="1"/>
    </xf>
    <xf numFmtId="0" fontId="43" fillId="15" borderId="54" xfId="0" applyFont="1" applyFill="1" applyBorder="1" applyAlignment="1" applyProtection="1">
      <alignment horizontal="right"/>
      <protection hidden="1"/>
    </xf>
    <xf numFmtId="0" fontId="0" fillId="3" borderId="39" xfId="1" applyFont="1" applyFill="1" applyBorder="1" applyAlignment="1" applyProtection="1">
      <alignment horizontal="left" vertical="top" wrapText="1"/>
      <protection locked="0"/>
    </xf>
    <xf numFmtId="0" fontId="0" fillId="3" borderId="0" xfId="1" applyFont="1" applyFill="1" applyAlignment="1" applyProtection="1">
      <alignment horizontal="left" vertical="top" wrapText="1"/>
      <protection locked="0"/>
    </xf>
    <xf numFmtId="0" fontId="4" fillId="0" borderId="68" xfId="1" applyFont="1" applyBorder="1" applyAlignment="1" applyProtection="1">
      <alignment vertical="top"/>
      <protection hidden="1"/>
    </xf>
    <xf numFmtId="0" fontId="24" fillId="0" borderId="39" xfId="1" applyFont="1" applyBorder="1" applyAlignment="1" applyProtection="1">
      <alignment horizontal="left" vertical="top" wrapText="1"/>
      <protection locked="0"/>
    </xf>
    <xf numFmtId="4" fontId="0" fillId="0" borderId="68" xfId="1" applyNumberFormat="1" applyFont="1" applyBorder="1" applyAlignment="1" applyProtection="1">
      <alignment horizontal="right" vertical="center"/>
      <protection locked="0"/>
    </xf>
    <xf numFmtId="4" fontId="0" fillId="0" borderId="43" xfId="0" applyNumberFormat="1" applyBorder="1" applyAlignment="1" applyProtection="1">
      <alignment horizontal="right" vertical="center"/>
      <protection hidden="1"/>
    </xf>
    <xf numFmtId="0" fontId="20" fillId="3" borderId="0" xfId="1" applyFont="1" applyFill="1" applyAlignment="1" applyProtection="1">
      <alignment vertical="top" wrapText="1"/>
      <protection hidden="1"/>
    </xf>
    <xf numFmtId="0" fontId="20" fillId="0" borderId="39" xfId="1" applyFont="1" applyBorder="1" applyAlignment="1" applyProtection="1">
      <alignment vertical="top"/>
      <protection hidden="1"/>
    </xf>
    <xf numFmtId="0" fontId="20" fillId="0" borderId="0" xfId="1" applyFont="1" applyAlignment="1" applyProtection="1">
      <alignment vertical="top" wrapText="1"/>
      <protection hidden="1"/>
    </xf>
    <xf numFmtId="4" fontId="0" fillId="3" borderId="72" xfId="1" applyNumberFormat="1" applyFont="1" applyFill="1" applyBorder="1" applyAlignment="1" applyProtection="1">
      <alignment vertical="top" shrinkToFit="1"/>
      <protection hidden="1"/>
    </xf>
    <xf numFmtId="164" fontId="21" fillId="0" borderId="0" xfId="1" applyNumberFormat="1" applyFont="1" applyAlignment="1" applyProtection="1">
      <alignment vertical="top"/>
      <protection hidden="1"/>
    </xf>
    <xf numFmtId="0" fontId="21" fillId="0" borderId="0" xfId="1" quotePrefix="1" applyFont="1" applyAlignment="1" applyProtection="1">
      <alignment horizontal="left" vertical="top"/>
      <protection hidden="1"/>
    </xf>
    <xf numFmtId="0" fontId="21" fillId="0" borderId="0" xfId="1" quotePrefix="1" applyFont="1" applyAlignment="1" applyProtection="1">
      <alignment vertical="top" wrapText="1"/>
      <protection hidden="1"/>
    </xf>
    <xf numFmtId="49" fontId="4" fillId="4" borderId="28" xfId="1" applyNumberFormat="1" applyFont="1" applyFill="1" applyBorder="1" applyAlignment="1" applyProtection="1">
      <alignment horizontal="center" vertical="top"/>
      <protection hidden="1"/>
    </xf>
    <xf numFmtId="49" fontId="4" fillId="4" borderId="25" xfId="1" applyNumberFormat="1" applyFont="1" applyFill="1" applyBorder="1" applyAlignment="1" applyProtection="1">
      <alignment horizontal="center" vertical="top"/>
      <protection hidden="1"/>
    </xf>
    <xf numFmtId="0" fontId="0" fillId="0" borderId="39" xfId="1" applyFont="1" applyBorder="1" applyAlignment="1" applyProtection="1">
      <alignment vertical="top" wrapText="1"/>
      <protection hidden="1"/>
    </xf>
    <xf numFmtId="0" fontId="0" fillId="0" borderId="39" xfId="1" applyFont="1" applyBorder="1" applyAlignment="1" applyProtection="1">
      <alignment vertical="top"/>
      <protection hidden="1"/>
    </xf>
    <xf numFmtId="0" fontId="43" fillId="15" borderId="0" xfId="0" applyFont="1" applyFill="1" applyAlignment="1" applyProtection="1">
      <alignment horizontal="right" wrapText="1"/>
      <protection hidden="1"/>
    </xf>
    <xf numFmtId="0" fontId="0" fillId="0" borderId="0" xfId="1" applyFont="1" applyAlignment="1">
      <alignment vertical="top"/>
    </xf>
    <xf numFmtId="0" fontId="20" fillId="0" borderId="39" xfId="1" applyFont="1" applyBorder="1" applyAlignment="1">
      <alignment vertical="top"/>
    </xf>
    <xf numFmtId="0" fontId="20" fillId="3" borderId="39" xfId="1" applyFont="1" applyFill="1" applyBorder="1" applyAlignment="1" applyProtection="1">
      <alignment vertical="top" wrapText="1"/>
      <protection hidden="1"/>
    </xf>
    <xf numFmtId="164" fontId="20" fillId="3" borderId="0" xfId="1" applyNumberFormat="1" applyFont="1" applyFill="1" applyAlignment="1" applyProtection="1">
      <alignment horizontal="right" vertical="top" wrapText="1"/>
      <protection hidden="1"/>
    </xf>
    <xf numFmtId="4" fontId="0" fillId="3" borderId="0" xfId="1" applyNumberFormat="1" applyFont="1" applyFill="1" applyAlignment="1" applyProtection="1">
      <alignment vertical="top" wrapText="1"/>
      <protection hidden="1"/>
    </xf>
    <xf numFmtId="49" fontId="0" fillId="4" borderId="0" xfId="1" applyNumberFormat="1" applyFont="1" applyFill="1" applyAlignment="1" applyProtection="1">
      <alignment horizontal="left" vertical="top" wrapText="1"/>
      <protection locked="0"/>
    </xf>
    <xf numFmtId="0" fontId="7" fillId="0" borderId="39" xfId="1" applyFont="1" applyBorder="1" applyAlignment="1" applyProtection="1">
      <alignment horizontal="left" vertical="top"/>
      <protection hidden="1"/>
    </xf>
    <xf numFmtId="0" fontId="65" fillId="0" borderId="39" xfId="1" applyFont="1" applyBorder="1" applyAlignment="1" applyProtection="1">
      <alignment horizontal="left" vertical="top" wrapText="1"/>
      <protection locked="0"/>
    </xf>
    <xf numFmtId="0" fontId="7" fillId="0" borderId="46" xfId="1" applyFont="1" applyBorder="1" applyAlignment="1" applyProtection="1">
      <alignment vertical="top"/>
      <protection hidden="1"/>
    </xf>
    <xf numFmtId="164" fontId="13" fillId="0" borderId="0" xfId="1" applyNumberFormat="1" applyFont="1" applyAlignment="1" applyProtection="1">
      <alignment vertical="top" wrapText="1"/>
      <protection hidden="1"/>
    </xf>
    <xf numFmtId="0" fontId="7" fillId="0" borderId="0" xfId="1" applyFont="1" applyAlignment="1" applyProtection="1">
      <alignment horizontal="left" vertical="top"/>
      <protection hidden="1"/>
    </xf>
    <xf numFmtId="0" fontId="65" fillId="0" borderId="0" xfId="1" applyFont="1" applyAlignment="1" applyProtection="1">
      <alignment horizontal="left" vertical="top" wrapText="1"/>
      <protection locked="0"/>
    </xf>
    <xf numFmtId="0" fontId="7" fillId="0" borderId="45" xfId="1" applyFont="1" applyBorder="1" applyAlignment="1" applyProtection="1">
      <alignment vertical="top"/>
      <protection hidden="1"/>
    </xf>
    <xf numFmtId="164" fontId="65" fillId="0" borderId="39" xfId="1" applyNumberFormat="1" applyFont="1" applyBorder="1" applyAlignment="1" applyProtection="1">
      <alignment vertical="top"/>
      <protection hidden="1"/>
    </xf>
    <xf numFmtId="0" fontId="66" fillId="0" borderId="0" xfId="1" quotePrefix="1" applyFont="1" applyAlignment="1" applyProtection="1">
      <alignment horizontal="right" vertical="top"/>
      <protection hidden="1"/>
    </xf>
    <xf numFmtId="0" fontId="65" fillId="0" borderId="0" xfId="1" applyFont="1" applyAlignment="1" applyProtection="1">
      <alignment horizontal="left" vertical="top"/>
      <protection hidden="1"/>
    </xf>
    <xf numFmtId="0" fontId="65" fillId="4" borderId="0" xfId="1" quotePrefix="1" applyFont="1" applyFill="1" applyAlignment="1" applyProtection="1">
      <alignment horizontal="left" vertical="top" wrapText="1"/>
      <protection locked="0"/>
    </xf>
    <xf numFmtId="0" fontId="65" fillId="0" borderId="0" xfId="1" quotePrefix="1" applyFont="1" applyAlignment="1" applyProtection="1">
      <alignment horizontal="left" vertical="top" wrapText="1"/>
      <protection locked="0" hidden="1"/>
    </xf>
    <xf numFmtId="0" fontId="65" fillId="0" borderId="0" xfId="1" quotePrefix="1" applyFont="1" applyAlignment="1" applyProtection="1">
      <alignment vertical="top"/>
      <protection hidden="1"/>
    </xf>
    <xf numFmtId="0" fontId="65" fillId="0" borderId="0" xfId="1" applyFont="1" applyAlignment="1" applyProtection="1">
      <alignment vertical="top"/>
      <protection hidden="1"/>
    </xf>
    <xf numFmtId="0" fontId="7" fillId="0" borderId="0" xfId="1" applyFont="1" applyAlignment="1" applyProtection="1">
      <alignment vertical="top"/>
      <protection hidden="1"/>
    </xf>
    <xf numFmtId="20" fontId="67" fillId="0" borderId="0" xfId="1" quotePrefix="1" applyNumberFormat="1" applyFont="1" applyAlignment="1" applyProtection="1">
      <alignment vertical="top"/>
      <protection hidden="1"/>
    </xf>
    <xf numFmtId="20" fontId="67" fillId="0" borderId="0" xfId="1" quotePrefix="1" applyNumberFormat="1" applyFont="1" applyAlignment="1" applyProtection="1">
      <alignment horizontal="right" vertical="top"/>
      <protection hidden="1"/>
    </xf>
    <xf numFmtId="20" fontId="67" fillId="0" borderId="6" xfId="1" quotePrefix="1" applyNumberFormat="1" applyFont="1" applyBorder="1" applyAlignment="1" applyProtection="1">
      <alignment vertical="top"/>
      <protection hidden="1"/>
    </xf>
    <xf numFmtId="0" fontId="68" fillId="0" borderId="0" xfId="1" quotePrefix="1" applyFont="1" applyAlignment="1" applyProtection="1">
      <alignment horizontal="left" vertical="top" wrapText="1"/>
      <protection locked="0" hidden="1"/>
    </xf>
    <xf numFmtId="4" fontId="0" fillId="0" borderId="80" xfId="0" applyNumberFormat="1" applyBorder="1" applyAlignment="1" applyProtection="1">
      <alignment vertical="top"/>
      <protection hidden="1"/>
    </xf>
    <xf numFmtId="16" fontId="4" fillId="0" borderId="73" xfId="0" quotePrefix="1" applyNumberFormat="1" applyFont="1" applyBorder="1" applyAlignment="1" applyProtection="1">
      <alignment horizontal="right" vertical="top"/>
      <protection hidden="1"/>
    </xf>
    <xf numFmtId="16" fontId="4" fillId="0" borderId="74" xfId="0" quotePrefix="1" applyNumberFormat="1" applyFont="1" applyBorder="1" applyAlignment="1" applyProtection="1">
      <alignment horizontal="right" vertical="top"/>
      <protection hidden="1"/>
    </xf>
    <xf numFmtId="166" fontId="0" fillId="0" borderId="80" xfId="0" applyNumberFormat="1" applyBorder="1" applyAlignment="1" applyProtection="1">
      <alignment vertical="center"/>
      <protection hidden="1"/>
    </xf>
    <xf numFmtId="166" fontId="0" fillId="0" borderId="80" xfId="0" applyNumberFormat="1" applyBorder="1" applyAlignment="1" applyProtection="1">
      <alignment horizontal="right" vertical="center"/>
      <protection hidden="1"/>
    </xf>
    <xf numFmtId="166" fontId="0" fillId="0" borderId="80" xfId="0" applyNumberFormat="1" applyBorder="1" applyAlignment="1" applyProtection="1">
      <alignment vertical="top"/>
      <protection hidden="1"/>
    </xf>
    <xf numFmtId="166" fontId="21" fillId="3" borderId="13" xfId="0" applyNumberFormat="1" applyFont="1" applyFill="1" applyBorder="1" applyAlignment="1" applyProtection="1">
      <alignment horizontal="right" vertical="center"/>
      <protection hidden="1"/>
    </xf>
    <xf numFmtId="3" fontId="0" fillId="4" borderId="64" xfId="2" applyNumberFormat="1" applyFont="1" applyFill="1" applyBorder="1" applyAlignment="1" applyProtection="1">
      <alignment horizontal="right" vertical="top"/>
      <protection locked="0"/>
    </xf>
    <xf numFmtId="3" fontId="0" fillId="4" borderId="60" xfId="2" applyNumberFormat="1" applyFont="1" applyFill="1" applyBorder="1" applyAlignment="1" applyProtection="1">
      <alignment horizontal="center" vertical="top"/>
      <protection locked="0"/>
    </xf>
    <xf numFmtId="4" fontId="0" fillId="5" borderId="60" xfId="2" applyNumberFormat="1" applyFont="1" applyFill="1" applyBorder="1" applyAlignment="1" applyProtection="1">
      <alignment horizontal="right" vertical="top"/>
      <protection locked="0"/>
    </xf>
    <xf numFmtId="0" fontId="9" fillId="0" borderId="69" xfId="2" applyFont="1" applyBorder="1" applyAlignment="1" applyProtection="1">
      <alignment vertical="center"/>
      <protection hidden="1"/>
    </xf>
    <xf numFmtId="0" fontId="9" fillId="0" borderId="68" xfId="2" applyFont="1" applyBorder="1" applyAlignment="1" applyProtection="1">
      <alignment vertical="center"/>
      <protection hidden="1"/>
    </xf>
    <xf numFmtId="0" fontId="8" fillId="0" borderId="68" xfId="2" applyFont="1" applyBorder="1" applyAlignment="1" applyProtection="1">
      <alignment horizontal="right" vertical="center"/>
      <protection hidden="1"/>
    </xf>
    <xf numFmtId="0" fontId="21" fillId="4" borderId="39" xfId="1" applyFont="1" applyFill="1" applyBorder="1" applyAlignment="1" applyProtection="1">
      <alignment vertical="top" wrapText="1"/>
      <protection locked="0"/>
    </xf>
    <xf numFmtId="0" fontId="9" fillId="0" borderId="49" xfId="2" applyFont="1" applyBorder="1" applyAlignment="1" applyProtection="1">
      <alignment vertical="center"/>
      <protection hidden="1"/>
    </xf>
    <xf numFmtId="0" fontId="9" fillId="0" borderId="54" xfId="2" applyFont="1" applyBorder="1" applyAlignment="1" applyProtection="1">
      <alignment vertical="center"/>
      <protection hidden="1"/>
    </xf>
    <xf numFmtId="0" fontId="8" fillId="0" borderId="54" xfId="2" applyFont="1" applyBorder="1" applyAlignment="1" applyProtection="1">
      <alignment horizontal="right" vertical="center"/>
      <protection hidden="1"/>
    </xf>
    <xf numFmtId="16" fontId="30" fillId="0" borderId="74" xfId="0" quotePrefix="1" applyNumberFormat="1" applyFont="1" applyBorder="1" applyAlignment="1" applyProtection="1">
      <alignment horizontal="left" vertical="top"/>
      <protection hidden="1"/>
    </xf>
    <xf numFmtId="166" fontId="0" fillId="0" borderId="66" xfId="0" applyNumberFormat="1" applyBorder="1" applyAlignment="1" applyProtection="1">
      <alignment vertical="top"/>
      <protection hidden="1"/>
    </xf>
    <xf numFmtId="0" fontId="6" fillId="0" borderId="8" xfId="0" applyFont="1" applyBorder="1" applyAlignment="1" applyProtection="1">
      <alignment horizontal="left" vertical="center"/>
      <protection hidden="1"/>
    </xf>
    <xf numFmtId="0" fontId="0" fillId="3" borderId="55" xfId="1" applyFont="1" applyFill="1" applyBorder="1" applyAlignment="1" applyProtection="1">
      <alignment horizontal="center" vertical="top"/>
      <protection hidden="1"/>
    </xf>
    <xf numFmtId="0" fontId="0" fillId="3" borderId="58" xfId="1" applyFont="1" applyFill="1" applyBorder="1" applyAlignment="1" applyProtection="1">
      <alignment horizontal="center" vertical="top"/>
      <protection hidden="1"/>
    </xf>
    <xf numFmtId="0" fontId="20" fillId="0" borderId="39" xfId="1" applyFont="1" applyBorder="1" applyAlignment="1" applyProtection="1">
      <alignment horizontal="center" vertical="top"/>
      <protection hidden="1"/>
    </xf>
    <xf numFmtId="0" fontId="20" fillId="0" borderId="39" xfId="1" applyFont="1" applyBorder="1" applyAlignment="1" applyProtection="1">
      <alignment horizontal="left" vertical="top" wrapText="1"/>
      <protection hidden="1"/>
    </xf>
    <xf numFmtId="2" fontId="0" fillId="0" borderId="68" xfId="1" applyNumberFormat="1" applyFont="1" applyBorder="1" applyAlignment="1" applyProtection="1">
      <alignment horizontal="center" vertical="top" wrapText="1"/>
      <protection hidden="1"/>
    </xf>
    <xf numFmtId="4" fontId="0" fillId="0" borderId="51" xfId="1" applyNumberFormat="1" applyFont="1" applyBorder="1" applyAlignment="1" applyProtection="1">
      <alignment horizontal="center" vertical="top"/>
      <protection hidden="1"/>
    </xf>
    <xf numFmtId="0" fontId="65" fillId="0" borderId="0" xfId="1" quotePrefix="1" applyFont="1" applyAlignment="1" applyProtection="1">
      <alignment horizontal="left" vertical="top" wrapText="1"/>
      <protection hidden="1"/>
    </xf>
    <xf numFmtId="0" fontId="0" fillId="3" borderId="0" xfId="1" applyFont="1" applyFill="1" applyAlignment="1" applyProtection="1">
      <alignment horizontal="left" vertical="top" wrapText="1"/>
      <protection hidden="1"/>
    </xf>
    <xf numFmtId="0" fontId="65" fillId="0" borderId="0" xfId="1" applyFont="1" applyAlignment="1" applyProtection="1">
      <alignment horizontal="left" vertical="top" wrapText="1"/>
      <protection hidden="1"/>
    </xf>
    <xf numFmtId="0" fontId="0" fillId="3" borderId="0" xfId="1" applyFont="1" applyFill="1" applyAlignment="1" applyProtection="1">
      <alignment horizontal="left" vertical="top"/>
      <protection hidden="1"/>
    </xf>
    <xf numFmtId="0" fontId="0" fillId="3" borderId="3" xfId="1" applyFont="1" applyFill="1" applyBorder="1" applyAlignment="1" applyProtection="1">
      <alignment horizontal="left" vertical="top"/>
      <protection hidden="1"/>
    </xf>
    <xf numFmtId="0" fontId="0" fillId="3" borderId="0" xfId="1" applyFont="1" applyFill="1" applyAlignment="1" applyProtection="1">
      <alignment vertical="top"/>
      <protection hidden="1"/>
    </xf>
    <xf numFmtId="0" fontId="65" fillId="0" borderId="0" xfId="1" quotePrefix="1" applyFont="1" applyAlignment="1" applyProtection="1">
      <alignment horizontal="left" vertical="top"/>
      <protection hidden="1"/>
    </xf>
    <xf numFmtId="0" fontId="20" fillId="0" borderId="0" xfId="1" applyFont="1" applyAlignment="1" applyProtection="1">
      <alignment horizontal="left" vertical="top" wrapText="1"/>
      <protection hidden="1"/>
    </xf>
    <xf numFmtId="4" fontId="65" fillId="0" borderId="0" xfId="1" applyNumberFormat="1" applyFont="1" applyAlignment="1" applyProtection="1">
      <alignment horizontal="left" vertical="top" wrapText="1"/>
      <protection hidden="1"/>
    </xf>
    <xf numFmtId="0" fontId="65" fillId="0" borderId="0" xfId="1" applyFont="1" applyAlignment="1" applyProtection="1">
      <alignment vertical="top" wrapText="1"/>
      <protection hidden="1"/>
    </xf>
    <xf numFmtId="0" fontId="0" fillId="3" borderId="39" xfId="1" applyFont="1" applyFill="1" applyBorder="1" applyAlignment="1" applyProtection="1">
      <alignment horizontal="left" vertical="top" wrapText="1"/>
      <protection hidden="1"/>
    </xf>
    <xf numFmtId="4" fontId="26" fillId="0" borderId="0" xfId="1" applyNumberFormat="1" applyFont="1" applyAlignment="1" applyProtection="1">
      <alignment vertical="top"/>
      <protection hidden="1"/>
    </xf>
    <xf numFmtId="0" fontId="0" fillId="3" borderId="28" xfId="1" applyFont="1" applyFill="1" applyBorder="1" applyAlignment="1" applyProtection="1">
      <alignment vertical="top"/>
      <protection hidden="1"/>
    </xf>
    <xf numFmtId="0" fontId="65" fillId="0" borderId="45" xfId="1" applyFont="1" applyBorder="1" applyAlignment="1" applyProtection="1">
      <alignment horizontal="left" vertical="top" wrapText="1"/>
      <protection hidden="1"/>
    </xf>
    <xf numFmtId="0" fontId="3" fillId="11" borderId="0" xfId="2" applyFont="1" applyFill="1" applyAlignment="1" applyProtection="1">
      <alignment horizontal="left" vertical="top"/>
      <protection hidden="1"/>
    </xf>
    <xf numFmtId="0" fontId="3" fillId="12" borderId="0" xfId="2" applyFont="1" applyFill="1" applyAlignment="1" applyProtection="1">
      <alignment horizontal="left" vertical="top"/>
      <protection hidden="1"/>
    </xf>
    <xf numFmtId="166" fontId="4" fillId="0" borderId="0" xfId="0" applyNumberFormat="1" applyFont="1" applyAlignment="1" applyProtection="1">
      <alignment vertical="top"/>
      <protection hidden="1"/>
    </xf>
    <xf numFmtId="0" fontId="4" fillId="0" borderId="3" xfId="1" applyFont="1" applyBorder="1" applyAlignment="1" applyProtection="1">
      <alignment vertical="top"/>
      <protection hidden="1"/>
    </xf>
    <xf numFmtId="2" fontId="0" fillId="3" borderId="59" xfId="1" applyNumberFormat="1" applyFont="1" applyFill="1" applyBorder="1" applyAlignment="1" applyProtection="1">
      <alignment horizontal="center" vertical="top" wrapText="1"/>
      <protection hidden="1"/>
    </xf>
    <xf numFmtId="4" fontId="0" fillId="3" borderId="4" xfId="1" applyNumberFormat="1" applyFont="1" applyFill="1" applyBorder="1" applyAlignment="1" applyProtection="1">
      <alignment horizontal="center" vertical="top"/>
      <protection hidden="1"/>
    </xf>
    <xf numFmtId="0" fontId="4" fillId="3" borderId="28" xfId="1" applyFont="1" applyFill="1" applyBorder="1" applyAlignment="1" applyProtection="1">
      <alignment vertical="top"/>
      <protection hidden="1"/>
    </xf>
    <xf numFmtId="0" fontId="4" fillId="0" borderId="28" xfId="1" applyFont="1" applyBorder="1" applyAlignment="1" applyProtection="1">
      <alignment vertical="top"/>
      <protection hidden="1"/>
    </xf>
    <xf numFmtId="2" fontId="0" fillId="3" borderId="60" xfId="1" applyNumberFormat="1" applyFont="1" applyFill="1" applyBorder="1" applyAlignment="1" applyProtection="1">
      <alignment horizontal="center" vertical="top" wrapText="1"/>
      <protection hidden="1"/>
    </xf>
    <xf numFmtId="4" fontId="3" fillId="0" borderId="28" xfId="1" applyNumberFormat="1" applyFont="1" applyBorder="1" applyAlignment="1" applyProtection="1">
      <alignment vertical="top"/>
      <protection hidden="1"/>
    </xf>
    <xf numFmtId="2" fontId="21" fillId="0" borderId="54" xfId="1" quotePrefix="1" applyNumberFormat="1" applyFont="1" applyBorder="1" applyAlignment="1" applyProtection="1">
      <alignment horizontal="center" vertical="top" wrapText="1"/>
      <protection hidden="1"/>
    </xf>
    <xf numFmtId="4" fontId="4" fillId="0" borderId="28" xfId="1" applyNumberFormat="1" applyFont="1" applyBorder="1" applyAlignment="1" applyProtection="1">
      <alignment vertical="top"/>
      <protection hidden="1"/>
    </xf>
    <xf numFmtId="2" fontId="0" fillId="3" borderId="60" xfId="1" applyNumberFormat="1" applyFont="1" applyFill="1" applyBorder="1" applyAlignment="1" applyProtection="1">
      <alignment horizontal="center" vertical="top"/>
      <protection hidden="1"/>
    </xf>
    <xf numFmtId="0" fontId="4" fillId="0" borderId="28" xfId="1" applyFont="1" applyBorder="1" applyAlignment="1" applyProtection="1">
      <alignment horizontal="left" vertical="top"/>
      <protection hidden="1"/>
    </xf>
    <xf numFmtId="2" fontId="0" fillId="3" borderId="59" xfId="1" applyNumberFormat="1" applyFont="1" applyFill="1" applyBorder="1" applyAlignment="1" applyProtection="1">
      <alignment horizontal="center" vertical="top"/>
      <protection hidden="1"/>
    </xf>
    <xf numFmtId="2" fontId="21" fillId="3" borderId="60" xfId="1" applyNumberFormat="1" applyFont="1" applyFill="1" applyBorder="1" applyAlignment="1" applyProtection="1">
      <alignment horizontal="center" vertical="top"/>
      <protection hidden="1"/>
    </xf>
    <xf numFmtId="0" fontId="20" fillId="0" borderId="28" xfId="1" applyFont="1" applyBorder="1" applyAlignment="1" applyProtection="1">
      <alignment vertical="top"/>
      <protection hidden="1"/>
    </xf>
    <xf numFmtId="0" fontId="20" fillId="3" borderId="28" xfId="1" applyFont="1" applyFill="1" applyBorder="1" applyAlignment="1" applyProtection="1">
      <alignment horizontal="left" vertical="top"/>
      <protection hidden="1"/>
    </xf>
    <xf numFmtId="0" fontId="20" fillId="0" borderId="58" xfId="1" applyFont="1" applyBorder="1" applyAlignment="1" applyProtection="1">
      <alignment horizontal="center" vertical="top"/>
      <protection hidden="1"/>
    </xf>
    <xf numFmtId="0" fontId="0" fillId="0" borderId="28" xfId="1" quotePrefix="1" applyFont="1" applyBorder="1" applyAlignment="1" applyProtection="1">
      <alignment horizontal="left" vertical="top"/>
      <protection hidden="1"/>
    </xf>
    <xf numFmtId="2" fontId="0" fillId="0" borderId="60" xfId="1" applyNumberFormat="1" applyFont="1" applyBorder="1" applyAlignment="1" applyProtection="1">
      <alignment horizontal="center" vertical="top"/>
      <protection hidden="1"/>
    </xf>
    <xf numFmtId="0" fontId="20" fillId="0" borderId="63" xfId="1" applyFont="1" applyBorder="1" applyAlignment="1" applyProtection="1">
      <alignment horizontal="center" vertical="top"/>
      <protection hidden="1"/>
    </xf>
    <xf numFmtId="0" fontId="0" fillId="0" borderId="3" xfId="1" applyFont="1" applyBorder="1" applyAlignment="1" applyProtection="1">
      <alignment vertical="top"/>
      <protection hidden="1"/>
    </xf>
    <xf numFmtId="0" fontId="4" fillId="2" borderId="28" xfId="1" applyFont="1" applyFill="1" applyBorder="1" applyAlignment="1" applyProtection="1">
      <alignment vertical="top"/>
      <protection hidden="1"/>
    </xf>
    <xf numFmtId="0" fontId="20" fillId="0" borderId="64" xfId="1" applyFont="1" applyBorder="1" applyAlignment="1" applyProtection="1">
      <alignment horizontal="center" vertical="top"/>
      <protection hidden="1"/>
    </xf>
    <xf numFmtId="0" fontId="0" fillId="0" borderId="28" xfId="1" applyFont="1" applyBorder="1" applyAlignment="1" applyProtection="1">
      <alignment vertical="top"/>
      <protection hidden="1"/>
    </xf>
    <xf numFmtId="0" fontId="20" fillId="0" borderId="28" xfId="1" applyFont="1" applyBorder="1" applyAlignment="1" applyProtection="1">
      <alignment horizontal="left" vertical="top"/>
      <protection hidden="1"/>
    </xf>
    <xf numFmtId="4" fontId="0" fillId="3" borderId="65" xfId="1" applyNumberFormat="1" applyFont="1" applyFill="1" applyBorder="1" applyAlignment="1" applyProtection="1">
      <alignment horizontal="center" vertical="top"/>
      <protection hidden="1"/>
    </xf>
    <xf numFmtId="0" fontId="0" fillId="3" borderId="28" xfId="1" applyFont="1" applyFill="1" applyBorder="1" applyAlignment="1" applyProtection="1">
      <alignment horizontal="left" vertical="top"/>
      <protection hidden="1"/>
    </xf>
    <xf numFmtId="4" fontId="0" fillId="3" borderId="41" xfId="1" applyNumberFormat="1" applyFont="1" applyFill="1" applyBorder="1" applyAlignment="1" applyProtection="1">
      <alignment horizontal="center" vertical="top"/>
      <protection hidden="1"/>
    </xf>
    <xf numFmtId="0" fontId="21" fillId="3" borderId="28" xfId="1" applyFont="1" applyFill="1" applyBorder="1" applyAlignment="1" applyProtection="1">
      <alignment horizontal="left" vertical="top"/>
      <protection hidden="1"/>
    </xf>
    <xf numFmtId="0" fontId="13" fillId="3" borderId="28" xfId="1" applyFont="1" applyFill="1" applyBorder="1" applyAlignment="1" applyProtection="1">
      <alignment vertical="top"/>
      <protection hidden="1"/>
    </xf>
    <xf numFmtId="0" fontId="13" fillId="0" borderId="28" xfId="1" applyFont="1" applyBorder="1" applyAlignment="1" applyProtection="1">
      <alignment vertical="top"/>
      <protection hidden="1"/>
    </xf>
    <xf numFmtId="0" fontId="0" fillId="0" borderId="28" xfId="1" applyFont="1" applyBorder="1" applyAlignment="1" applyProtection="1">
      <alignment horizontal="left" vertical="top"/>
      <protection hidden="1"/>
    </xf>
    <xf numFmtId="0" fontId="20" fillId="3" borderId="57" xfId="1" applyFont="1" applyFill="1" applyBorder="1" applyAlignment="1" applyProtection="1">
      <alignment horizontal="center" vertical="top"/>
      <protection hidden="1"/>
    </xf>
    <xf numFmtId="0" fontId="0" fillId="0" borderId="3" xfId="1" applyFont="1" applyBorder="1" applyAlignment="1" applyProtection="1">
      <alignment horizontal="left" vertical="top"/>
      <protection hidden="1"/>
    </xf>
    <xf numFmtId="4" fontId="3" fillId="0" borderId="0" xfId="1" applyNumberFormat="1" applyFont="1" applyAlignment="1" applyProtection="1">
      <alignment vertical="top"/>
      <protection hidden="1"/>
    </xf>
    <xf numFmtId="0" fontId="0" fillId="3" borderId="57" xfId="1" applyFont="1" applyFill="1" applyBorder="1" applyAlignment="1" applyProtection="1">
      <alignment horizontal="center" vertical="top"/>
      <protection hidden="1"/>
    </xf>
    <xf numFmtId="4" fontId="0" fillId="3" borderId="70" xfId="1" applyNumberFormat="1" applyFont="1" applyFill="1" applyBorder="1" applyAlignment="1" applyProtection="1">
      <alignment horizontal="center" vertical="top"/>
      <protection hidden="1"/>
    </xf>
    <xf numFmtId="0" fontId="4" fillId="3" borderId="28" xfId="1" applyFont="1" applyFill="1" applyBorder="1" applyAlignment="1" applyProtection="1">
      <alignment horizontal="left" vertical="top"/>
      <protection hidden="1"/>
    </xf>
    <xf numFmtId="49" fontId="4" fillId="3" borderId="67" xfId="1" applyNumberFormat="1" applyFont="1" applyFill="1" applyBorder="1" applyAlignment="1" applyProtection="1">
      <alignment horizontal="center" vertical="top"/>
      <protection hidden="1"/>
    </xf>
    <xf numFmtId="0" fontId="20" fillId="0" borderId="3" xfId="1" applyFont="1" applyBorder="1" applyAlignment="1" applyProtection="1">
      <alignment vertical="top"/>
      <protection hidden="1"/>
    </xf>
    <xf numFmtId="0" fontId="0" fillId="0" borderId="3" xfId="1" applyFont="1" applyBorder="1" applyAlignment="1">
      <alignment vertical="top"/>
    </xf>
    <xf numFmtId="0" fontId="4" fillId="0" borderId="67" xfId="1" applyFont="1" applyBorder="1" applyAlignment="1" applyProtection="1">
      <alignment vertical="top"/>
      <protection hidden="1"/>
    </xf>
    <xf numFmtId="49" fontId="4" fillId="0" borderId="45" xfId="1" applyNumberFormat="1" applyFont="1" applyBorder="1" applyAlignment="1" applyProtection="1">
      <alignment horizontal="center" vertical="top"/>
      <protection hidden="1"/>
    </xf>
    <xf numFmtId="49" fontId="4" fillId="3" borderId="44" xfId="1" applyNumberFormat="1" applyFont="1" applyFill="1" applyBorder="1" applyAlignment="1" applyProtection="1">
      <alignment horizontal="center" vertical="top"/>
      <protection hidden="1"/>
    </xf>
    <xf numFmtId="0" fontId="20" fillId="0" borderId="28" xfId="1" applyFont="1" applyBorder="1" applyAlignment="1">
      <alignment vertical="top"/>
    </xf>
    <xf numFmtId="0" fontId="4" fillId="0" borderId="44" xfId="1" applyFont="1" applyBorder="1" applyAlignment="1" applyProtection="1">
      <alignment vertical="top"/>
      <protection hidden="1"/>
    </xf>
    <xf numFmtId="49" fontId="4" fillId="0" borderId="46" xfId="1" applyNumberFormat="1" applyFont="1" applyBorder="1" applyAlignment="1" applyProtection="1">
      <alignment horizontal="center" vertical="top"/>
      <protection hidden="1"/>
    </xf>
    <xf numFmtId="49" fontId="4" fillId="0" borderId="28" xfId="1" applyNumberFormat="1" applyFont="1" applyBorder="1" applyAlignment="1" applyProtection="1">
      <alignment horizontal="center" vertical="top"/>
      <protection hidden="1"/>
    </xf>
    <xf numFmtId="49" fontId="4" fillId="3" borderId="45" xfId="1" applyNumberFormat="1" applyFont="1" applyFill="1" applyBorder="1" applyAlignment="1" applyProtection="1">
      <alignment horizontal="center" vertical="top"/>
      <protection hidden="1"/>
    </xf>
    <xf numFmtId="49" fontId="4" fillId="0" borderId="56" xfId="1" applyNumberFormat="1" applyFont="1" applyBorder="1" applyAlignment="1" applyProtection="1">
      <alignment horizontal="center" vertical="top"/>
      <protection hidden="1"/>
    </xf>
    <xf numFmtId="49" fontId="4" fillId="3" borderId="28" xfId="1" applyNumberFormat="1" applyFont="1" applyFill="1" applyBorder="1" applyAlignment="1" applyProtection="1">
      <alignment horizontal="center" vertical="top"/>
      <protection hidden="1"/>
    </xf>
    <xf numFmtId="0" fontId="20" fillId="0" borderId="64" xfId="1" applyFont="1" applyBorder="1" applyAlignment="1" applyProtection="1">
      <alignment vertical="top"/>
      <protection hidden="1"/>
    </xf>
    <xf numFmtId="0" fontId="7" fillId="0" borderId="49" xfId="1" applyFont="1" applyBorder="1" applyAlignment="1" applyProtection="1">
      <alignment vertical="top"/>
      <protection hidden="1"/>
    </xf>
    <xf numFmtId="0" fontId="7" fillId="0" borderId="39" xfId="1" applyFont="1" applyBorder="1" applyAlignment="1" applyProtection="1">
      <alignment vertical="top"/>
      <protection hidden="1"/>
    </xf>
    <xf numFmtId="0" fontId="20" fillId="0" borderId="49" xfId="1" applyFont="1" applyBorder="1" applyAlignment="1" applyProtection="1">
      <alignment vertical="top"/>
      <protection hidden="1"/>
    </xf>
    <xf numFmtId="49" fontId="4" fillId="0" borderId="0" xfId="1" applyNumberFormat="1" applyFont="1" applyAlignment="1" applyProtection="1">
      <alignment horizontal="center" vertical="top" wrapText="1"/>
      <protection hidden="1"/>
    </xf>
    <xf numFmtId="0" fontId="20" fillId="0" borderId="49" xfId="1" applyFont="1" applyBorder="1" applyAlignment="1" applyProtection="1">
      <alignment vertical="top" wrapText="1"/>
      <protection hidden="1"/>
    </xf>
    <xf numFmtId="49" fontId="4" fillId="0" borderId="46" xfId="1" applyNumberFormat="1" applyFont="1" applyBorder="1" applyAlignment="1" applyProtection="1">
      <alignment horizontal="center" vertical="top" wrapText="1"/>
      <protection hidden="1"/>
    </xf>
    <xf numFmtId="0" fontId="20" fillId="0" borderId="69" xfId="1" applyFont="1" applyBorder="1" applyAlignment="1" applyProtection="1">
      <alignment vertical="top" wrapText="1"/>
      <protection hidden="1"/>
    </xf>
    <xf numFmtId="49" fontId="4" fillId="3" borderId="58" xfId="1" applyNumberFormat="1" applyFont="1" applyFill="1" applyBorder="1" applyAlignment="1" applyProtection="1">
      <alignment horizontal="center" vertical="top"/>
      <protection hidden="1"/>
    </xf>
    <xf numFmtId="0" fontId="7" fillId="3" borderId="3" xfId="1" applyFont="1" applyFill="1" applyBorder="1" applyAlignment="1" applyProtection="1">
      <alignment vertical="top" wrapText="1"/>
      <protection hidden="1"/>
    </xf>
    <xf numFmtId="0" fontId="0" fillId="4" borderId="28" xfId="1" applyFont="1" applyFill="1" applyBorder="1" applyAlignment="1" applyProtection="1">
      <alignment vertical="top" wrapText="1"/>
      <protection locked="0"/>
    </xf>
    <xf numFmtId="0" fontId="0" fillId="3" borderId="28" xfId="1" applyFont="1" applyFill="1" applyBorder="1" applyAlignment="1" applyProtection="1">
      <alignment vertical="top" wrapText="1"/>
      <protection hidden="1"/>
    </xf>
    <xf numFmtId="0" fontId="20" fillId="3" borderId="28" xfId="1" applyFont="1" applyFill="1" applyBorder="1" applyAlignment="1" applyProtection="1">
      <alignment vertical="top" wrapText="1"/>
      <protection hidden="1"/>
    </xf>
    <xf numFmtId="0" fontId="0" fillId="3" borderId="3" xfId="1" applyFont="1" applyFill="1" applyBorder="1" applyAlignment="1" applyProtection="1">
      <alignment vertical="top" wrapText="1"/>
      <protection hidden="1"/>
    </xf>
    <xf numFmtId="0" fontId="0" fillId="0" borderId="28" xfId="1" applyFont="1" applyBorder="1" applyAlignment="1" applyProtection="1">
      <alignment vertical="top" wrapText="1"/>
      <protection hidden="1"/>
    </xf>
    <xf numFmtId="0" fontId="20" fillId="4" borderId="44" xfId="1" applyFont="1" applyFill="1" applyBorder="1" applyAlignment="1" applyProtection="1">
      <alignment vertical="top" wrapText="1"/>
      <protection locked="0"/>
    </xf>
    <xf numFmtId="0" fontId="0" fillId="3" borderId="44" xfId="1" applyFont="1" applyFill="1" applyBorder="1" applyAlignment="1" applyProtection="1">
      <alignment vertical="top" wrapText="1"/>
      <protection hidden="1"/>
    </xf>
    <xf numFmtId="0" fontId="4" fillId="3" borderId="2" xfId="1" applyFont="1" applyFill="1" applyBorder="1" applyAlignment="1" applyProtection="1">
      <alignment horizontal="center" vertical="top"/>
      <protection hidden="1"/>
    </xf>
    <xf numFmtId="0" fontId="22" fillId="0" borderId="63" xfId="1" applyFont="1" applyBorder="1" applyAlignment="1" applyProtection="1">
      <alignment vertical="top"/>
      <protection hidden="1"/>
    </xf>
    <xf numFmtId="0" fontId="24" fillId="0" borderId="28" xfId="1" quotePrefix="1" applyFont="1" applyBorder="1" applyAlignment="1" applyProtection="1">
      <alignment horizontal="center" vertical="top"/>
      <protection hidden="1"/>
    </xf>
    <xf numFmtId="0" fontId="4" fillId="3" borderId="27" xfId="1" applyFont="1" applyFill="1" applyBorder="1" applyAlignment="1" applyProtection="1">
      <alignment horizontal="center" vertical="top"/>
      <protection hidden="1"/>
    </xf>
    <xf numFmtId="0" fontId="22" fillId="0" borderId="64" xfId="1" applyFont="1" applyBorder="1" applyAlignment="1" applyProtection="1">
      <alignment vertical="top"/>
      <protection hidden="1"/>
    </xf>
    <xf numFmtId="0" fontId="6" fillId="0" borderId="0" xfId="0" applyFont="1"/>
    <xf numFmtId="44" fontId="0" fillId="0" borderId="0" xfId="4" applyFont="1"/>
    <xf numFmtId="0" fontId="0" fillId="0" borderId="0" xfId="0" quotePrefix="1"/>
    <xf numFmtId="166" fontId="0" fillId="0" borderId="0" xfId="0" applyNumberFormat="1"/>
    <xf numFmtId="168" fontId="0" fillId="0" borderId="0" xfId="0" applyNumberFormat="1"/>
    <xf numFmtId="166" fontId="6" fillId="0" borderId="0" xfId="0" applyNumberFormat="1" applyFont="1"/>
    <xf numFmtId="16" fontId="0" fillId="0" borderId="0" xfId="0" applyNumberFormat="1"/>
    <xf numFmtId="0" fontId="0" fillId="17" borderId="83" xfId="0" applyFill="1" applyBorder="1"/>
    <xf numFmtId="0" fontId="0" fillId="17" borderId="84" xfId="0" applyFill="1" applyBorder="1"/>
    <xf numFmtId="166" fontId="0" fillId="17" borderId="84" xfId="0" applyNumberFormat="1" applyFill="1" applyBorder="1"/>
    <xf numFmtId="0" fontId="69" fillId="0" borderId="0" xfId="0" applyFont="1"/>
    <xf numFmtId="166" fontId="69" fillId="0" borderId="0" xfId="0" applyNumberFormat="1" applyFont="1"/>
    <xf numFmtId="166" fontId="0" fillId="0" borderId="0" xfId="0" quotePrefix="1" applyNumberFormat="1"/>
    <xf numFmtId="166" fontId="0" fillId="0" borderId="1" xfId="0" applyNumberFormat="1" applyBorder="1" applyAlignment="1" applyProtection="1">
      <alignment horizontal="center" vertical="center"/>
      <protection hidden="1"/>
    </xf>
    <xf numFmtId="0" fontId="20" fillId="0" borderId="3" xfId="1" applyFont="1" applyBorder="1" applyAlignment="1" applyProtection="1">
      <alignment vertical="center"/>
      <protection hidden="1"/>
    </xf>
    <xf numFmtId="0" fontId="8" fillId="0" borderId="3" xfId="1" applyFont="1" applyBorder="1" applyAlignment="1" applyProtection="1">
      <alignment vertical="center"/>
      <protection hidden="1"/>
    </xf>
    <xf numFmtId="0" fontId="8" fillId="0" borderId="3" xfId="1" applyFont="1" applyBorder="1" applyAlignment="1" applyProtection="1">
      <alignment horizontal="right" vertical="center"/>
      <protection hidden="1"/>
    </xf>
    <xf numFmtId="0" fontId="6" fillId="0" borderId="3" xfId="1" applyFont="1" applyBorder="1" applyAlignment="1" applyProtection="1">
      <alignment horizontal="right" vertical="center"/>
      <protection hidden="1"/>
    </xf>
    <xf numFmtId="2" fontId="6" fillId="0" borderId="3" xfId="1" applyNumberFormat="1" applyFont="1" applyBorder="1" applyAlignment="1" applyProtection="1">
      <alignment horizontal="center" vertical="center" wrapText="1"/>
      <protection hidden="1"/>
    </xf>
    <xf numFmtId="0" fontId="70" fillId="0" borderId="24" xfId="3" applyFont="1" applyBorder="1" applyAlignment="1" applyProtection="1">
      <alignment vertical="top"/>
      <protection hidden="1"/>
    </xf>
    <xf numFmtId="0" fontId="70" fillId="0" borderId="26" xfId="3" applyFont="1" applyBorder="1" applyAlignment="1" applyProtection="1">
      <alignment vertical="top"/>
      <protection hidden="1"/>
    </xf>
    <xf numFmtId="0" fontId="70" fillId="0" borderId="24" xfId="3" applyFont="1" applyBorder="1" applyAlignment="1">
      <alignment vertical="top"/>
    </xf>
    <xf numFmtId="0" fontId="70" fillId="0" borderId="26" xfId="3" applyFont="1" applyBorder="1" applyAlignment="1">
      <alignment vertical="top"/>
    </xf>
    <xf numFmtId="0" fontId="70" fillId="0" borderId="26" xfId="0" applyFont="1" applyBorder="1" applyAlignment="1" applyProtection="1">
      <alignment vertical="top"/>
      <protection hidden="1"/>
    </xf>
    <xf numFmtId="0" fontId="70" fillId="0" borderId="5" xfId="3" applyFont="1" applyBorder="1" applyAlignment="1" applyProtection="1">
      <alignment vertical="top"/>
      <protection hidden="1"/>
    </xf>
    <xf numFmtId="0" fontId="70" fillId="0" borderId="6" xfId="3" applyFont="1" applyBorder="1" applyAlignment="1" applyProtection="1">
      <alignment vertical="top"/>
      <protection hidden="1"/>
    </xf>
    <xf numFmtId="0" fontId="70" fillId="0" borderId="0" xfId="0" applyFont="1" applyAlignment="1" applyProtection="1">
      <alignment vertical="top"/>
      <protection hidden="1"/>
    </xf>
    <xf numFmtId="0" fontId="8" fillId="3" borderId="3" xfId="0" applyFont="1" applyFill="1" applyBorder="1" applyAlignment="1" applyProtection="1">
      <alignment horizontal="center" vertical="center"/>
      <protection hidden="1"/>
    </xf>
    <xf numFmtId="0" fontId="0" fillId="6" borderId="32" xfId="0" applyFill="1" applyBorder="1" applyAlignment="1" applyProtection="1">
      <alignment horizontal="left" vertical="top" wrapText="1" indent="1"/>
      <protection hidden="1"/>
    </xf>
    <xf numFmtId="0" fontId="0" fillId="6" borderId="33" xfId="0" applyFill="1" applyBorder="1" applyAlignment="1" applyProtection="1">
      <alignment horizontal="left" vertical="top" wrapText="1" indent="1"/>
      <protection hidden="1"/>
    </xf>
    <xf numFmtId="0" fontId="0" fillId="6" borderId="34" xfId="0" applyFill="1" applyBorder="1" applyAlignment="1" applyProtection="1">
      <alignment horizontal="left" vertical="top" wrapText="1" indent="1"/>
      <protection hidden="1"/>
    </xf>
    <xf numFmtId="0" fontId="0" fillId="4" borderId="35" xfId="0" applyFill="1" applyBorder="1" applyAlignment="1" applyProtection="1">
      <alignment horizontal="left" vertical="top" wrapText="1" indent="1"/>
      <protection hidden="1"/>
    </xf>
    <xf numFmtId="0" fontId="0" fillId="4" borderId="36" xfId="0" applyFill="1" applyBorder="1" applyAlignment="1" applyProtection="1">
      <alignment horizontal="left" vertical="top" wrapText="1" indent="1"/>
      <protection hidden="1"/>
    </xf>
    <xf numFmtId="0" fontId="0" fillId="4" borderId="37" xfId="0" applyFill="1" applyBorder="1" applyAlignment="1" applyProtection="1">
      <alignment horizontal="left" vertical="top" wrapText="1" indent="1"/>
      <protection hidden="1"/>
    </xf>
    <xf numFmtId="0" fontId="0" fillId="0" borderId="24" xfId="0" applyBorder="1" applyAlignment="1">
      <alignment vertical="top"/>
    </xf>
    <xf numFmtId="0" fontId="0" fillId="0" borderId="25" xfId="0" applyBorder="1" applyAlignment="1">
      <alignment vertical="top"/>
    </xf>
    <xf numFmtId="0" fontId="0" fillId="0" borderId="24" xfId="0" applyBorder="1" applyAlignment="1" applyProtection="1">
      <alignment vertical="top"/>
      <protection hidden="1"/>
    </xf>
    <xf numFmtId="0" fontId="0" fillId="0" borderId="25" xfId="0" applyBorder="1" applyAlignment="1" applyProtection="1">
      <alignment vertical="top"/>
      <protection hidden="1"/>
    </xf>
    <xf numFmtId="0" fontId="47" fillId="0" borderId="11" xfId="0" applyFont="1" applyBorder="1" applyAlignment="1" applyProtection="1">
      <alignment horizontal="center" textRotation="90"/>
      <protection hidden="1"/>
    </xf>
    <xf numFmtId="0" fontId="0" fillId="0" borderId="20" xfId="0" applyBorder="1" applyAlignment="1" applyProtection="1">
      <alignment vertical="top"/>
      <protection hidden="1"/>
    </xf>
    <xf numFmtId="0" fontId="0" fillId="0" borderId="29" xfId="0" applyBorder="1" applyAlignment="1" applyProtection="1">
      <alignment vertical="top"/>
      <protection hidden="1"/>
    </xf>
    <xf numFmtId="0" fontId="40" fillId="8" borderId="0" xfId="0" applyFont="1" applyFill="1" applyAlignment="1" applyProtection="1">
      <alignment vertical="center" wrapText="1"/>
      <protection hidden="1"/>
    </xf>
    <xf numFmtId="0" fontId="5" fillId="0" borderId="0" xfId="0" applyFont="1" applyAlignment="1" applyProtection="1">
      <alignment horizontal="left" vertical="center"/>
      <protection hidden="1"/>
    </xf>
    <xf numFmtId="0" fontId="5" fillId="0" borderId="13" xfId="0" applyFont="1" applyBorder="1" applyAlignment="1" applyProtection="1">
      <alignment horizontal="left" vertical="center"/>
      <protection hidden="1"/>
    </xf>
    <xf numFmtId="0" fontId="38" fillId="8" borderId="0" xfId="0" applyFont="1" applyFill="1" applyAlignment="1" applyProtection="1">
      <alignment horizontal="center" vertical="center" textRotation="90"/>
      <protection hidden="1"/>
    </xf>
    <xf numFmtId="0" fontId="0" fillId="0" borderId="0" xfId="0"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0" borderId="22" xfId="0" applyBorder="1" applyAlignment="1" applyProtection="1">
      <alignment vertical="center"/>
      <protection hidden="1"/>
    </xf>
    <xf numFmtId="0" fontId="0" fillId="0" borderId="23" xfId="0" applyBorder="1" applyAlignment="1" applyProtection="1">
      <alignment vertical="center"/>
      <protection hidden="1"/>
    </xf>
    <xf numFmtId="0" fontId="0" fillId="0" borderId="24" xfId="0" applyBorder="1" applyAlignment="1" applyProtection="1">
      <alignment vertical="center"/>
      <protection hidden="1"/>
    </xf>
    <xf numFmtId="0" fontId="0" fillId="0" borderId="25" xfId="0" applyBorder="1" applyAlignment="1" applyProtection="1">
      <alignment vertical="center"/>
      <protection hidden="1"/>
    </xf>
    <xf numFmtId="0" fontId="6" fillId="4" borderId="25" xfId="0" applyFont="1" applyFill="1" applyBorder="1" applyAlignment="1" applyProtection="1">
      <alignment vertical="center"/>
      <protection locked="0"/>
    </xf>
    <xf numFmtId="0" fontId="6" fillId="4" borderId="26" xfId="0" applyFont="1" applyFill="1" applyBorder="1" applyAlignment="1" applyProtection="1">
      <alignment vertical="center"/>
      <protection locked="0"/>
    </xf>
    <xf numFmtId="0" fontId="0" fillId="0" borderId="27" xfId="0" applyBorder="1" applyAlignment="1" applyProtection="1">
      <alignment vertical="center"/>
      <protection hidden="1"/>
    </xf>
    <xf numFmtId="0" fontId="0" fillId="0" borderId="28" xfId="0" applyBorder="1" applyAlignment="1" applyProtection="1">
      <alignment vertical="center"/>
      <protection hidden="1"/>
    </xf>
    <xf numFmtId="0" fontId="6" fillId="4" borderId="28" xfId="0" applyFont="1" applyFill="1" applyBorder="1" applyAlignment="1" applyProtection="1">
      <alignment vertical="center"/>
      <protection locked="0"/>
    </xf>
    <xf numFmtId="0" fontId="6" fillId="4" borderId="21" xfId="0" applyFont="1" applyFill="1" applyBorder="1" applyAlignment="1" applyProtection="1">
      <alignment vertical="center"/>
      <protection locked="0"/>
    </xf>
    <xf numFmtId="0" fontId="0" fillId="0" borderId="20" xfId="0" applyBorder="1" applyAlignment="1" applyProtection="1">
      <alignment vertical="center"/>
      <protection hidden="1"/>
    </xf>
    <xf numFmtId="0" fontId="0" fillId="0" borderId="29" xfId="0" applyBorder="1" applyAlignment="1" applyProtection="1">
      <alignment vertical="center"/>
      <protection hidden="1"/>
    </xf>
    <xf numFmtId="0" fontId="6" fillId="5" borderId="29" xfId="0" applyFont="1" applyFill="1" applyBorder="1" applyAlignment="1" applyProtection="1">
      <alignment vertical="center"/>
      <protection locked="0"/>
    </xf>
    <xf numFmtId="0" fontId="6" fillId="5" borderId="30" xfId="0" applyFont="1" applyFill="1" applyBorder="1" applyAlignment="1" applyProtection="1">
      <alignment vertical="center"/>
      <protection locked="0"/>
    </xf>
    <xf numFmtId="0" fontId="6" fillId="0" borderId="2" xfId="0" applyFont="1" applyBorder="1" applyAlignment="1" applyProtection="1">
      <alignment vertical="top"/>
      <protection hidden="1"/>
    </xf>
    <xf numFmtId="0" fontId="6" fillId="0" borderId="3" xfId="0" applyFont="1" applyBorder="1" applyAlignment="1" applyProtection="1">
      <alignment vertical="top"/>
      <protection hidden="1"/>
    </xf>
    <xf numFmtId="0" fontId="18" fillId="0" borderId="0" xfId="0" applyFont="1" applyAlignment="1" applyProtection="1">
      <alignment horizontal="left" vertical="top" wrapText="1"/>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6" fillId="3" borderId="20" xfId="0" applyFont="1" applyFill="1" applyBorder="1" applyAlignment="1" applyProtection="1">
      <alignment horizontal="left" vertical="top"/>
      <protection hidden="1"/>
    </xf>
    <xf numFmtId="0" fontId="6" fillId="3" borderId="29" xfId="0" applyFont="1" applyFill="1" applyBorder="1" applyAlignment="1" applyProtection="1">
      <alignment horizontal="left" vertical="top"/>
      <protection hidden="1"/>
    </xf>
    <xf numFmtId="0" fontId="3" fillId="3" borderId="20" xfId="0" applyFont="1" applyFill="1" applyBorder="1" applyAlignment="1" applyProtection="1">
      <alignment horizontal="left" vertical="top" wrapText="1"/>
      <protection hidden="1"/>
    </xf>
    <xf numFmtId="0" fontId="3" fillId="3" borderId="29" xfId="0" applyFont="1" applyFill="1" applyBorder="1" applyAlignment="1" applyProtection="1">
      <alignment horizontal="left" vertical="top" wrapText="1"/>
      <protection hidden="1"/>
    </xf>
    <xf numFmtId="0" fontId="3" fillId="3" borderId="30" xfId="0" applyFont="1" applyFill="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4" fillId="0" borderId="22" xfId="0" applyFont="1" applyBorder="1" applyAlignment="1" applyProtection="1">
      <alignment horizontal="left" vertical="top" wrapText="1"/>
      <protection hidden="1"/>
    </xf>
    <xf numFmtId="0" fontId="4" fillId="0" borderId="23" xfId="0" applyFont="1" applyBorder="1" applyAlignment="1" applyProtection="1">
      <alignment horizontal="left" vertical="top" wrapText="1"/>
      <protection hidden="1"/>
    </xf>
    <xf numFmtId="0" fontId="4" fillId="0" borderId="19" xfId="0" applyFont="1" applyBorder="1" applyAlignment="1" applyProtection="1">
      <alignment horizontal="left" vertical="top" wrapText="1"/>
      <protection hidden="1"/>
    </xf>
    <xf numFmtId="0" fontId="3" fillId="0" borderId="24" xfId="0" applyFont="1" applyBorder="1" applyAlignment="1" applyProtection="1">
      <alignment horizontal="left" vertical="top" wrapText="1"/>
      <protection hidden="1"/>
    </xf>
    <xf numFmtId="0" fontId="3" fillId="0" borderId="25" xfId="0" applyFont="1" applyBorder="1" applyAlignment="1" applyProtection="1">
      <alignment horizontal="left" vertical="top" wrapText="1"/>
      <protection hidden="1"/>
    </xf>
    <xf numFmtId="0" fontId="3" fillId="0" borderId="26" xfId="0" applyFont="1" applyBorder="1" applyAlignment="1" applyProtection="1">
      <alignment horizontal="left" vertical="top" wrapText="1"/>
      <protection hidden="1"/>
    </xf>
    <xf numFmtId="0" fontId="4" fillId="0" borderId="8"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10" xfId="0" applyFont="1" applyBorder="1" applyAlignment="1" applyProtection="1">
      <alignment horizontal="left" vertical="top" wrapText="1"/>
      <protection hidden="1"/>
    </xf>
    <xf numFmtId="0" fontId="6" fillId="0" borderId="22" xfId="0" applyFont="1" applyBorder="1" applyAlignment="1" applyProtection="1">
      <alignment horizontal="left" vertical="top" wrapText="1"/>
      <protection hidden="1"/>
    </xf>
    <xf numFmtId="0" fontId="6" fillId="0" borderId="23" xfId="0" applyFont="1" applyBorder="1" applyAlignment="1" applyProtection="1">
      <alignment horizontal="left" vertical="top" wrapText="1"/>
      <protection hidden="1"/>
    </xf>
    <xf numFmtId="0" fontId="6" fillId="0" borderId="19" xfId="0" applyFont="1" applyBorder="1" applyAlignment="1" applyProtection="1">
      <alignment horizontal="left" vertical="top" wrapText="1"/>
      <protection hidden="1"/>
    </xf>
    <xf numFmtId="0" fontId="34" fillId="0" borderId="0" xfId="0" applyFont="1" applyAlignment="1" applyProtection="1">
      <alignment horizontal="left" vertical="top" wrapText="1"/>
      <protection hidden="1"/>
    </xf>
    <xf numFmtId="0" fontId="6" fillId="0" borderId="24" xfId="0" applyFont="1" applyBorder="1" applyAlignment="1" applyProtection="1">
      <alignment horizontal="left" vertical="top"/>
      <protection hidden="1"/>
    </xf>
    <xf numFmtId="0" fontId="6" fillId="0" borderId="25" xfId="0" applyFont="1" applyBorder="1" applyAlignment="1" applyProtection="1">
      <alignment horizontal="left" vertical="top"/>
      <protection hidden="1"/>
    </xf>
    <xf numFmtId="0" fontId="6" fillId="0" borderId="26" xfId="0" applyFont="1" applyBorder="1" applyAlignment="1" applyProtection="1">
      <alignment horizontal="left" vertical="top"/>
      <protection hidden="1"/>
    </xf>
    <xf numFmtId="0" fontId="21" fillId="0" borderId="58" xfId="0" applyFont="1" applyBorder="1" applyAlignment="1" applyProtection="1">
      <alignment horizontal="left" vertical="top" wrapText="1"/>
      <protection hidden="1"/>
    </xf>
    <xf numFmtId="0" fontId="3" fillId="0" borderId="60" xfId="0" applyFont="1" applyBorder="1" applyAlignment="1" applyProtection="1">
      <alignment horizontal="left" vertical="top" wrapText="1"/>
      <protection hidden="1"/>
    </xf>
    <xf numFmtId="0" fontId="31" fillId="8" borderId="49" xfId="0" applyFont="1" applyFill="1" applyBorder="1" applyAlignment="1" applyProtection="1">
      <alignment vertical="center" wrapText="1"/>
      <protection hidden="1"/>
    </xf>
    <xf numFmtId="0" fontId="31" fillId="8" borderId="0" xfId="0" applyFont="1" applyFill="1" applyAlignment="1" applyProtection="1">
      <alignment vertical="center" wrapText="1"/>
      <protection hidden="1"/>
    </xf>
    <xf numFmtId="0" fontId="31" fillId="8" borderId="40" xfId="0" applyFont="1" applyFill="1" applyBorder="1" applyAlignment="1" applyProtection="1">
      <alignment vertical="center" wrapText="1"/>
      <protection hidden="1"/>
    </xf>
    <xf numFmtId="0" fontId="21" fillId="0" borderId="27" xfId="0" applyFont="1" applyBorder="1" applyAlignment="1" applyProtection="1">
      <alignment horizontal="left" vertical="top" wrapText="1"/>
      <protection hidden="1"/>
    </xf>
    <xf numFmtId="0" fontId="3" fillId="0" borderId="28" xfId="0" applyFont="1" applyBorder="1" applyAlignment="1" applyProtection="1">
      <alignment horizontal="left" vertical="top" wrapText="1"/>
      <protection hidden="1"/>
    </xf>
    <xf numFmtId="0" fontId="3" fillId="0" borderId="38" xfId="0" applyFont="1" applyBorder="1" applyAlignment="1" applyProtection="1">
      <alignment horizontal="left" vertical="top" wrapText="1"/>
      <protection hidden="1"/>
    </xf>
    <xf numFmtId="0" fontId="3" fillId="0" borderId="39" xfId="0" applyFont="1" applyBorder="1" applyAlignment="1" applyProtection="1">
      <alignment horizontal="left" vertical="top" wrapText="1"/>
      <protection hidden="1"/>
    </xf>
    <xf numFmtId="0" fontId="3" fillId="0" borderId="51" xfId="0" applyFont="1" applyBorder="1" applyAlignment="1" applyProtection="1">
      <alignment horizontal="left" vertical="top" wrapText="1"/>
      <protection hidden="1"/>
    </xf>
    <xf numFmtId="0" fontId="4" fillId="0" borderId="38" xfId="0" applyFont="1" applyBorder="1" applyAlignment="1" applyProtection="1">
      <alignment horizontal="left" vertical="top" wrapText="1"/>
      <protection hidden="1"/>
    </xf>
    <xf numFmtId="0" fontId="4" fillId="0" borderId="39" xfId="0" applyFont="1" applyBorder="1" applyAlignment="1" applyProtection="1">
      <alignment horizontal="left" vertical="top" wrapText="1"/>
      <protection hidden="1"/>
    </xf>
    <xf numFmtId="0" fontId="4" fillId="0" borderId="51" xfId="0" applyFont="1" applyBorder="1" applyAlignment="1" applyProtection="1">
      <alignment horizontal="left" vertical="top" wrapText="1"/>
      <protection hidden="1"/>
    </xf>
    <xf numFmtId="0" fontId="0" fillId="0" borderId="58" xfId="0" applyBorder="1" applyAlignment="1" applyProtection="1">
      <alignment horizontal="left" vertical="top" wrapText="1"/>
      <protection hidden="1"/>
    </xf>
    <xf numFmtId="0" fontId="4" fillId="0" borderId="60" xfId="0" applyFont="1" applyBorder="1" applyAlignment="1" applyProtection="1">
      <alignment horizontal="left" vertical="top" wrapText="1"/>
      <protection hidden="1"/>
    </xf>
    <xf numFmtId="0" fontId="6" fillId="0" borderId="28" xfId="0" applyFont="1" applyBorder="1" applyAlignment="1" applyProtection="1">
      <alignment horizontal="left" vertical="center"/>
      <protection hidden="1"/>
    </xf>
    <xf numFmtId="0" fontId="6" fillId="0" borderId="21" xfId="0" applyFont="1" applyBorder="1" applyAlignment="1" applyProtection="1">
      <alignment horizontal="left" vertical="center"/>
      <protection hidden="1"/>
    </xf>
    <xf numFmtId="0" fontId="31" fillId="0" borderId="22" xfId="0" applyFont="1" applyBorder="1" applyAlignment="1" applyProtection="1">
      <alignment horizontal="left" vertical="top"/>
      <protection hidden="1"/>
    </xf>
    <xf numFmtId="0" fontId="31" fillId="0" borderId="23" xfId="0" applyFont="1" applyBorder="1" applyAlignment="1" applyProtection="1">
      <alignment horizontal="left" vertical="top"/>
      <protection hidden="1"/>
    </xf>
    <xf numFmtId="0" fontId="31" fillId="0" borderId="19" xfId="0" applyFont="1" applyBorder="1" applyAlignment="1" applyProtection="1">
      <alignment horizontal="left" vertical="top"/>
      <protection hidden="1"/>
    </xf>
    <xf numFmtId="0" fontId="3" fillId="3" borderId="8" xfId="0" applyFont="1" applyFill="1" applyBorder="1" applyAlignment="1" applyProtection="1">
      <alignment horizontal="left" vertical="top" wrapText="1"/>
      <protection hidden="1"/>
    </xf>
    <xf numFmtId="0" fontId="3" fillId="3" borderId="9" xfId="0" applyFont="1" applyFill="1" applyBorder="1" applyAlignment="1" applyProtection="1">
      <alignment horizontal="left" vertical="top" wrapText="1"/>
      <protection hidden="1"/>
    </xf>
    <xf numFmtId="0" fontId="3" fillId="3" borderId="10" xfId="0" applyFont="1" applyFill="1" applyBorder="1" applyAlignment="1" applyProtection="1">
      <alignment horizontal="left" vertical="top" wrapText="1"/>
      <protection hidden="1"/>
    </xf>
    <xf numFmtId="0" fontId="0" fillId="0" borderId="2"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0" fillId="0" borderId="4" xfId="0"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6" fillId="3" borderId="0" xfId="0" applyFont="1" applyFill="1" applyAlignment="1" applyProtection="1">
      <alignment horizontal="left" vertical="center"/>
      <protection hidden="1"/>
    </xf>
    <xf numFmtId="0" fontId="6" fillId="0" borderId="22" xfId="0" applyFont="1" applyBorder="1" applyAlignment="1" applyProtection="1">
      <alignment horizontal="left" vertical="top"/>
      <protection hidden="1"/>
    </xf>
    <xf numFmtId="0" fontId="8" fillId="0" borderId="23" xfId="0" applyFont="1" applyBorder="1" applyAlignment="1" applyProtection="1">
      <alignment horizontal="left" vertical="top"/>
      <protection hidden="1"/>
    </xf>
    <xf numFmtId="0" fontId="8" fillId="0" borderId="19" xfId="0" applyFont="1" applyBorder="1" applyAlignment="1" applyProtection="1">
      <alignment horizontal="left" vertical="top"/>
      <protection hidden="1"/>
    </xf>
    <xf numFmtId="0" fontId="4" fillId="0" borderId="81" xfId="0" applyFont="1" applyBorder="1" applyAlignment="1" applyProtection="1">
      <alignment horizontal="left" vertical="top" wrapText="1"/>
      <protection hidden="1"/>
    </xf>
    <xf numFmtId="0" fontId="4" fillId="0" borderId="82" xfId="0" applyFont="1" applyBorder="1" applyAlignment="1" applyProtection="1">
      <alignment horizontal="left" vertical="top" wrapText="1"/>
      <protection hidden="1"/>
    </xf>
    <xf numFmtId="0" fontId="0" fillId="0" borderId="38" xfId="0" applyBorder="1" applyAlignment="1" applyProtection="1">
      <alignment vertical="center"/>
      <protection hidden="1"/>
    </xf>
    <xf numFmtId="0" fontId="0" fillId="0" borderId="39" xfId="0" applyBorder="1" applyAlignment="1" applyProtection="1">
      <alignment vertical="center"/>
      <protection hidden="1"/>
    </xf>
    <xf numFmtId="0" fontId="0" fillId="0" borderId="41" xfId="0" applyBorder="1" applyAlignment="1" applyProtection="1">
      <alignment horizontal="center" vertical="center" textRotation="90"/>
      <protection hidden="1"/>
    </xf>
    <xf numFmtId="0" fontId="0" fillId="0" borderId="42" xfId="0" applyBorder="1" applyAlignment="1" applyProtection="1">
      <alignment horizontal="center" vertical="center" textRotation="90"/>
      <protection hidden="1"/>
    </xf>
    <xf numFmtId="0" fontId="0" fillId="0" borderId="43" xfId="0" applyBorder="1" applyAlignment="1" applyProtection="1">
      <alignment horizontal="center" vertical="center" textRotation="90"/>
      <protection hidden="1"/>
    </xf>
    <xf numFmtId="0" fontId="6" fillId="3" borderId="30" xfId="0" applyFont="1" applyFill="1" applyBorder="1" applyAlignment="1" applyProtection="1">
      <alignment horizontal="left" vertical="top"/>
      <protection hidden="1"/>
    </xf>
    <xf numFmtId="0" fontId="6" fillId="0" borderId="29" xfId="0" applyFont="1" applyBorder="1" applyAlignment="1" applyProtection="1">
      <alignment horizontal="left" vertical="center"/>
      <protection hidden="1"/>
    </xf>
    <xf numFmtId="0" fontId="6" fillId="0" borderId="30" xfId="0" applyFont="1" applyBorder="1" applyAlignment="1" applyProtection="1">
      <alignment horizontal="left" vertical="center"/>
      <protection hidden="1"/>
    </xf>
    <xf numFmtId="0" fontId="40" fillId="8" borderId="0" xfId="0" applyFont="1" applyFill="1" applyAlignment="1" applyProtection="1">
      <alignment vertical="center"/>
      <protection hidden="1"/>
    </xf>
    <xf numFmtId="0" fontId="0" fillId="0" borderId="11" xfId="0" applyBorder="1" applyAlignment="1" applyProtection="1">
      <alignment vertical="center"/>
      <protection hidden="1"/>
    </xf>
    <xf numFmtId="0" fontId="0" fillId="0" borderId="0" xfId="0" applyAlignment="1" applyProtection="1">
      <alignment vertical="center"/>
      <protection hidden="1"/>
    </xf>
    <xf numFmtId="0" fontId="0" fillId="0" borderId="22" xfId="0" applyBorder="1" applyAlignment="1" applyProtection="1">
      <alignment vertical="center" wrapText="1"/>
      <protection hidden="1"/>
    </xf>
    <xf numFmtId="0" fontId="0" fillId="0" borderId="23" xfId="0" applyBorder="1" applyAlignment="1" applyProtection="1">
      <alignment vertical="center" wrapText="1"/>
      <protection hidden="1"/>
    </xf>
    <xf numFmtId="0" fontId="0" fillId="0" borderId="38" xfId="0" applyBorder="1" applyAlignment="1" applyProtection="1">
      <alignment vertical="center" wrapText="1"/>
      <protection hidden="1"/>
    </xf>
    <xf numFmtId="0" fontId="0" fillId="0" borderId="39" xfId="0" applyBorder="1" applyAlignment="1" applyProtection="1">
      <alignment vertical="center" wrapText="1"/>
      <protection hidden="1"/>
    </xf>
    <xf numFmtId="0" fontId="6" fillId="0" borderId="25" xfId="0" applyFont="1" applyBorder="1" applyAlignment="1" applyProtection="1">
      <alignment horizontal="left" vertical="center"/>
      <protection hidden="1"/>
    </xf>
    <xf numFmtId="0" fontId="6" fillId="0" borderId="26" xfId="0" applyFont="1" applyBorder="1" applyAlignment="1" applyProtection="1">
      <alignment horizontal="left" vertical="center"/>
      <protection hidden="1"/>
    </xf>
    <xf numFmtId="0" fontId="6" fillId="0" borderId="11" xfId="0" applyFont="1" applyBorder="1" applyAlignment="1" applyProtection="1">
      <alignment vertical="center"/>
      <protection hidden="1"/>
    </xf>
    <xf numFmtId="0" fontId="6" fillId="0" borderId="0" xfId="0" applyFont="1" applyAlignment="1" applyProtection="1">
      <alignment vertical="center"/>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38" fillId="8" borderId="0" xfId="0" applyFont="1" applyFill="1" applyAlignment="1" applyProtection="1">
      <alignment horizontal="center" textRotation="90"/>
      <protection hidden="1"/>
    </xf>
    <xf numFmtId="0" fontId="6" fillId="0" borderId="23" xfId="0" applyFont="1" applyBorder="1" applyAlignment="1" applyProtection="1">
      <alignment horizontal="left" vertical="center" wrapText="1"/>
      <protection hidden="1"/>
    </xf>
    <xf numFmtId="0" fontId="6" fillId="0" borderId="23" xfId="0" applyFont="1" applyBorder="1" applyAlignment="1" applyProtection="1">
      <alignment horizontal="left" vertical="center"/>
      <protection hidden="1"/>
    </xf>
    <xf numFmtId="0" fontId="6" fillId="0" borderId="19" xfId="0" applyFont="1" applyBorder="1" applyAlignment="1" applyProtection="1">
      <alignment horizontal="left" vertical="center"/>
      <protection hidden="1"/>
    </xf>
    <xf numFmtId="0" fontId="6" fillId="0" borderId="39" xfId="0" applyFont="1" applyBorder="1" applyAlignment="1" applyProtection="1">
      <alignment horizontal="left" vertical="center"/>
      <protection hidden="1"/>
    </xf>
    <xf numFmtId="0" fontId="6" fillId="0" borderId="51" xfId="0" applyFont="1" applyBorder="1" applyAlignment="1" applyProtection="1">
      <alignment horizontal="left" vertical="center"/>
      <protection hidden="1"/>
    </xf>
    <xf numFmtId="0" fontId="0" fillId="0" borderId="2" xfId="0" applyBorder="1" applyAlignment="1" applyProtection="1">
      <alignment vertical="center"/>
      <protection hidden="1"/>
    </xf>
    <xf numFmtId="0" fontId="0" fillId="0" borderId="3" xfId="0" applyBorder="1" applyAlignment="1" applyProtection="1">
      <alignment vertical="center"/>
      <protection hidden="1"/>
    </xf>
    <xf numFmtId="0" fontId="6" fillId="0" borderId="23" xfId="0" applyFont="1" applyBorder="1" applyAlignment="1" applyProtection="1">
      <alignment vertical="center"/>
      <protection hidden="1"/>
    </xf>
    <xf numFmtId="0" fontId="6" fillId="0" borderId="19" xfId="0" applyFont="1" applyBorder="1" applyAlignment="1" applyProtection="1">
      <alignment vertical="center"/>
      <protection hidden="1"/>
    </xf>
    <xf numFmtId="2" fontId="40" fillId="8" borderId="0" xfId="2" applyNumberFormat="1" applyFont="1" applyFill="1" applyAlignment="1" applyProtection="1">
      <alignment horizontal="right" vertical="center" wrapText="1"/>
      <protection hidden="1"/>
    </xf>
    <xf numFmtId="2" fontId="40" fillId="8" borderId="0" xfId="2" applyNumberFormat="1" applyFont="1" applyFill="1" applyAlignment="1" applyProtection="1">
      <alignment horizontal="right" vertical="center"/>
      <protection hidden="1"/>
    </xf>
    <xf numFmtId="0" fontId="65" fillId="0" borderId="0" xfId="1" quotePrefix="1" applyFont="1" applyAlignment="1" applyProtection="1">
      <alignment horizontal="left" vertical="top" wrapText="1"/>
      <protection hidden="1"/>
    </xf>
    <xf numFmtId="0" fontId="65" fillId="0" borderId="45" xfId="1" quotePrefix="1" applyFont="1" applyBorder="1" applyAlignment="1" applyProtection="1">
      <alignment horizontal="left" vertical="top" wrapText="1"/>
      <protection hidden="1"/>
    </xf>
    <xf numFmtId="0" fontId="21" fillId="3" borderId="0" xfId="1" applyFont="1" applyFill="1" applyAlignment="1" applyProtection="1">
      <alignment horizontal="left" vertical="top" wrapText="1"/>
      <protection hidden="1"/>
    </xf>
    <xf numFmtId="4" fontId="26" fillId="0" borderId="0" xfId="1" applyNumberFormat="1" applyFont="1" applyAlignment="1" applyProtection="1">
      <alignment horizontal="left" vertical="top" wrapText="1"/>
      <protection hidden="1"/>
    </xf>
    <xf numFmtId="0" fontId="65" fillId="0" borderId="39" xfId="1" quotePrefix="1" applyFont="1" applyBorder="1" applyAlignment="1" applyProtection="1">
      <alignment horizontal="left" vertical="top" wrapText="1"/>
      <protection hidden="1"/>
    </xf>
    <xf numFmtId="0" fontId="65" fillId="0" borderId="46" xfId="1" quotePrefix="1" applyFont="1" applyBorder="1" applyAlignment="1" applyProtection="1">
      <alignment horizontal="left" vertical="top" wrapText="1"/>
      <protection hidden="1"/>
    </xf>
    <xf numFmtId="0" fontId="0" fillId="3" borderId="3" xfId="1" applyFont="1" applyFill="1" applyBorder="1" applyAlignment="1" applyProtection="1">
      <alignment horizontal="left" vertical="top"/>
      <protection hidden="1"/>
    </xf>
    <xf numFmtId="0" fontId="0" fillId="3" borderId="0" xfId="1" applyFont="1" applyFill="1" applyAlignment="1" applyProtection="1">
      <alignment horizontal="left" vertical="top" wrapText="1"/>
      <protection hidden="1"/>
    </xf>
    <xf numFmtId="0" fontId="65" fillId="0" borderId="0" xfId="1" applyFont="1" applyAlignment="1" applyProtection="1">
      <alignment horizontal="left" vertical="top" wrapText="1"/>
      <protection hidden="1"/>
    </xf>
    <xf numFmtId="0" fontId="65" fillId="0" borderId="0" xfId="1" applyFont="1" applyAlignment="1" applyProtection="1">
      <alignment horizontal="left" vertical="top"/>
      <protection hidden="1"/>
    </xf>
    <xf numFmtId="0" fontId="65" fillId="0" borderId="6" xfId="1" quotePrefix="1" applyFont="1" applyBorder="1" applyAlignment="1" applyProtection="1">
      <alignment horizontal="left" vertical="top" wrapText="1"/>
      <protection hidden="1"/>
    </xf>
    <xf numFmtId="0" fontId="0" fillId="3" borderId="28" xfId="1" applyFont="1" applyFill="1" applyBorder="1" applyAlignment="1" applyProtection="1">
      <alignment horizontal="left" vertical="top"/>
      <protection hidden="1"/>
    </xf>
    <xf numFmtId="0" fontId="20" fillId="3" borderId="28" xfId="1" applyFont="1" applyFill="1" applyBorder="1" applyAlignment="1" applyProtection="1">
      <alignment horizontal="left" vertical="top"/>
      <protection hidden="1"/>
    </xf>
    <xf numFmtId="0" fontId="0" fillId="3" borderId="0" xfId="1" applyFont="1" applyFill="1" applyAlignment="1" applyProtection="1">
      <alignment horizontal="left" vertical="top"/>
      <protection hidden="1"/>
    </xf>
    <xf numFmtId="0" fontId="65" fillId="0" borderId="39" xfId="1" quotePrefix="1" applyFont="1" applyBorder="1" applyAlignment="1" applyProtection="1">
      <alignment horizontal="left" vertical="top"/>
      <protection hidden="1"/>
    </xf>
    <xf numFmtId="0" fontId="65" fillId="0" borderId="46" xfId="1" quotePrefix="1" applyFont="1" applyBorder="1" applyAlignment="1" applyProtection="1">
      <alignment horizontal="left" vertical="top"/>
      <protection hidden="1"/>
    </xf>
    <xf numFmtId="0" fontId="6" fillId="2" borderId="25" xfId="0" applyFont="1" applyFill="1" applyBorder="1" applyAlignment="1" applyProtection="1">
      <alignment horizontal="left" vertical="center"/>
      <protection hidden="1"/>
    </xf>
    <xf numFmtId="0" fontId="6" fillId="2" borderId="26" xfId="0" applyFont="1" applyFill="1" applyBorder="1" applyAlignment="1" applyProtection="1">
      <alignment horizontal="left" vertical="center"/>
      <protection hidden="1"/>
    </xf>
    <xf numFmtId="0" fontId="6" fillId="2" borderId="29" xfId="0" applyFont="1" applyFill="1" applyBorder="1" applyAlignment="1" applyProtection="1">
      <alignment horizontal="left" vertical="center"/>
      <protection hidden="1"/>
    </xf>
    <xf numFmtId="0" fontId="6" fillId="2" borderId="30" xfId="0" applyFont="1" applyFill="1" applyBorder="1" applyAlignment="1" applyProtection="1">
      <alignment horizontal="left" vertical="center"/>
      <protection hidden="1"/>
    </xf>
    <xf numFmtId="0" fontId="38" fillId="9" borderId="0" xfId="0" applyFont="1" applyFill="1" applyAlignment="1" applyProtection="1">
      <alignment horizontal="center" vertical="center" textRotation="90"/>
      <protection hidden="1"/>
    </xf>
    <xf numFmtId="0" fontId="6" fillId="0" borderId="19" xfId="0" applyFont="1" applyBorder="1" applyAlignment="1" applyProtection="1">
      <alignment horizontal="left" vertical="center" wrapText="1"/>
      <protection hidden="1"/>
    </xf>
    <xf numFmtId="0" fontId="6" fillId="0" borderId="29" xfId="0" applyFont="1" applyBorder="1" applyAlignment="1" applyProtection="1">
      <alignment horizontal="left" vertical="center" wrapText="1"/>
      <protection hidden="1"/>
    </xf>
    <xf numFmtId="0" fontId="6" fillId="0" borderId="30" xfId="0" applyFont="1" applyBorder="1" applyAlignment="1" applyProtection="1">
      <alignment horizontal="left" vertical="center" wrapText="1"/>
      <protection hidden="1"/>
    </xf>
    <xf numFmtId="0" fontId="8" fillId="9" borderId="0" xfId="2" applyFont="1" applyFill="1" applyAlignment="1" applyProtection="1">
      <alignment horizontal="left" vertical="top" wrapText="1"/>
      <protection hidden="1"/>
    </xf>
    <xf numFmtId="0" fontId="0" fillId="0" borderId="9" xfId="0" applyBorder="1" applyAlignment="1" applyProtection="1">
      <alignment vertical="center"/>
      <protection hidden="1"/>
    </xf>
    <xf numFmtId="0" fontId="0" fillId="0" borderId="10" xfId="0" applyBorder="1" applyAlignment="1" applyProtection="1">
      <alignment vertical="center"/>
      <protection hidden="1"/>
    </xf>
    <xf numFmtId="0" fontId="0" fillId="3" borderId="0" xfId="1" applyFont="1" applyFill="1" applyAlignment="1" applyProtection="1">
      <alignment vertical="top"/>
      <protection hidden="1"/>
    </xf>
    <xf numFmtId="4" fontId="21" fillId="3" borderId="28" xfId="1" applyNumberFormat="1" applyFont="1" applyFill="1" applyBorder="1" applyAlignment="1" applyProtection="1">
      <alignment vertical="top"/>
      <protection hidden="1"/>
    </xf>
    <xf numFmtId="0" fontId="65" fillId="0" borderId="0" xfId="1" quotePrefix="1" applyFont="1" applyAlignment="1" applyProtection="1">
      <alignment horizontal="left" vertical="top"/>
      <protection hidden="1"/>
    </xf>
    <xf numFmtId="0" fontId="65" fillId="0" borderId="39" xfId="1" quotePrefix="1" applyFont="1" applyBorder="1" applyAlignment="1" applyProtection="1">
      <alignment vertical="top"/>
      <protection hidden="1"/>
    </xf>
    <xf numFmtId="0" fontId="65" fillId="0" borderId="46" xfId="1" quotePrefix="1" applyFont="1" applyBorder="1" applyAlignment="1" applyProtection="1">
      <alignment vertical="top"/>
      <protection hidden="1"/>
    </xf>
    <xf numFmtId="0" fontId="65" fillId="0" borderId="6" xfId="1" quotePrefix="1" applyFont="1" applyBorder="1" applyAlignment="1" applyProtection="1">
      <alignment vertical="top"/>
      <protection hidden="1"/>
    </xf>
    <xf numFmtId="0" fontId="65" fillId="0" borderId="56" xfId="1" quotePrefix="1" applyFont="1" applyBorder="1" applyAlignment="1" applyProtection="1">
      <alignment vertical="top"/>
      <protection hidden="1"/>
    </xf>
    <xf numFmtId="0" fontId="0" fillId="0" borderId="0" xfId="1" applyFont="1" applyAlignment="1" applyProtection="1">
      <alignment horizontal="left" vertical="top" wrapText="1"/>
      <protection hidden="1"/>
    </xf>
    <xf numFmtId="0" fontId="20" fillId="0" borderId="0" xfId="1" applyFont="1" applyAlignment="1" applyProtection="1">
      <alignment horizontal="left" vertical="top" wrapText="1"/>
      <protection hidden="1"/>
    </xf>
    <xf numFmtId="4" fontId="65" fillId="0" borderId="0" xfId="1" applyNumberFormat="1" applyFont="1" applyAlignment="1" applyProtection="1">
      <alignment horizontal="left" vertical="top" wrapText="1"/>
      <protection hidden="1"/>
    </xf>
    <xf numFmtId="4" fontId="67" fillId="0" borderId="0" xfId="1" applyNumberFormat="1" applyFont="1" applyAlignment="1" applyProtection="1">
      <alignment horizontal="left" vertical="top" wrapText="1"/>
      <protection hidden="1"/>
    </xf>
    <xf numFmtId="0" fontId="65" fillId="0" borderId="0" xfId="1" applyFont="1" applyAlignment="1" applyProtection="1">
      <alignment vertical="top" wrapText="1"/>
      <protection hidden="1"/>
    </xf>
    <xf numFmtId="0" fontId="0" fillId="3" borderId="39" xfId="1" applyFont="1" applyFill="1" applyBorder="1" applyAlignment="1" applyProtection="1">
      <alignment vertical="top"/>
      <protection hidden="1"/>
    </xf>
    <xf numFmtId="0" fontId="21" fillId="3" borderId="0" xfId="1" applyFont="1" applyFill="1" applyAlignment="1" applyProtection="1">
      <alignment horizontal="left" vertical="top"/>
      <protection hidden="1"/>
    </xf>
    <xf numFmtId="0" fontId="0" fillId="3" borderId="28" xfId="1" applyFont="1" applyFill="1" applyBorder="1" applyAlignment="1" applyProtection="1">
      <alignment vertical="top"/>
      <protection hidden="1"/>
    </xf>
    <xf numFmtId="0" fontId="0" fillId="3" borderId="39" xfId="1" applyFont="1" applyFill="1" applyBorder="1" applyAlignment="1" applyProtection="1">
      <alignment horizontal="left" vertical="top" wrapText="1"/>
      <protection hidden="1"/>
    </xf>
    <xf numFmtId="0" fontId="65" fillId="0" borderId="0" xfId="1" applyFont="1" applyAlignment="1" applyProtection="1">
      <alignment vertical="top"/>
      <protection hidden="1"/>
    </xf>
    <xf numFmtId="4" fontId="20" fillId="3" borderId="28" xfId="1" applyNumberFormat="1" applyFont="1" applyFill="1" applyBorder="1" applyAlignment="1" applyProtection="1">
      <alignment vertical="top"/>
      <protection hidden="1"/>
    </xf>
    <xf numFmtId="4" fontId="67" fillId="0" borderId="39" xfId="1" applyNumberFormat="1" applyFont="1" applyBorder="1" applyAlignment="1" applyProtection="1">
      <alignment horizontal="left" vertical="top" wrapText="1"/>
      <protection hidden="1"/>
    </xf>
    <xf numFmtId="4" fontId="67" fillId="0" borderId="46" xfId="1" applyNumberFormat="1" applyFont="1" applyBorder="1" applyAlignment="1" applyProtection="1">
      <alignment horizontal="left" vertical="top" wrapText="1"/>
      <protection hidden="1"/>
    </xf>
    <xf numFmtId="0" fontId="20" fillId="3" borderId="3" xfId="1" applyFont="1" applyFill="1" applyBorder="1" applyAlignment="1" applyProtection="1">
      <alignment horizontal="left" vertical="top"/>
      <protection hidden="1"/>
    </xf>
    <xf numFmtId="4" fontId="0" fillId="3" borderId="28" xfId="1" applyNumberFormat="1" applyFont="1" applyFill="1" applyBorder="1" applyAlignment="1" applyProtection="1">
      <alignment vertical="top"/>
      <protection hidden="1"/>
    </xf>
    <xf numFmtId="4" fontId="26" fillId="0" borderId="0" xfId="1" applyNumberFormat="1" applyFont="1" applyAlignment="1" applyProtection="1">
      <alignment vertical="top" wrapText="1"/>
      <protection hidden="1"/>
    </xf>
    <xf numFmtId="4" fontId="26" fillId="0" borderId="45" xfId="1" applyNumberFormat="1" applyFont="1" applyBorder="1" applyAlignment="1" applyProtection="1">
      <alignment vertical="top" wrapText="1"/>
      <protection hidden="1"/>
    </xf>
    <xf numFmtId="0" fontId="65" fillId="0" borderId="39" xfId="1" applyFont="1" applyBorder="1" applyAlignment="1" applyProtection="1">
      <alignment vertical="top" wrapText="1"/>
      <protection hidden="1"/>
    </xf>
    <xf numFmtId="0" fontId="65" fillId="0" borderId="46" xfId="1" applyFont="1" applyBorder="1" applyAlignment="1" applyProtection="1">
      <alignment vertical="top" wrapText="1"/>
      <protection hidden="1"/>
    </xf>
    <xf numFmtId="0" fontId="65" fillId="0" borderId="39" xfId="1" applyFont="1" applyBorder="1" applyAlignment="1" applyProtection="1">
      <alignment vertical="top"/>
      <protection hidden="1"/>
    </xf>
    <xf numFmtId="0" fontId="65" fillId="0" borderId="46" xfId="1" applyFont="1" applyBorder="1" applyAlignment="1" applyProtection="1">
      <alignment vertical="top"/>
      <protection hidden="1"/>
    </xf>
    <xf numFmtId="0" fontId="65" fillId="0" borderId="45" xfId="1" applyFont="1" applyBorder="1" applyAlignment="1" applyProtection="1">
      <alignment vertical="top" wrapText="1"/>
      <protection hidden="1"/>
    </xf>
    <xf numFmtId="0" fontId="20" fillId="3" borderId="28" xfId="1" applyFont="1" applyFill="1" applyBorder="1" applyAlignment="1" applyProtection="1">
      <alignment vertical="top"/>
      <protection hidden="1"/>
    </xf>
    <xf numFmtId="0" fontId="13" fillId="0" borderId="39" xfId="1" quotePrefix="1" applyFont="1" applyBorder="1" applyAlignment="1" applyProtection="1">
      <alignment vertical="top"/>
      <protection hidden="1"/>
    </xf>
    <xf numFmtId="0" fontId="13" fillId="0" borderId="46" xfId="1" quotePrefix="1" applyFont="1" applyBorder="1" applyAlignment="1" applyProtection="1">
      <alignment vertical="top"/>
      <protection hidden="1"/>
    </xf>
    <xf numFmtId="4" fontId="65" fillId="0" borderId="39" xfId="1" applyNumberFormat="1" applyFont="1" applyBorder="1" applyAlignment="1" applyProtection="1">
      <alignment vertical="top"/>
      <protection hidden="1"/>
    </xf>
    <xf numFmtId="4" fontId="65" fillId="0" borderId="46" xfId="1" applyNumberFormat="1" applyFont="1" applyBorder="1" applyAlignment="1" applyProtection="1">
      <alignment vertical="top"/>
      <protection hidden="1"/>
    </xf>
    <xf numFmtId="4" fontId="26" fillId="0" borderId="0" xfId="1" applyNumberFormat="1" applyFont="1" applyAlignment="1" applyProtection="1">
      <alignment vertical="top"/>
      <protection hidden="1"/>
    </xf>
    <xf numFmtId="4" fontId="26" fillId="0" borderId="45" xfId="1" applyNumberFormat="1" applyFont="1" applyBorder="1" applyAlignment="1" applyProtection="1">
      <alignment vertical="top"/>
      <protection hidden="1"/>
    </xf>
    <xf numFmtId="0" fontId="0" fillId="3" borderId="6" xfId="1" applyFont="1" applyFill="1" applyBorder="1" applyAlignment="1" applyProtection="1">
      <alignment vertical="top"/>
      <protection hidden="1"/>
    </xf>
    <xf numFmtId="0" fontId="4" fillId="0" borderId="6" xfId="1" applyFont="1" applyBorder="1" applyAlignment="1" applyProtection="1">
      <alignment horizontal="left" vertical="top" wrapText="1"/>
      <protection hidden="1"/>
    </xf>
    <xf numFmtId="0" fontId="4" fillId="0" borderId="28" xfId="1" quotePrefix="1" applyFont="1" applyBorder="1" applyAlignment="1" applyProtection="1">
      <alignment horizontal="left" vertical="top"/>
      <protection hidden="1"/>
    </xf>
    <xf numFmtId="0" fontId="4" fillId="0" borderId="44" xfId="1" quotePrefix="1" applyFont="1" applyBorder="1" applyAlignment="1" applyProtection="1">
      <alignment horizontal="left" vertical="top"/>
      <protection hidden="1"/>
    </xf>
    <xf numFmtId="0" fontId="6" fillId="2" borderId="8" xfId="1" applyFont="1" applyFill="1" applyBorder="1" applyAlignment="1" applyProtection="1">
      <alignment horizontal="left" vertical="center" wrapText="1"/>
      <protection hidden="1"/>
    </xf>
    <xf numFmtId="0" fontId="6" fillId="2" borderId="9" xfId="1" applyFont="1" applyFill="1" applyBorder="1" applyAlignment="1" applyProtection="1">
      <alignment horizontal="left" vertical="center" wrapText="1"/>
      <protection hidden="1"/>
    </xf>
    <xf numFmtId="0" fontId="6" fillId="2" borderId="10" xfId="1" applyFont="1" applyFill="1" applyBorder="1" applyAlignment="1" applyProtection="1">
      <alignment horizontal="left" vertical="center" wrapText="1"/>
      <protection hidden="1"/>
    </xf>
    <xf numFmtId="0" fontId="38" fillId="11" borderId="0" xfId="0" applyFont="1" applyFill="1" applyAlignment="1" applyProtection="1">
      <alignment horizontal="center" vertical="center" textRotation="90"/>
      <protection hidden="1"/>
    </xf>
    <xf numFmtId="0" fontId="8" fillId="11" borderId="0" xfId="2" applyFont="1" applyFill="1" applyAlignment="1" applyProtection="1">
      <alignment horizontal="left" vertical="top" wrapText="1"/>
      <protection hidden="1"/>
    </xf>
    <xf numFmtId="0" fontId="8" fillId="11" borderId="45" xfId="2" applyFont="1" applyFill="1" applyBorder="1" applyAlignment="1" applyProtection="1">
      <alignment horizontal="left" vertical="top" wrapText="1"/>
      <protection hidden="1"/>
    </xf>
    <xf numFmtId="0" fontId="0" fillId="3" borderId="6" xfId="1" applyFont="1" applyFill="1" applyBorder="1" applyAlignment="1" applyProtection="1">
      <alignment horizontal="left" vertical="top" wrapText="1"/>
      <protection hidden="1"/>
    </xf>
    <xf numFmtId="4" fontId="26" fillId="0" borderId="6" xfId="1" applyNumberFormat="1" applyFont="1" applyBorder="1" applyAlignment="1" applyProtection="1">
      <alignment vertical="top"/>
      <protection hidden="1"/>
    </xf>
    <xf numFmtId="0" fontId="21" fillId="3" borderId="28" xfId="1" applyFont="1" applyFill="1" applyBorder="1" applyAlignment="1" applyProtection="1">
      <alignment horizontal="left" vertical="top"/>
      <protection hidden="1"/>
    </xf>
    <xf numFmtId="0" fontId="0" fillId="3" borderId="6" xfId="1" applyFont="1" applyFill="1" applyBorder="1" applyAlignment="1" applyProtection="1">
      <alignment horizontal="left" vertical="top"/>
      <protection hidden="1"/>
    </xf>
    <xf numFmtId="0" fontId="0" fillId="3" borderId="39" xfId="1" applyFont="1" applyFill="1" applyBorder="1" applyAlignment="1" applyProtection="1">
      <alignment horizontal="left" vertical="top"/>
      <protection hidden="1"/>
    </xf>
    <xf numFmtId="0" fontId="21" fillId="3" borderId="39" xfId="1" applyFont="1" applyFill="1" applyBorder="1" applyAlignment="1" applyProtection="1">
      <alignment horizontal="left" vertical="top" wrapText="1"/>
      <protection hidden="1"/>
    </xf>
    <xf numFmtId="4" fontId="26" fillId="0" borderId="39" xfId="1" applyNumberFormat="1" applyFont="1" applyBorder="1" applyAlignment="1" applyProtection="1">
      <alignment horizontal="left" vertical="top" wrapText="1"/>
      <protection hidden="1"/>
    </xf>
    <xf numFmtId="0" fontId="6" fillId="2" borderId="8" xfId="1" applyFont="1" applyFill="1" applyBorder="1" applyAlignment="1" applyProtection="1">
      <alignment horizontal="left" vertical="top" wrapText="1"/>
      <protection hidden="1"/>
    </xf>
    <xf numFmtId="0" fontId="6" fillId="2" borderId="9" xfId="1" applyFont="1" applyFill="1" applyBorder="1" applyAlignment="1" applyProtection="1">
      <alignment horizontal="left" vertical="top" wrapText="1"/>
      <protection hidden="1"/>
    </xf>
    <xf numFmtId="0" fontId="6" fillId="2" borderId="10" xfId="1" applyFont="1" applyFill="1" applyBorder="1" applyAlignment="1" applyProtection="1">
      <alignment horizontal="left" vertical="top" wrapText="1"/>
      <protection hidden="1"/>
    </xf>
    <xf numFmtId="4" fontId="26" fillId="0" borderId="39" xfId="1" applyNumberFormat="1" applyFont="1" applyBorder="1" applyAlignment="1" applyProtection="1">
      <alignment vertical="top"/>
      <protection hidden="1"/>
    </xf>
    <xf numFmtId="0" fontId="0" fillId="4" borderId="0" xfId="1" applyFont="1" applyFill="1" applyAlignment="1" applyProtection="1">
      <alignment vertical="top"/>
      <protection locked="0"/>
    </xf>
    <xf numFmtId="4" fontId="26" fillId="0" borderId="39" xfId="1" quotePrefix="1" applyNumberFormat="1" applyFont="1" applyBorder="1" applyAlignment="1" applyProtection="1">
      <alignment vertical="top"/>
      <protection hidden="1"/>
    </xf>
    <xf numFmtId="0" fontId="38" fillId="12" borderId="0" xfId="0" applyFont="1" applyFill="1" applyAlignment="1" applyProtection="1">
      <alignment horizontal="center" vertical="center" textRotation="90"/>
      <protection hidden="1"/>
    </xf>
    <xf numFmtId="0" fontId="8" fillId="12" borderId="0" xfId="2" applyFont="1" applyFill="1" applyAlignment="1" applyProtection="1">
      <alignment horizontal="left" vertical="top" wrapText="1"/>
      <protection hidden="1"/>
    </xf>
    <xf numFmtId="0" fontId="8" fillId="12" borderId="45" xfId="2" applyFont="1" applyFill="1" applyBorder="1" applyAlignment="1" applyProtection="1">
      <alignment horizontal="left" vertical="top" wrapText="1"/>
      <protection hidden="1"/>
    </xf>
    <xf numFmtId="0" fontId="0" fillId="0" borderId="6" xfId="1" applyFont="1" applyBorder="1" applyAlignment="1" applyProtection="1">
      <alignment horizontal="left" vertical="top" wrapText="1"/>
      <protection hidden="1"/>
    </xf>
    <xf numFmtId="164" fontId="65" fillId="0" borderId="0" xfId="1" applyNumberFormat="1" applyFont="1" applyAlignment="1" applyProtection="1">
      <alignment horizontal="left" vertical="top" wrapText="1"/>
      <protection hidden="1"/>
    </xf>
    <xf numFmtId="49" fontId="65" fillId="0" borderId="0" xfId="1" applyNumberFormat="1" applyFont="1" applyAlignment="1" applyProtection="1">
      <alignment horizontal="left" vertical="top"/>
      <protection hidden="1"/>
    </xf>
    <xf numFmtId="49" fontId="65" fillId="0" borderId="45" xfId="1" applyNumberFormat="1" applyFont="1" applyBorder="1" applyAlignment="1" applyProtection="1">
      <alignment horizontal="left" vertical="top"/>
      <protection hidden="1"/>
    </xf>
    <xf numFmtId="164" fontId="65" fillId="0" borderId="45" xfId="1"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0" fillId="0" borderId="13" xfId="0" applyBorder="1" applyAlignment="1" applyProtection="1">
      <alignment horizontal="left" vertical="center"/>
      <protection hidden="1"/>
    </xf>
    <xf numFmtId="164" fontId="65" fillId="0" borderId="0" xfId="1" applyNumberFormat="1" applyFont="1" applyAlignment="1" applyProtection="1">
      <alignment horizontal="left" vertical="top"/>
      <protection hidden="1"/>
    </xf>
    <xf numFmtId="164" fontId="65" fillId="0" borderId="45" xfId="1" applyNumberFormat="1" applyFont="1" applyBorder="1" applyAlignment="1" applyProtection="1">
      <alignment horizontal="left" vertical="top"/>
      <protection hidden="1"/>
    </xf>
    <xf numFmtId="49" fontId="65" fillId="0" borderId="0" xfId="1" applyNumberFormat="1" applyFont="1" applyAlignment="1" applyProtection="1">
      <alignment horizontal="left" vertical="top" wrapText="1"/>
      <protection hidden="1"/>
    </xf>
    <xf numFmtId="49" fontId="65" fillId="0" borderId="45" xfId="1" applyNumberFormat="1" applyFont="1" applyBorder="1" applyAlignment="1" applyProtection="1">
      <alignment horizontal="left" vertical="top" wrapText="1"/>
      <protection hidden="1"/>
    </xf>
    <xf numFmtId="0" fontId="6" fillId="2" borderId="23" xfId="0" applyFont="1" applyFill="1" applyBorder="1" applyAlignment="1" applyProtection="1">
      <alignment vertical="center"/>
      <protection hidden="1"/>
    </xf>
    <xf numFmtId="0" fontId="6" fillId="2" borderId="25" xfId="0" applyFont="1" applyFill="1" applyBorder="1" applyAlignment="1" applyProtection="1">
      <alignment vertical="center"/>
      <protection hidden="1"/>
    </xf>
    <xf numFmtId="0" fontId="6" fillId="2" borderId="26" xfId="0" applyFont="1" applyFill="1" applyBorder="1" applyAlignment="1" applyProtection="1">
      <alignment vertical="center"/>
      <protection hidden="1"/>
    </xf>
    <xf numFmtId="0" fontId="38" fillId="10" borderId="0" xfId="0" applyFont="1" applyFill="1" applyAlignment="1" applyProtection="1">
      <alignment horizontal="center" vertical="center" textRotation="90"/>
      <protection hidden="1"/>
    </xf>
    <xf numFmtId="0" fontId="6" fillId="10" borderId="0" xfId="0" applyFont="1" applyFill="1" applyAlignment="1" applyProtection="1">
      <alignment horizontal="left" vertical="top" wrapText="1"/>
      <protection hidden="1"/>
    </xf>
    <xf numFmtId="0" fontId="6" fillId="10" borderId="45" xfId="0" applyFont="1" applyFill="1" applyBorder="1" applyAlignment="1" applyProtection="1">
      <alignment horizontal="left" vertical="top" wrapText="1"/>
      <protection hidden="1"/>
    </xf>
    <xf numFmtId="0" fontId="65" fillId="0" borderId="45" xfId="1" applyFont="1" applyBorder="1" applyAlignment="1" applyProtection="1">
      <alignment horizontal="left" vertical="top" wrapText="1"/>
      <protection hidden="1"/>
    </xf>
    <xf numFmtId="0" fontId="6" fillId="2" borderId="29" xfId="0" applyFont="1" applyFill="1" applyBorder="1" applyAlignment="1" applyProtection="1">
      <alignment vertical="center"/>
      <protection hidden="1"/>
    </xf>
    <xf numFmtId="0" fontId="6" fillId="2" borderId="30" xfId="0" applyFont="1" applyFill="1" applyBorder="1" applyAlignment="1" applyProtection="1">
      <alignment vertical="center"/>
      <protection hidden="1"/>
    </xf>
    <xf numFmtId="4" fontId="0" fillId="5" borderId="44" xfId="1" applyNumberFormat="1" applyFont="1" applyFill="1" applyBorder="1" applyAlignment="1" applyProtection="1">
      <alignment horizontal="center" vertical="top"/>
      <protection locked="0"/>
    </xf>
    <xf numFmtId="4" fontId="0" fillId="5" borderId="64" xfId="1" applyNumberFormat="1" applyFont="1" applyFill="1" applyBorder="1" applyAlignment="1" applyProtection="1">
      <alignment horizontal="center" vertical="top"/>
      <protection locked="0"/>
    </xf>
    <xf numFmtId="4" fontId="8" fillId="15" borderId="49" xfId="0" applyNumberFormat="1" applyFont="1" applyFill="1" applyBorder="1" applyAlignment="1" applyProtection="1">
      <alignment horizontal="left" vertical="top"/>
      <protection hidden="1"/>
    </xf>
    <xf numFmtId="4" fontId="8" fillId="15" borderId="45" xfId="0" applyNumberFormat="1" applyFont="1" applyFill="1" applyBorder="1" applyAlignment="1" applyProtection="1">
      <alignment horizontal="left" vertical="top"/>
      <protection hidden="1"/>
    </xf>
    <xf numFmtId="0" fontId="21" fillId="3" borderId="0" xfId="1" quotePrefix="1" applyFont="1" applyFill="1" applyAlignment="1" applyProtection="1">
      <alignment vertical="top" wrapText="1"/>
      <protection hidden="1"/>
    </xf>
    <xf numFmtId="0" fontId="21" fillId="3" borderId="46" xfId="1" quotePrefix="1" applyFont="1" applyFill="1" applyBorder="1" applyAlignment="1" applyProtection="1">
      <alignment vertical="top" wrapText="1"/>
      <protection hidden="1"/>
    </xf>
    <xf numFmtId="164" fontId="21" fillId="3" borderId="0" xfId="1" applyNumberFormat="1" applyFont="1" applyFill="1" applyAlignment="1" applyProtection="1">
      <alignment vertical="top"/>
      <protection hidden="1"/>
    </xf>
    <xf numFmtId="164" fontId="21" fillId="3" borderId="45" xfId="1" applyNumberFormat="1" applyFont="1" applyFill="1" applyBorder="1" applyAlignment="1" applyProtection="1">
      <alignment vertical="top"/>
      <protection hidden="1"/>
    </xf>
    <xf numFmtId="0" fontId="21" fillId="3" borderId="45" xfId="1" quotePrefix="1" applyFont="1" applyFill="1" applyBorder="1" applyAlignment="1" applyProtection="1">
      <alignment vertical="top" wrapText="1"/>
      <protection hidden="1"/>
    </xf>
    <xf numFmtId="0" fontId="38" fillId="15" borderId="0" xfId="0" applyFont="1" applyFill="1" applyAlignment="1" applyProtection="1">
      <alignment horizontal="center" vertical="center" textRotation="90"/>
      <protection hidden="1"/>
    </xf>
    <xf numFmtId="0" fontId="6" fillId="0" borderId="22" xfId="0" applyFont="1" applyBorder="1" applyAlignment="1" applyProtection="1">
      <alignment vertical="center"/>
      <protection hidden="1"/>
    </xf>
    <xf numFmtId="0" fontId="6" fillId="15" borderId="0" xfId="0" applyFont="1" applyFill="1" applyAlignment="1" applyProtection="1">
      <alignment vertical="top" wrapText="1"/>
      <protection hidden="1"/>
    </xf>
    <xf numFmtId="0" fontId="6" fillId="15" borderId="45" xfId="0" applyFont="1" applyFill="1" applyBorder="1" applyAlignment="1" applyProtection="1">
      <alignment vertical="top" wrapText="1"/>
      <protection hidden="1"/>
    </xf>
    <xf numFmtId="4" fontId="6" fillId="15" borderId="49" xfId="0" applyNumberFormat="1" applyFont="1" applyFill="1" applyBorder="1" applyAlignment="1" applyProtection="1">
      <alignment horizontal="center" vertical="top" wrapText="1"/>
      <protection hidden="1"/>
    </xf>
    <xf numFmtId="4" fontId="6" fillId="15" borderId="45" xfId="0" applyNumberFormat="1" applyFont="1" applyFill="1" applyBorder="1" applyAlignment="1" applyProtection="1">
      <alignment horizontal="center" vertical="top"/>
      <protection hidden="1"/>
    </xf>
    <xf numFmtId="4" fontId="0" fillId="0" borderId="49" xfId="1" applyNumberFormat="1" applyFont="1" applyBorder="1" applyAlignment="1" applyProtection="1">
      <alignment vertical="top" wrapText="1"/>
      <protection hidden="1"/>
    </xf>
    <xf numFmtId="4" fontId="0" fillId="0" borderId="45" xfId="1" applyNumberFormat="1" applyFont="1" applyBorder="1" applyAlignment="1" applyProtection="1">
      <alignment vertical="top" wrapText="1"/>
      <protection hidden="1"/>
    </xf>
    <xf numFmtId="0" fontId="10" fillId="0" borderId="49" xfId="1" applyFont="1" applyBorder="1" applyAlignment="1" applyProtection="1">
      <alignment horizontal="left" wrapText="1"/>
      <protection hidden="1"/>
    </xf>
    <xf numFmtId="0" fontId="10" fillId="0" borderId="45" xfId="1" applyFont="1" applyBorder="1" applyAlignment="1" applyProtection="1">
      <alignment horizontal="left" wrapText="1"/>
      <protection hidden="1"/>
    </xf>
    <xf numFmtId="0" fontId="29" fillId="0" borderId="49" xfId="1" applyFont="1" applyBorder="1" applyAlignment="1" applyProtection="1">
      <alignment horizontal="left" vertical="top"/>
      <protection hidden="1"/>
    </xf>
    <xf numFmtId="0" fontId="29" fillId="0" borderId="45" xfId="1" applyFont="1" applyBorder="1" applyAlignment="1" applyProtection="1">
      <alignment horizontal="left" vertical="top"/>
      <protection hidden="1"/>
    </xf>
    <xf numFmtId="0" fontId="0" fillId="0" borderId="49" xfId="1" applyFont="1" applyBorder="1" applyAlignment="1" applyProtection="1">
      <alignment horizontal="right" vertical="top"/>
      <protection locked="0"/>
    </xf>
    <xf numFmtId="0" fontId="0" fillId="0" borderId="45" xfId="1" applyFont="1" applyBorder="1" applyAlignment="1" applyProtection="1">
      <alignment horizontal="right" vertical="top"/>
      <protection locked="0"/>
    </xf>
    <xf numFmtId="0" fontId="0" fillId="0" borderId="69" xfId="1" applyFont="1" applyBorder="1" applyAlignment="1" applyProtection="1">
      <alignment horizontal="right" vertical="top"/>
      <protection hidden="1"/>
    </xf>
    <xf numFmtId="0" fontId="0" fillId="0" borderId="46" xfId="1" applyFont="1" applyBorder="1" applyAlignment="1" applyProtection="1">
      <alignment horizontal="right" vertical="top"/>
      <protection hidden="1"/>
    </xf>
    <xf numFmtId="0" fontId="10" fillId="0" borderId="69" xfId="1" applyFont="1" applyBorder="1" applyAlignment="1" applyProtection="1">
      <alignment horizontal="left" wrapText="1"/>
      <protection hidden="1"/>
    </xf>
    <xf numFmtId="0" fontId="10" fillId="0" borderId="46" xfId="1" applyFont="1" applyBorder="1" applyAlignment="1" applyProtection="1">
      <alignment horizontal="left" wrapText="1"/>
      <protection hidden="1"/>
    </xf>
    <xf numFmtId="0" fontId="0" fillId="3" borderId="0" xfId="1" applyFont="1" applyFill="1" applyProtection="1">
      <protection hidden="1"/>
    </xf>
    <xf numFmtId="0" fontId="0" fillId="3" borderId="45" xfId="1" applyFont="1" applyFill="1" applyBorder="1" applyProtection="1">
      <protection hidden="1"/>
    </xf>
    <xf numFmtId="164" fontId="21" fillId="3" borderId="0" xfId="1" quotePrefix="1" applyNumberFormat="1" applyFont="1" applyFill="1" applyAlignment="1" applyProtection="1">
      <alignment horizontal="left" vertical="top" wrapText="1"/>
      <protection hidden="1"/>
    </xf>
    <xf numFmtId="164" fontId="21" fillId="3" borderId="45" xfId="1" quotePrefix="1" applyNumberFormat="1" applyFont="1" applyFill="1" applyBorder="1" applyAlignment="1" applyProtection="1">
      <alignment horizontal="left" vertical="top" wrapText="1"/>
      <protection hidden="1"/>
    </xf>
    <xf numFmtId="164" fontId="21" fillId="3" borderId="0" xfId="1" quotePrefix="1" applyNumberFormat="1" applyFont="1" applyFill="1" applyAlignment="1" applyProtection="1">
      <alignment horizontal="left" vertical="top"/>
      <protection hidden="1"/>
    </xf>
    <xf numFmtId="164" fontId="21" fillId="3" borderId="45" xfId="1" quotePrefix="1" applyNumberFormat="1" applyFont="1" applyFill="1" applyBorder="1" applyAlignment="1" applyProtection="1">
      <alignment horizontal="left" vertical="top"/>
      <protection hidden="1"/>
    </xf>
    <xf numFmtId="0" fontId="21" fillId="3" borderId="0" xfId="1" quotePrefix="1" applyFont="1" applyFill="1" applyAlignment="1" applyProtection="1">
      <alignment horizontal="left" vertical="top"/>
      <protection hidden="1"/>
    </xf>
    <xf numFmtId="0" fontId="21" fillId="3" borderId="45" xfId="1" quotePrefix="1" applyFont="1" applyFill="1" applyBorder="1" applyAlignment="1" applyProtection="1">
      <alignment horizontal="left" vertical="top"/>
      <protection hidden="1"/>
    </xf>
    <xf numFmtId="4" fontId="0" fillId="0" borderId="69" xfId="1" applyNumberFormat="1" applyFont="1" applyBorder="1" applyAlignment="1" applyProtection="1">
      <alignment horizontal="center" vertical="top"/>
      <protection hidden="1"/>
    </xf>
    <xf numFmtId="4" fontId="0" fillId="0" borderId="46" xfId="1" applyNumberFormat="1" applyFont="1" applyBorder="1" applyAlignment="1" applyProtection="1">
      <alignment horizontal="center" vertical="top"/>
      <protection hidden="1"/>
    </xf>
    <xf numFmtId="0" fontId="6" fillId="16" borderId="0" xfId="0" applyFont="1" applyFill="1" applyAlignment="1" applyProtection="1">
      <alignment horizontal="left" vertical="top" wrapText="1"/>
      <protection hidden="1"/>
    </xf>
    <xf numFmtId="4" fontId="6" fillId="16" borderId="54" xfId="0" applyNumberFormat="1" applyFont="1" applyFill="1" applyBorder="1" applyAlignment="1" applyProtection="1">
      <alignment horizontal="center" vertical="top" wrapText="1"/>
      <protection hidden="1"/>
    </xf>
    <xf numFmtId="4" fontId="6" fillId="16" borderId="54" xfId="0" applyNumberFormat="1" applyFont="1" applyFill="1" applyBorder="1" applyAlignment="1" applyProtection="1">
      <alignment horizontal="center" vertical="top"/>
      <protection hidden="1"/>
    </xf>
    <xf numFmtId="0" fontId="38" fillId="16" borderId="0" xfId="0" applyFont="1" applyFill="1" applyAlignment="1" applyProtection="1">
      <alignment horizontal="center" vertical="center" textRotation="90"/>
      <protection hidden="1"/>
    </xf>
    <xf numFmtId="4" fontId="0" fillId="5" borderId="67" xfId="1" applyNumberFormat="1" applyFont="1" applyFill="1" applyBorder="1" applyAlignment="1" applyProtection="1">
      <alignment horizontal="center" vertical="top"/>
      <protection locked="0"/>
    </xf>
    <xf numFmtId="4" fontId="0" fillId="5" borderId="63" xfId="1" applyNumberFormat="1" applyFont="1" applyFill="1" applyBorder="1" applyAlignment="1" applyProtection="1">
      <alignment horizontal="center" vertical="top"/>
      <protection locked="0"/>
    </xf>
    <xf numFmtId="4" fontId="0" fillId="0" borderId="49" xfId="1" applyNumberFormat="1" applyFont="1" applyBorder="1" applyAlignment="1" applyProtection="1">
      <alignment horizontal="center" vertical="top"/>
      <protection hidden="1"/>
    </xf>
    <xf numFmtId="4" fontId="0" fillId="0" borderId="45" xfId="1" applyNumberFormat="1" applyFont="1" applyBorder="1" applyAlignment="1" applyProtection="1">
      <alignment horizontal="center" vertical="top"/>
      <protection hidden="1"/>
    </xf>
    <xf numFmtId="0" fontId="21" fillId="3" borderId="0" xfId="1" quotePrefix="1" applyFont="1" applyFill="1" applyAlignment="1" applyProtection="1">
      <alignment horizontal="left" vertical="top" wrapText="1"/>
      <protection hidden="1"/>
    </xf>
    <xf numFmtId="164" fontId="21" fillId="3" borderId="0" xfId="1" applyNumberFormat="1" applyFont="1" applyFill="1" applyAlignment="1" applyProtection="1">
      <alignment horizontal="left" vertical="top" wrapText="1"/>
      <protection hidden="1"/>
    </xf>
    <xf numFmtId="164" fontId="21" fillId="3" borderId="0" xfId="1" applyNumberFormat="1" applyFont="1" applyFill="1" applyAlignment="1" applyProtection="1">
      <alignment horizontal="left" vertical="top"/>
      <protection hidden="1"/>
    </xf>
    <xf numFmtId="0" fontId="0" fillId="4" borderId="29" xfId="0" quotePrefix="1" applyFill="1" applyBorder="1" applyAlignment="1" applyProtection="1">
      <alignment vertical="top"/>
      <protection locked="0"/>
    </xf>
    <xf numFmtId="0" fontId="0" fillId="4" borderId="30" xfId="0" quotePrefix="1" applyFill="1" applyBorder="1" applyAlignment="1" applyProtection="1">
      <alignment vertical="top"/>
      <protection locked="0"/>
    </xf>
    <xf numFmtId="0" fontId="0" fillId="5" borderId="5"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22" xfId="0" applyFill="1" applyBorder="1" applyAlignment="1" applyProtection="1">
      <alignment horizontal="left" vertical="top"/>
      <protection locked="0"/>
    </xf>
    <xf numFmtId="0" fontId="0" fillId="5" borderId="19" xfId="0" applyFill="1" applyBorder="1" applyAlignment="1" applyProtection="1">
      <alignment horizontal="left" vertical="top"/>
      <protection locked="0"/>
    </xf>
    <xf numFmtId="0" fontId="0" fillId="0" borderId="25" xfId="0" quotePrefix="1" applyBorder="1" applyAlignment="1">
      <alignment vertical="top"/>
    </xf>
    <xf numFmtId="0" fontId="0" fillId="0" borderId="26" xfId="0" quotePrefix="1" applyBorder="1" applyAlignment="1">
      <alignment vertical="top"/>
    </xf>
    <xf numFmtId="16" fontId="0" fillId="0" borderId="27" xfId="0" quotePrefix="1" applyNumberFormat="1" applyBorder="1" applyAlignment="1" applyProtection="1">
      <alignment horizontal="left" vertical="top" wrapText="1"/>
      <protection hidden="1"/>
    </xf>
    <xf numFmtId="16" fontId="0" fillId="0" borderId="28" xfId="0" quotePrefix="1" applyNumberFormat="1" applyBorder="1" applyAlignment="1" applyProtection="1">
      <alignment horizontal="left" vertical="top" wrapText="1"/>
      <protection hidden="1"/>
    </xf>
    <xf numFmtId="16" fontId="0" fillId="0" borderId="0" xfId="0" quotePrefix="1" applyNumberFormat="1" applyAlignment="1" applyProtection="1">
      <alignment horizontal="left" vertical="top" wrapText="1"/>
      <protection hidden="1"/>
    </xf>
    <xf numFmtId="16" fontId="0" fillId="0" borderId="29" xfId="0" quotePrefix="1" applyNumberFormat="1" applyBorder="1" applyAlignment="1" applyProtection="1">
      <alignment horizontal="left" vertical="top" wrapText="1"/>
      <protection hidden="1"/>
    </xf>
    <xf numFmtId="16" fontId="0" fillId="0" borderId="13" xfId="0" quotePrefix="1" applyNumberFormat="1" applyBorder="1" applyAlignment="1" applyProtection="1">
      <alignment horizontal="left" vertical="top" wrapText="1"/>
      <protection hidden="1"/>
    </xf>
    <xf numFmtId="0" fontId="0" fillId="0" borderId="27" xfId="0" applyBorder="1" applyAlignment="1" applyProtection="1">
      <alignment horizontal="left" vertical="center" wrapText="1"/>
      <protection hidden="1"/>
    </xf>
    <xf numFmtId="0" fontId="0" fillId="0" borderId="28" xfId="0" applyBorder="1" applyAlignment="1" applyProtection="1">
      <alignment horizontal="left" vertical="center" wrapText="1"/>
      <protection hidden="1"/>
    </xf>
    <xf numFmtId="0" fontId="0" fillId="0" borderId="21" xfId="0" applyBorder="1" applyAlignment="1" applyProtection="1">
      <alignment horizontal="left" vertical="center" wrapText="1"/>
      <protection hidden="1"/>
    </xf>
    <xf numFmtId="0" fontId="0" fillId="0" borderId="0" xfId="0" applyAlignment="1" applyProtection="1">
      <alignment horizontal="left" vertical="top" wrapText="1"/>
      <protection hidden="1"/>
    </xf>
    <xf numFmtId="0" fontId="0" fillId="0" borderId="25" xfId="0" applyBorder="1" applyAlignment="1" applyProtection="1">
      <alignment horizontal="left" vertical="top" wrapText="1"/>
      <protection hidden="1"/>
    </xf>
    <xf numFmtId="0" fontId="0" fillId="0" borderId="26" xfId="0" applyBorder="1" applyAlignment="1" applyProtection="1">
      <alignment horizontal="left" vertical="top" wrapText="1"/>
      <protection hidden="1"/>
    </xf>
    <xf numFmtId="0" fontId="0" fillId="4" borderId="20" xfId="0" applyFill="1" applyBorder="1" applyAlignment="1" applyProtection="1">
      <alignment vertical="center" wrapText="1"/>
      <protection locked="0"/>
    </xf>
    <xf numFmtId="0" fontId="0" fillId="4" borderId="29" xfId="0" applyFill="1" applyBorder="1" applyAlignment="1" applyProtection="1">
      <alignment vertical="center" wrapText="1"/>
      <protection locked="0"/>
    </xf>
    <xf numFmtId="0" fontId="0" fillId="4" borderId="30" xfId="0" applyFill="1" applyBorder="1" applyAlignment="1" applyProtection="1">
      <alignment vertical="center" wrapText="1"/>
      <protection locked="0"/>
    </xf>
    <xf numFmtId="16" fontId="0" fillId="4" borderId="24" xfId="0" quotePrefix="1" applyNumberFormat="1" applyFill="1" applyBorder="1" applyAlignment="1" applyProtection="1">
      <alignment vertical="top"/>
      <protection locked="0"/>
    </xf>
    <xf numFmtId="16" fontId="0" fillId="4" borderId="25" xfId="0" quotePrefix="1" applyNumberFormat="1" applyFill="1" applyBorder="1" applyAlignment="1" applyProtection="1">
      <alignment vertical="top"/>
      <protection locked="0"/>
    </xf>
    <xf numFmtId="16" fontId="0" fillId="4" borderId="20" xfId="0" quotePrefix="1" applyNumberFormat="1" applyFill="1" applyBorder="1" applyAlignment="1" applyProtection="1">
      <alignment horizontal="left" vertical="top"/>
      <protection locked="0"/>
    </xf>
    <xf numFmtId="16" fontId="0" fillId="4" borderId="29" xfId="0" quotePrefix="1" applyNumberFormat="1" applyFill="1" applyBorder="1" applyAlignment="1" applyProtection="1">
      <alignment horizontal="left" vertical="top"/>
      <protection locked="0"/>
    </xf>
    <xf numFmtId="0" fontId="21" fillId="0" borderId="0" xfId="0" applyFont="1" applyAlignment="1" applyProtection="1">
      <alignment vertical="top"/>
      <protection hidden="1"/>
    </xf>
    <xf numFmtId="0" fontId="40" fillId="8" borderId="39" xfId="0" applyFont="1" applyFill="1" applyBorder="1" applyAlignment="1" applyProtection="1">
      <alignment vertical="top" wrapText="1"/>
      <protection hidden="1"/>
    </xf>
    <xf numFmtId="0" fontId="0" fillId="0" borderId="38" xfId="0" applyBorder="1" applyAlignment="1" applyProtection="1">
      <alignment vertical="top"/>
      <protection hidden="1"/>
    </xf>
    <xf numFmtId="0" fontId="0" fillId="0" borderId="39" xfId="0" applyBorder="1" applyAlignment="1" applyProtection="1">
      <alignment vertical="top"/>
      <protection hidden="1"/>
    </xf>
    <xf numFmtId="0" fontId="0" fillId="0" borderId="0" xfId="0" applyAlignment="1" applyProtection="1">
      <alignment vertical="top"/>
      <protection hidden="1"/>
    </xf>
    <xf numFmtId="0" fontId="7" fillId="4" borderId="39" xfId="0" applyFont="1" applyFill="1" applyBorder="1" applyAlignment="1" applyProtection="1">
      <alignment vertical="top" wrapText="1"/>
      <protection locked="0"/>
    </xf>
    <xf numFmtId="0" fontId="7" fillId="4" borderId="51" xfId="0" applyFont="1" applyFill="1" applyBorder="1" applyAlignment="1" applyProtection="1">
      <alignment vertical="top" wrapText="1"/>
      <protection locked="0"/>
    </xf>
    <xf numFmtId="0" fontId="7" fillId="4" borderId="39" xfId="0" applyFont="1" applyFill="1" applyBorder="1" applyAlignment="1" applyProtection="1">
      <alignment horizontal="left" vertical="top" wrapText="1"/>
      <protection locked="0"/>
    </xf>
    <xf numFmtId="0" fontId="7" fillId="7" borderId="39" xfId="0" applyFont="1" applyFill="1" applyBorder="1" applyAlignment="1" applyProtection="1">
      <alignment vertical="top" wrapText="1"/>
      <protection locked="0"/>
    </xf>
    <xf numFmtId="0" fontId="14" fillId="0" borderId="0" xfId="0" applyFont="1" applyAlignment="1" applyProtection="1">
      <alignment vertical="top" wrapText="1"/>
      <protection hidden="1"/>
    </xf>
    <xf numFmtId="0" fontId="14" fillId="0" borderId="13" xfId="0" applyFont="1" applyBorder="1" applyAlignment="1" applyProtection="1">
      <alignment vertical="top" wrapText="1"/>
      <protection hidden="1"/>
    </xf>
    <xf numFmtId="0" fontId="21" fillId="0" borderId="25" xfId="0" applyFont="1" applyBorder="1" applyAlignment="1" applyProtection="1">
      <alignment vertical="top"/>
      <protection hidden="1"/>
    </xf>
    <xf numFmtId="0" fontId="56" fillId="13" borderId="4" xfId="0" applyFont="1" applyFill="1" applyBorder="1" applyAlignment="1" applyProtection="1">
      <alignment horizontal="center" vertical="center" textRotation="90"/>
      <protection hidden="1"/>
    </xf>
    <xf numFmtId="0" fontId="56" fillId="13" borderId="13" xfId="0" applyFont="1" applyFill="1" applyBorder="1" applyAlignment="1" applyProtection="1">
      <alignment horizontal="center" vertical="center" textRotation="90"/>
      <protection hidden="1"/>
    </xf>
    <xf numFmtId="0" fontId="6" fillId="0" borderId="28" xfId="0" applyFont="1" applyBorder="1" applyAlignment="1" applyProtection="1">
      <alignment vertical="center"/>
      <protection hidden="1"/>
    </xf>
    <xf numFmtId="0" fontId="6" fillId="0" borderId="21" xfId="0" applyFont="1" applyBorder="1" applyAlignment="1" applyProtection="1">
      <alignment vertical="center"/>
      <protection hidden="1"/>
    </xf>
    <xf numFmtId="0" fontId="6" fillId="0" borderId="25" xfId="0" applyFont="1" applyBorder="1" applyAlignment="1" applyProtection="1">
      <alignment vertical="center"/>
      <protection hidden="1"/>
    </xf>
    <xf numFmtId="0" fontId="6" fillId="0" borderId="26" xfId="0" applyFont="1" applyBorder="1" applyAlignment="1" applyProtection="1">
      <alignment vertical="center"/>
      <protection hidden="1"/>
    </xf>
    <xf numFmtId="0" fontId="6" fillId="0" borderId="29" xfId="0" applyFont="1" applyBorder="1" applyAlignment="1" applyProtection="1">
      <alignment vertical="center"/>
      <protection hidden="1"/>
    </xf>
    <xf numFmtId="0" fontId="6" fillId="0" borderId="30" xfId="0" applyFont="1" applyBorder="1" applyAlignment="1" applyProtection="1">
      <alignment vertical="center"/>
      <protection hidden="1"/>
    </xf>
    <xf numFmtId="0" fontId="4" fillId="0" borderId="8" xfId="0" applyFont="1" applyBorder="1" applyAlignment="1" applyProtection="1">
      <alignment horizontal="center" vertical="top"/>
      <protection locked="0"/>
    </xf>
    <xf numFmtId="0" fontId="4" fillId="0" borderId="9" xfId="0" applyFont="1" applyBorder="1" applyAlignment="1" applyProtection="1">
      <alignment horizontal="center" vertical="top"/>
      <protection locked="0"/>
    </xf>
    <xf numFmtId="0" fontId="4" fillId="0" borderId="10" xfId="0" applyFont="1" applyBorder="1" applyAlignment="1" applyProtection="1">
      <alignment horizontal="center" vertical="top"/>
      <protection locked="0"/>
    </xf>
    <xf numFmtId="16" fontId="8" fillId="0" borderId="14" xfId="0" applyNumberFormat="1" applyFont="1" applyBorder="1" applyAlignment="1" applyProtection="1">
      <alignment horizontal="center" vertical="top" wrapText="1"/>
      <protection hidden="1"/>
    </xf>
    <xf numFmtId="16" fontId="8" fillId="0" borderId="12" xfId="0" applyNumberFormat="1" applyFont="1" applyBorder="1" applyAlignment="1" applyProtection="1">
      <alignment horizontal="center" vertical="top" wrapText="1"/>
      <protection hidden="1"/>
    </xf>
    <xf numFmtId="0" fontId="8" fillId="0" borderId="2"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4" fillId="0" borderId="1" xfId="0" applyFont="1" applyBorder="1" applyAlignment="1" applyProtection="1">
      <alignment horizontal="center" vertical="top" wrapText="1"/>
      <protection locked="0"/>
    </xf>
    <xf numFmtId="0" fontId="0" fillId="0" borderId="1" xfId="0" applyBorder="1" applyAlignment="1" applyProtection="1">
      <alignment horizontal="center" vertical="top"/>
      <protection hidden="1"/>
    </xf>
    <xf numFmtId="166" fontId="21" fillId="3" borderId="6" xfId="0" applyNumberFormat="1" applyFont="1" applyFill="1" applyBorder="1" applyAlignment="1" applyProtection="1">
      <alignment horizontal="right" vertical="center"/>
      <protection hidden="1"/>
    </xf>
    <xf numFmtId="166" fontId="21" fillId="3" borderId="7" xfId="0" applyNumberFormat="1" applyFont="1" applyFill="1" applyBorder="1" applyAlignment="1" applyProtection="1">
      <alignment horizontal="right" vertical="center"/>
      <protection hidden="1"/>
    </xf>
    <xf numFmtId="0" fontId="0" fillId="3" borderId="2" xfId="0" applyFill="1" applyBorder="1" applyAlignment="1" applyProtection="1">
      <alignment horizontal="left" vertical="top" wrapText="1"/>
      <protection hidden="1"/>
    </xf>
    <xf numFmtId="0" fontId="0" fillId="3" borderId="3" xfId="0" applyFill="1" applyBorder="1" applyAlignment="1" applyProtection="1">
      <alignment horizontal="left" vertical="top" wrapText="1"/>
      <protection hidden="1"/>
    </xf>
    <xf numFmtId="0" fontId="0" fillId="3" borderId="11" xfId="0" applyFill="1" applyBorder="1" applyAlignment="1" applyProtection="1">
      <alignment horizontal="left" vertical="top" wrapText="1"/>
      <protection hidden="1"/>
    </xf>
    <xf numFmtId="0" fontId="0" fillId="3" borderId="0" xfId="0" applyFill="1" applyAlignment="1" applyProtection="1">
      <alignment horizontal="left" vertical="top" wrapText="1"/>
      <protection hidden="1"/>
    </xf>
    <xf numFmtId="166" fontId="21" fillId="3" borderId="0" xfId="0" applyNumberFormat="1" applyFont="1" applyFill="1" applyAlignment="1" applyProtection="1">
      <alignment horizontal="right" vertical="center"/>
      <protection hidden="1"/>
    </xf>
    <xf numFmtId="166" fontId="21" fillId="3" borderId="13" xfId="0" applyNumberFormat="1" applyFont="1" applyFill="1" applyBorder="1" applyAlignment="1" applyProtection="1">
      <alignment horizontal="right" vertical="center"/>
      <protection hidden="1"/>
    </xf>
    <xf numFmtId="0" fontId="6" fillId="3" borderId="8" xfId="0" applyFont="1" applyFill="1" applyBorder="1" applyAlignment="1" applyProtection="1">
      <alignment vertical="center"/>
      <protection hidden="1"/>
    </xf>
    <xf numFmtId="0" fontId="6" fillId="3" borderId="10" xfId="0" applyFont="1" applyFill="1" applyBorder="1" applyAlignment="1" applyProtection="1">
      <alignment vertical="center"/>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0" xfId="0" applyFont="1" applyBorder="1" applyAlignment="1" applyProtection="1">
      <alignment horizontal="center" vertical="center" wrapText="1"/>
      <protection hidden="1"/>
    </xf>
    <xf numFmtId="0" fontId="38" fillId="8" borderId="0" xfId="0" applyFont="1" applyFill="1" applyAlignment="1" applyProtection="1">
      <alignment horizontal="center" vertical="center" textRotation="90" wrapText="1"/>
      <protection hidden="1"/>
    </xf>
    <xf numFmtId="0" fontId="6" fillId="0" borderId="8" xfId="0" applyFont="1" applyBorder="1" applyAlignment="1">
      <alignment horizontal="left"/>
    </xf>
    <xf numFmtId="0" fontId="6" fillId="0" borderId="9" xfId="0" applyFont="1" applyBorder="1" applyAlignment="1">
      <alignment horizontal="left"/>
    </xf>
    <xf numFmtId="0" fontId="40" fillId="0" borderId="9" xfId="0" applyFont="1" applyBorder="1"/>
    <xf numFmtId="0" fontId="6" fillId="4" borderId="28" xfId="0" applyFont="1" applyFill="1" applyBorder="1" applyAlignment="1" applyProtection="1">
      <alignment horizontal="left" vertical="center" indent="2"/>
      <protection locked="0"/>
    </xf>
    <xf numFmtId="0" fontId="6" fillId="4" borderId="21" xfId="0" applyFont="1" applyFill="1" applyBorder="1" applyAlignment="1" applyProtection="1">
      <alignment horizontal="left" vertical="center" indent="2"/>
      <protection locked="0"/>
    </xf>
    <xf numFmtId="0" fontId="8" fillId="3" borderId="2" xfId="0" applyFont="1" applyFill="1" applyBorder="1" applyAlignment="1" applyProtection="1">
      <alignment horizontal="left" vertical="center" wrapText="1"/>
      <protection hidden="1"/>
    </xf>
    <xf numFmtId="0" fontId="8" fillId="3" borderId="3" xfId="0" applyFont="1" applyFill="1" applyBorder="1" applyAlignment="1" applyProtection="1">
      <alignment horizontal="left" vertical="center" wrapText="1"/>
      <protection hidden="1"/>
    </xf>
    <xf numFmtId="0" fontId="8" fillId="3" borderId="4" xfId="0" applyFont="1" applyFill="1" applyBorder="1" applyAlignment="1" applyProtection="1">
      <alignment horizontal="left" vertical="center" wrapText="1"/>
      <protection hidden="1"/>
    </xf>
    <xf numFmtId="0" fontId="8" fillId="3" borderId="2" xfId="0" applyFont="1" applyFill="1" applyBorder="1" applyAlignment="1" applyProtection="1">
      <alignment horizontal="center" vertical="top" wrapText="1"/>
      <protection hidden="1"/>
    </xf>
    <xf numFmtId="0" fontId="8" fillId="3" borderId="4" xfId="0" applyFont="1" applyFill="1" applyBorder="1" applyAlignment="1" applyProtection="1">
      <alignment horizontal="center" vertical="top" wrapText="1"/>
      <protection hidden="1"/>
    </xf>
    <xf numFmtId="0" fontId="8" fillId="4" borderId="2" xfId="0" applyFont="1" applyFill="1" applyBorder="1" applyAlignment="1" applyProtection="1">
      <alignment vertical="center"/>
      <protection locked="0"/>
    </xf>
    <xf numFmtId="0" fontId="8" fillId="4" borderId="3" xfId="0" applyFont="1" applyFill="1" applyBorder="1" applyAlignment="1" applyProtection="1">
      <alignment vertical="center"/>
      <protection locked="0"/>
    </xf>
    <xf numFmtId="0" fontId="8" fillId="4" borderId="4" xfId="0" applyFont="1" applyFill="1" applyBorder="1" applyAlignment="1" applyProtection="1">
      <alignment vertical="center"/>
      <protection locked="0"/>
    </xf>
    <xf numFmtId="0" fontId="8" fillId="4" borderId="31" xfId="0" applyFont="1" applyFill="1" applyBorder="1" applyAlignment="1" applyProtection="1">
      <alignment vertical="center"/>
      <protection locked="0"/>
    </xf>
    <xf numFmtId="0" fontId="8" fillId="4" borderId="20" xfId="0" applyFont="1" applyFill="1" applyBorder="1" applyAlignment="1" applyProtection="1">
      <alignment vertical="center"/>
      <protection locked="0"/>
    </xf>
    <xf numFmtId="0" fontId="8" fillId="4" borderId="29" xfId="0" applyFont="1" applyFill="1" applyBorder="1" applyAlignment="1" applyProtection="1">
      <alignment vertical="center"/>
      <protection locked="0"/>
    </xf>
    <xf numFmtId="0" fontId="8" fillId="4" borderId="30" xfId="0" applyFont="1" applyFill="1" applyBorder="1" applyAlignment="1" applyProtection="1">
      <alignment vertical="center"/>
      <protection locked="0"/>
    </xf>
    <xf numFmtId="0" fontId="8" fillId="4" borderId="42" xfId="0" applyFont="1" applyFill="1" applyBorder="1" applyAlignment="1" applyProtection="1">
      <alignment vertical="center"/>
      <protection locked="0"/>
    </xf>
    <xf numFmtId="0" fontId="8" fillId="4" borderId="15" xfId="0" applyFont="1" applyFill="1" applyBorder="1" applyAlignment="1" applyProtection="1">
      <alignment vertical="center"/>
      <protection locked="0"/>
    </xf>
    <xf numFmtId="0" fontId="8" fillId="4" borderId="57" xfId="0" applyFont="1" applyFill="1" applyBorder="1" applyAlignment="1" applyProtection="1">
      <alignment vertical="center"/>
      <protection locked="0"/>
    </xf>
    <xf numFmtId="0" fontId="8" fillId="4" borderId="48" xfId="0" applyFont="1" applyFill="1" applyBorder="1" applyAlignment="1" applyProtection="1">
      <alignment vertical="center"/>
      <protection locked="0"/>
    </xf>
    <xf numFmtId="0" fontId="8" fillId="4" borderId="47" xfId="0" applyFont="1" applyFill="1" applyBorder="1" applyAlignment="1" applyProtection="1">
      <alignment vertical="center"/>
      <protection locked="0"/>
    </xf>
    <xf numFmtId="0" fontId="6" fillId="0" borderId="8" xfId="0" applyFont="1" applyBorder="1" applyAlignment="1" applyProtection="1">
      <alignment horizontal="center" vertical="top"/>
      <protection hidden="1"/>
    </xf>
    <xf numFmtId="0" fontId="6" fillId="0" borderId="9" xfId="0" applyFont="1" applyBorder="1" applyAlignment="1" applyProtection="1">
      <alignment horizontal="center" vertical="top"/>
      <protection hidden="1"/>
    </xf>
    <xf numFmtId="0" fontId="6" fillId="0" borderId="10" xfId="0" applyFont="1" applyBorder="1" applyAlignment="1" applyProtection="1">
      <alignment horizontal="center" vertical="top"/>
      <protection hidden="1"/>
    </xf>
    <xf numFmtId="4" fontId="0" fillId="0" borderId="0" xfId="0" applyNumberFormat="1" applyAlignment="1" applyProtection="1">
      <alignment vertical="top" wrapText="1"/>
      <protection hidden="1"/>
    </xf>
  </cellXfs>
  <cellStyles count="5">
    <cellStyle name="Link" xfId="3" builtinId="8"/>
    <cellStyle name="Standard" xfId="0" builtinId="0"/>
    <cellStyle name="Standard 2" xfId="1" xr:uid="{00000000-0005-0000-0000-000002000000}"/>
    <cellStyle name="Standard 2 2" xfId="2" xr:uid="{00000000-0005-0000-0000-000003000000}"/>
    <cellStyle name="Währung" xfId="4" builtinId="4"/>
  </cellStyles>
  <dxfs count="1956">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dxf>
    <dxf>
      <font>
        <strike/>
        <color rgb="FFC00000"/>
      </font>
      <fill>
        <patternFill>
          <bgColor theme="0"/>
        </patternFill>
      </fill>
    </dxf>
    <dxf>
      <font>
        <strike/>
        <color theme="0"/>
      </font>
    </dxf>
    <dxf>
      <fill>
        <patternFill>
          <bgColor rgb="FFFFFFCC"/>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val="0"/>
        <color theme="1"/>
      </font>
      <fill>
        <patternFill>
          <bgColor rgb="FFFFFFCC"/>
        </patternFill>
      </fill>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strike/>
        <color theme="0"/>
      </font>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val="0"/>
        <strike/>
        <color rgb="FFC00000"/>
      </font>
      <fill>
        <patternFill>
          <bgColor theme="5" tint="0.79998168889431442"/>
        </patternFill>
      </fill>
      <border>
        <left style="thin">
          <color rgb="FFC00000"/>
        </left>
        <right style="thin">
          <color rgb="FFC00000"/>
        </right>
        <top style="thin">
          <color rgb="FFC00000"/>
        </top>
        <bottom style="thin">
          <color rgb="FFC00000"/>
        </bottom>
      </border>
    </dxf>
    <dxf>
      <font>
        <b val="0"/>
        <i val="0"/>
        <strike val="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border>
        <left style="thin">
          <color auto="1"/>
        </left>
        <right style="thin">
          <color auto="1"/>
        </right>
        <top style="thin">
          <color auto="1"/>
        </top>
        <bottom style="thin">
          <color auto="1"/>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auto="1"/>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border>
        <left style="thin">
          <color auto="1"/>
        </left>
        <right style="thin">
          <color auto="1"/>
        </right>
        <top style="thin">
          <color auto="1"/>
        </top>
        <bottom style="thin">
          <color auto="1"/>
        </bottom>
      </border>
    </dxf>
    <dxf>
      <font>
        <color auto="1"/>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4" tint="0.79998168889431442"/>
        </patternFill>
      </fill>
      <border>
        <left style="thin">
          <color rgb="FFC00000"/>
        </left>
        <right style="thin">
          <color rgb="FFC00000"/>
        </right>
        <top style="thin">
          <color rgb="FFC00000"/>
        </top>
        <bottom style="thin">
          <color rgb="FFC00000"/>
        </bottom>
      </border>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b val="0"/>
        <i val="0"/>
        <strike val="0"/>
        <color auto="1"/>
      </font>
      <fill>
        <patternFill>
          <bgColor theme="4"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font>
        <color rgb="FFC00000"/>
      </font>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strike/>
        <color theme="0"/>
      </font>
      <fill>
        <patternFill>
          <bgColor theme="0"/>
        </patternFill>
      </fill>
    </dxf>
    <dxf>
      <font>
        <strike/>
        <color theme="0"/>
      </font>
      <fill>
        <patternFill>
          <bgColor theme="0"/>
        </patternFill>
      </fill>
    </dxf>
    <dxf>
      <font>
        <strike/>
        <color rgb="FFC00000"/>
      </font>
      <fill>
        <patternFill>
          <bgColor theme="0"/>
        </patternFill>
      </fill>
    </dxf>
    <dxf>
      <font>
        <strike val="0"/>
        <color auto="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font>
      <fill>
        <patternFill patternType="solid">
          <bgColor theme="0"/>
        </patternFill>
      </fill>
    </dxf>
    <dxf>
      <font>
        <strike/>
        <color theme="0"/>
      </font>
      <fill>
        <patternFill>
          <bgColor theme="0"/>
        </patternFill>
      </fill>
    </dxf>
    <dxf>
      <font>
        <strike/>
        <color theme="0"/>
      </font>
      <fill>
        <patternFill>
          <bgColor theme="0"/>
        </patternFill>
      </fill>
    </dxf>
    <dxf>
      <font>
        <strike/>
        <color theme="0"/>
      </font>
    </dxf>
    <dxf>
      <font>
        <strike/>
        <color theme="0"/>
      </font>
    </dxf>
    <dxf>
      <font>
        <strike/>
        <color theme="0"/>
      </font>
      <fill>
        <patternFill>
          <bgColor theme="0"/>
        </patternFill>
      </fill>
    </dxf>
    <dxf>
      <font>
        <strike/>
        <color theme="0"/>
      </font>
      <fill>
        <patternFill>
          <bgColor theme="0"/>
        </patternFill>
      </fill>
    </dxf>
    <dxf>
      <font>
        <strike/>
        <color theme="0"/>
      </font>
      <fill>
        <patternFill>
          <bgColor theme="0"/>
        </patternFill>
      </fill>
    </dxf>
    <dxf>
      <font>
        <color theme="0"/>
      </font>
    </dxf>
    <dxf>
      <font>
        <strike/>
        <color theme="0"/>
      </font>
      <fill>
        <patternFill>
          <bgColor theme="0"/>
        </patternFill>
      </fill>
    </dxf>
    <dxf>
      <font>
        <strike/>
        <color theme="0"/>
      </font>
    </dxf>
    <dxf>
      <font>
        <strike/>
        <color theme="0"/>
      </font>
      <fill>
        <patternFill patternType="solid">
          <bgColor theme="0"/>
        </patternFill>
      </fill>
    </dxf>
    <dxf>
      <font>
        <b/>
        <i val="0"/>
      </font>
    </dxf>
    <dxf>
      <font>
        <b/>
        <i val="0"/>
      </font>
    </dxf>
    <dxf>
      <font>
        <strike/>
        <color rgb="FFC00000"/>
      </font>
      <fill>
        <patternFill>
          <bgColor theme="0"/>
        </patternFill>
      </fill>
    </dxf>
    <dxf>
      <font>
        <b val="0"/>
        <i/>
      </font>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0"/>
        </patternFill>
      </fill>
    </dxf>
    <dxf>
      <fill>
        <patternFill>
          <bgColor theme="0"/>
        </patternFill>
      </fill>
    </dxf>
    <dxf>
      <fill>
        <patternFill>
          <bgColor theme="0"/>
        </patternFill>
      </fill>
    </dxf>
    <dxf>
      <fill>
        <patternFill>
          <bgColor theme="0"/>
        </patternFill>
      </fill>
    </dxf>
    <dxf>
      <font>
        <b/>
        <i val="0"/>
      </font>
    </dxf>
    <dxf>
      <font>
        <b/>
        <i val="0"/>
      </font>
    </dxf>
    <dxf>
      <font>
        <b/>
        <i val="0"/>
      </font>
    </dxf>
    <dxf>
      <font>
        <b/>
        <i val="0"/>
      </font>
    </dxf>
    <dxf>
      <font>
        <strike/>
        <color rgb="FFC00000"/>
      </font>
      <fill>
        <patternFill>
          <bgColor theme="0"/>
        </patternFill>
      </fill>
    </dxf>
    <dxf>
      <font>
        <b val="0"/>
        <i/>
      </font>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patternType="none">
          <bgColor auto="1"/>
        </patternFill>
      </fill>
      <border>
        <left style="thin">
          <color auto="1"/>
        </left>
        <right style="thin">
          <color auto="1"/>
        </right>
        <top style="thin">
          <color auto="1"/>
        </top>
        <bottom style="thin">
          <color auto="1"/>
        </bottom>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theme="0" tint="-0.14996795556505021"/>
      </font>
      <fill>
        <patternFill patternType="none">
          <bgColor auto="1"/>
        </patternFill>
      </fill>
    </dxf>
    <dxf>
      <font>
        <strike/>
        <color theme="0" tint="-0.14996795556505021"/>
      </font>
      <fill>
        <patternFill>
          <bgColor theme="0"/>
        </patternFill>
      </fill>
    </dxf>
    <dxf>
      <font>
        <strike/>
        <color theme="0" tint="-0.14996795556505021"/>
      </font>
      <fill>
        <patternFill patternType="none">
          <bgColor auto="1"/>
        </patternFill>
      </fill>
    </dxf>
    <dxf>
      <font>
        <strike/>
        <color theme="0" tint="-0.14996795556505021"/>
      </font>
      <fill>
        <patternFill>
          <bgColor theme="0"/>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rgb="FFC00000"/>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FF0000"/>
        </left>
        <right style="thin">
          <color rgb="FFFF0000"/>
        </right>
        <top style="thin">
          <color rgb="FFFF0000"/>
        </top>
        <bottom style="thin">
          <color rgb="FFFF0000"/>
        </bottom>
        <vertical/>
        <horizontal/>
      </border>
    </dxf>
    <dxf>
      <font>
        <strike/>
        <color rgb="FFC00000"/>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rgb="FFC00000"/>
      </font>
      <fill>
        <patternFill>
          <bgColor theme="0"/>
        </patternFill>
      </fill>
    </dxf>
    <dxf>
      <font>
        <strike/>
        <color theme="0" tint="-0.24994659260841701"/>
      </font>
      <fill>
        <patternFill>
          <bgColor theme="0"/>
        </patternFill>
      </fill>
    </dxf>
    <dxf>
      <border>
        <left style="thin">
          <color rgb="FFFF0000"/>
        </left>
        <right style="thin">
          <color rgb="FFFF0000"/>
        </right>
        <top style="thin">
          <color rgb="FFFF0000"/>
        </top>
        <bottom style="thin">
          <color rgb="FFFF0000"/>
        </bottom>
        <vertical/>
        <horizontal/>
      </border>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24994659260841701"/>
      </font>
      <fill>
        <patternFill>
          <bgColor theme="0"/>
        </patternFill>
      </fill>
    </dxf>
    <dxf>
      <font>
        <strike/>
        <color theme="0" tint="-0.14996795556505021"/>
      </font>
      <fill>
        <patternFill patternType="none">
          <bgColor auto="1"/>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patternType="none">
          <bgColor auto="1"/>
        </patternFill>
      </fill>
    </dxf>
    <dxf>
      <font>
        <strike/>
        <color theme="0" tint="-0.14996795556505021"/>
      </font>
    </dxf>
    <dxf>
      <font>
        <strike/>
        <color theme="0" tint="-0.14996795556505021"/>
      </font>
      <fill>
        <patternFill patternType="none">
          <bgColor auto="1"/>
        </patternFill>
      </fill>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dxf>
    <dxf>
      <fill>
        <patternFill>
          <bgColor rgb="FFFFFFCC"/>
        </patternFill>
      </fill>
    </dxf>
    <dxf>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rgb="FFC00000"/>
      </font>
    </dxf>
    <dxf>
      <fill>
        <patternFill>
          <bgColor theme="4" tint="0.79998168889431442"/>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ill>
        <patternFill>
          <bgColor theme="4" tint="0.79998168889431442"/>
        </patternFill>
      </fill>
    </dxf>
    <dxf>
      <font>
        <strike/>
        <color rgb="FFC00000"/>
      </font>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rgb="FFC00000"/>
      </font>
    </dxf>
    <dxf>
      <fill>
        <patternFill>
          <bgColor rgb="FFFFFFCC"/>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border>
    </dxf>
    <dxf>
      <font>
        <strike/>
        <color theme="0" tint="-0.2499465926084170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dxf>
    <dxf>
      <fill>
        <patternFill>
          <bgColor theme="4" tint="0.79998168889431442"/>
        </patternFill>
      </fill>
    </dxf>
    <dxf>
      <fill>
        <patternFill>
          <bgColor theme="4" tint="0.79998168889431442"/>
        </patternFill>
      </fill>
    </dxf>
    <dxf>
      <font>
        <strike/>
        <color theme="0" tint="-0.24994659260841701"/>
      </font>
    </dxf>
    <dxf>
      <fill>
        <patternFill>
          <bgColor theme="4" tint="0.79998168889431442"/>
        </patternFill>
      </fill>
    </dxf>
    <dxf>
      <fill>
        <patternFill>
          <bgColor theme="4" tint="0.79998168889431442"/>
        </patternFill>
      </fill>
    </dxf>
    <dxf>
      <font>
        <strike/>
        <color theme="0" tint="-0.24994659260841701"/>
      </font>
    </dxf>
    <dxf>
      <fill>
        <patternFill>
          <bgColor theme="4" tint="0.79998168889431442"/>
        </patternFill>
      </fill>
    </dxf>
    <dxf>
      <fill>
        <patternFill>
          <bgColor theme="4" tint="0.79998168889431442"/>
        </patternFill>
      </fill>
    </dxf>
    <dxf>
      <font>
        <strike/>
        <color theme="0" tint="-0.24994659260841701"/>
      </font>
    </dxf>
    <dxf>
      <fill>
        <patternFill>
          <bgColor theme="4" tint="0.79998168889431442"/>
        </patternFill>
      </fill>
    </dxf>
    <dxf>
      <fill>
        <patternFill>
          <bgColor theme="4" tint="0.79998168889431442"/>
        </patternFill>
      </fill>
    </dxf>
    <dxf>
      <font>
        <strike/>
        <color theme="0" tint="-0.24994659260841701"/>
      </font>
    </dxf>
    <dxf>
      <fill>
        <patternFill>
          <bgColor theme="4" tint="0.79998168889431442"/>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ill>
        <patternFill>
          <bgColor theme="4" tint="0.79998168889431442"/>
        </patternFill>
      </fill>
    </dxf>
    <dxf>
      <font>
        <strike/>
        <color theme="0" tint="-0.24994659260841701"/>
      </font>
    </dxf>
    <dxf>
      <fill>
        <patternFill>
          <bgColor theme="4" tint="0.79998168889431442"/>
        </patternFill>
      </fill>
    </dxf>
    <dxf>
      <font>
        <strike/>
        <color theme="0" tint="-0.24994659260841701"/>
      </font>
    </dxf>
    <dxf>
      <fill>
        <patternFill>
          <bgColor theme="4" tint="0.79998168889431442"/>
        </patternFill>
      </fill>
    </dxf>
    <dxf>
      <fill>
        <patternFill>
          <bgColor theme="4" tint="0.79998168889431442"/>
        </patternFill>
      </fill>
    </dxf>
    <dxf>
      <font>
        <strike/>
        <color theme="0" tint="-0.24994659260841701"/>
      </font>
    </dxf>
    <dxf>
      <fill>
        <patternFill>
          <bgColor theme="4" tint="0.79998168889431442"/>
        </patternFill>
      </fill>
    </dxf>
    <dxf>
      <border>
        <left style="thin">
          <color rgb="FFC00000"/>
        </left>
        <right style="thin">
          <color rgb="FFC00000"/>
        </right>
        <top style="thin">
          <color rgb="FFC00000"/>
        </top>
        <bottom style="thin">
          <color rgb="FFC00000"/>
        </bottom>
        <vertical/>
        <horizontal/>
      </border>
    </dxf>
    <dxf>
      <fill>
        <patternFill>
          <bgColor theme="4" tint="0.79998168889431442"/>
        </patternFill>
      </fill>
    </dxf>
    <dxf>
      <font>
        <strike/>
        <color theme="0" tint="-0.24994659260841701"/>
      </font>
    </dxf>
    <dxf>
      <fill>
        <patternFill>
          <bgColor theme="4" tint="0.79998168889431442"/>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patternType="none">
          <bgColor auto="1"/>
        </patternFill>
      </fill>
    </dxf>
    <dxf>
      <font>
        <strike/>
        <color theme="0" tint="-0.14996795556505021"/>
      </font>
      <fill>
        <patternFill patternType="none">
          <bgColor auto="1"/>
        </patternFill>
      </fill>
    </dxf>
    <dxf>
      <fill>
        <patternFill patternType="none">
          <bgColor auto="1"/>
        </patternFill>
      </fill>
    </dxf>
    <dxf>
      <border>
        <left style="thin">
          <color rgb="FFC00000"/>
        </left>
        <right style="thin">
          <color rgb="FFC00000"/>
        </right>
        <top style="thin">
          <color rgb="FFC00000"/>
        </top>
        <bottom style="thin">
          <color rgb="FFC00000"/>
        </bottom>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border>
    </dxf>
    <dxf>
      <fill>
        <patternFill patternType="none">
          <bgColor auto="1"/>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4.9989318521683403E-2"/>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4.9989318521683403E-2"/>
      </font>
      <fill>
        <patternFill patternType="none">
          <bgColor auto="1"/>
        </patternFill>
      </fill>
    </dxf>
    <dxf>
      <font>
        <strike/>
        <color theme="0" tint="-0.14996795556505021"/>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bgColor theme="0"/>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bgColor theme="0"/>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bgColor theme="0"/>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ont>
        <strike/>
        <color theme="0" tint="-0.14996795556505021"/>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b val="0"/>
        <i val="0"/>
        <strike/>
        <color rgb="FFC00000"/>
      </font>
      <fill>
        <patternFill>
          <bgColor theme="0" tint="-4.9989318521683403E-2"/>
        </patternFill>
      </fill>
    </dxf>
    <dxf>
      <font>
        <strike/>
        <color rgb="FFC00000"/>
      </font>
      <fill>
        <patternFill>
          <bgColor theme="0" tint="-4.9989318521683403E-2"/>
        </patternFill>
      </fill>
      <border>
        <left style="thin">
          <color rgb="FFC00000"/>
        </left>
        <right style="thin">
          <color rgb="FFC00000"/>
        </right>
        <top style="thin">
          <color rgb="FFC00000"/>
        </top>
        <bottom style="thin">
          <color rgb="FFC00000"/>
        </bottom>
        <vertical/>
        <horizontal/>
      </border>
    </dxf>
    <dxf>
      <font>
        <b/>
        <i val="0"/>
      </font>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i val="0"/>
      </font>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theme="5"/>
        </left>
        <right style="thin">
          <color theme="5"/>
        </right>
        <top style="thin">
          <color theme="5"/>
        </top>
        <bottom style="thin">
          <color theme="5"/>
        </bottom>
        <vertical/>
        <horizontal/>
      </border>
    </dxf>
    <dxf>
      <font>
        <b val="0"/>
        <i/>
        <strike/>
        <color rgb="FFC00000"/>
      </font>
      <border>
        <left style="thin">
          <color theme="5"/>
        </left>
        <right style="thin">
          <color theme="5"/>
        </right>
        <top style="thin">
          <color theme="5"/>
        </top>
        <bottom style="thin">
          <color theme="5"/>
        </bottom>
        <vertical/>
        <horizontal/>
      </border>
    </dxf>
    <dxf>
      <font>
        <b val="0"/>
        <i/>
        <strike/>
        <color rgb="FFC00000"/>
      </font>
      <border>
        <left style="thin">
          <color theme="5"/>
        </left>
        <right style="thin">
          <color theme="5"/>
        </right>
        <top style="thin">
          <color theme="5"/>
        </top>
        <bottom style="thin">
          <color theme="5"/>
        </bottom>
        <vertical/>
        <horizontal/>
      </border>
    </dxf>
    <dxf>
      <font>
        <b val="0"/>
        <i/>
        <strike/>
        <color rgb="FFC00000"/>
      </font>
      <border>
        <left style="thin">
          <color theme="5"/>
        </left>
        <right style="thin">
          <color theme="5"/>
        </right>
        <top style="thin">
          <color theme="5"/>
        </top>
        <bottom style="thin">
          <color theme="5"/>
        </bottom>
        <vertical/>
        <horizontal/>
      </border>
    </dxf>
    <dxf>
      <font>
        <b val="0"/>
        <i/>
        <strike/>
        <color rgb="FFC00000"/>
      </font>
      <border>
        <left style="thin">
          <color theme="5"/>
        </left>
        <right style="thin">
          <color theme="5"/>
        </right>
        <top style="thin">
          <color theme="5"/>
        </top>
        <bottom style="thin">
          <color theme="5"/>
        </bottom>
        <vertical/>
        <horizontal/>
      </border>
    </dxf>
    <dxf>
      <font>
        <strike/>
        <color rgb="FFC00000"/>
      </font>
      <border>
        <left style="thin">
          <color rgb="FFC00000"/>
        </left>
        <right style="thin">
          <color rgb="FFC00000"/>
        </right>
        <top style="thin">
          <color rgb="FFC00000"/>
        </top>
        <bottom style="thin">
          <color rgb="FFC00000"/>
        </bottom>
        <vertical/>
        <horizontal/>
      </border>
    </dxf>
    <dxf>
      <font>
        <strike/>
        <color rgb="FFC00000"/>
      </font>
      <border>
        <left style="thin">
          <color rgb="FFC00000"/>
        </left>
        <right style="thin">
          <color rgb="FFC00000"/>
        </right>
        <top style="thin">
          <color rgb="FFC00000"/>
        </top>
        <bottom style="thin">
          <color rgb="FFC00000"/>
        </bottom>
        <vertical/>
        <horizontal/>
      </border>
    </dxf>
    <dxf>
      <font>
        <strike/>
        <color rgb="FFC00000"/>
      </font>
      <border>
        <left style="thin">
          <color rgb="FFC00000"/>
        </left>
        <right style="thin">
          <color rgb="FFC00000"/>
        </right>
        <top style="thin">
          <color rgb="FFC00000"/>
        </top>
        <bottom style="thin">
          <color rgb="FFC00000"/>
        </bottom>
        <vertical/>
        <horizontal/>
      </border>
    </dxf>
    <dxf>
      <font>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val="0"/>
        <strike val="0"/>
        <color auto="1"/>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val="0"/>
        <strike val="0"/>
        <color auto="1"/>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val="0"/>
        <strike val="0"/>
        <color auto="1"/>
      </font>
      <border>
        <left style="thin">
          <color rgb="FFC00000"/>
        </left>
        <right style="thin">
          <color rgb="FFC00000"/>
        </right>
        <top style="thin">
          <color rgb="FFC00000"/>
        </top>
        <bottom style="thin">
          <color rgb="FFC00000"/>
        </bottom>
        <vertical/>
        <horizontal/>
      </border>
    </dxf>
    <dxf>
      <font>
        <b val="0"/>
        <i val="0"/>
        <strike val="0"/>
        <color auto="1"/>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rgb="FFC00000"/>
      </font>
      <fill>
        <patternFill patternType="none">
          <bgColor auto="1"/>
        </patternFill>
      </fill>
    </dxf>
    <dxf>
      <font>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font>
        <strike/>
        <color rgb="FFC00000"/>
      </font>
      <border>
        <left style="thin">
          <color rgb="FFC00000"/>
        </left>
        <right style="thin">
          <color rgb="FFC00000"/>
        </right>
        <top style="thin">
          <color rgb="FFC00000"/>
        </top>
        <bottom style="thin">
          <color rgb="FFC00000"/>
        </bottom>
        <vertical/>
        <horizontal/>
      </border>
    </dxf>
    <dxf>
      <font>
        <b val="0"/>
        <i/>
        <strike/>
        <color rgb="FFC00000"/>
      </font>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dxf>
    <dxf>
      <font>
        <color theme="0"/>
      </font>
      <fill>
        <patternFill patternType="none">
          <bgColor auto="1"/>
        </patternFill>
      </fill>
    </dxf>
    <dxf>
      <font>
        <strike/>
        <color theme="0" tint="-0.14996795556505021"/>
      </font>
    </dxf>
    <dxf>
      <font>
        <color theme="0"/>
      </font>
      <fill>
        <patternFill patternType="none">
          <bgColor auto="1"/>
        </patternFill>
      </fill>
    </dxf>
    <dxf>
      <font>
        <strike/>
        <color rgb="FFC00000"/>
      </font>
      <fill>
        <patternFill patternType="none">
          <bgColor auto="1"/>
        </patternFill>
      </fill>
    </dxf>
    <dxf>
      <font>
        <color theme="0"/>
      </font>
      <fill>
        <patternFill patternType="none">
          <bgColor auto="1"/>
        </patternFill>
      </fill>
    </dxf>
    <dxf>
      <font>
        <strike/>
        <color rgb="FFC00000"/>
      </font>
      <fill>
        <patternFill patternType="none">
          <bgColor auto="1"/>
        </patternFill>
      </fill>
    </dxf>
    <dxf>
      <font>
        <color theme="0"/>
      </font>
      <fill>
        <patternFill patternType="none">
          <bgColor auto="1"/>
        </patternFill>
      </fill>
    </dxf>
    <dxf>
      <font>
        <color theme="0"/>
      </font>
      <fill>
        <patternFill patternType="none">
          <bgColor auto="1"/>
        </patternFill>
      </fill>
    </dxf>
    <dxf>
      <font>
        <strike/>
        <color rgb="FFC00000"/>
      </font>
      <fill>
        <patternFill>
          <bgColor theme="0"/>
        </patternFill>
      </fill>
    </dxf>
    <dxf>
      <font>
        <strike/>
        <color theme="0"/>
      </font>
      <fill>
        <patternFill>
          <bgColor theme="0"/>
        </patternFill>
      </fill>
    </dxf>
    <dxf>
      <font>
        <strike/>
        <color rgb="FFC00000"/>
      </font>
      <fill>
        <patternFill>
          <bgColor theme="0"/>
        </patternFill>
      </fill>
    </dxf>
    <dxf>
      <font>
        <color theme="0"/>
      </font>
      <fill>
        <patternFill patternType="none">
          <bgColor auto="1"/>
        </patternFill>
      </fill>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0"/>
        </patternFill>
      </fill>
      <border>
        <left style="thin">
          <color auto="1"/>
        </left>
        <right style="thin">
          <color auto="1"/>
        </right>
        <top style="thin">
          <color auto="1"/>
        </top>
        <bottom style="thin">
          <color auto="1"/>
        </bottom>
      </border>
    </dxf>
    <dxf>
      <font>
        <strike/>
        <color theme="0" tint="-0.14996795556505021"/>
      </font>
    </dxf>
    <dxf>
      <font>
        <strike/>
        <color theme="0" tint="-0.14996795556505021"/>
      </font>
    </dxf>
    <dxf>
      <font>
        <strike/>
        <color theme="0" tint="-0.14996795556505021"/>
      </font>
    </dxf>
    <dxf>
      <border>
        <left style="thin">
          <color rgb="FFC00000"/>
        </left>
        <right style="thin">
          <color rgb="FFC00000"/>
        </right>
        <top style="thin">
          <color rgb="FFC00000"/>
        </top>
        <bottom style="thin">
          <color rgb="FFC00000"/>
        </bottom>
        <vertical/>
        <horizontal/>
      </border>
    </dxf>
    <dxf>
      <fill>
        <patternFill>
          <bgColor theme="5" tint="0.79998168889431442"/>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dxf>
    <dxf>
      <font>
        <strike/>
        <color theme="0" tint="-0.14996795556505021"/>
      </font>
    </dxf>
    <dxf>
      <font>
        <strike/>
        <color theme="0" tint="-0.14996795556505021"/>
      </font>
    </dxf>
    <dxf>
      <numFmt numFmtId="166" formatCode="#,##0.00;;;@"/>
    </dxf>
    <dxf>
      <numFmt numFmtId="166" formatCode="#,##0.00;;;@"/>
    </dxf>
    <dxf>
      <numFmt numFmtId="166" formatCode="#,##0.00;;;@"/>
    </dxf>
    <dxf>
      <numFmt numFmtId="166" formatCode="#,##0.00;;;@"/>
    </dxf>
    <dxf>
      <numFmt numFmtId="0" formatCode="General"/>
    </dxf>
    <dxf>
      <border outline="0">
        <top style="thin">
          <color theme="4" tint="0.39997558519241921"/>
        </top>
      </border>
    </dxf>
    <dxf>
      <border outline="0">
        <bottom style="thin">
          <color theme="4" tint="0.39997558519241921"/>
        </bottom>
      </border>
    </dxf>
    <dxf>
      <fill>
        <patternFill patternType="solid">
          <fgColor theme="4" tint="0.79998168889431442"/>
          <bgColor theme="4" tint="-0.249977111117893"/>
        </patternFill>
      </fill>
    </dxf>
    <dxf>
      <numFmt numFmtId="0" formatCode="General"/>
    </dxf>
    <dxf>
      <numFmt numFmtId="166" formatCode="#,##0.00;;;@"/>
    </dxf>
  </dxfs>
  <tableStyles count="0" defaultTableStyle="TableStyleMedium2" defaultPivotStyle="PivotStyleLight16"/>
  <colors>
    <mruColors>
      <color rgb="FF0000FF"/>
      <color rgb="FFFFFFCC"/>
      <color rgb="FFCCCC00"/>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I$13" lockText="1" noThreeD="1"/>
</file>

<file path=xl/ctrlProps/ctrlProp10.xml><?xml version="1.0" encoding="utf-8"?>
<formControlPr xmlns="http://schemas.microsoft.com/office/spreadsheetml/2009/9/main" objectType="CheckBox" checked="Checked" fmlaLink="$I$12" lockText="1" noThreeD="1"/>
</file>

<file path=xl/ctrlProps/ctrlProp100.xml><?xml version="1.0" encoding="utf-8"?>
<formControlPr xmlns="http://schemas.microsoft.com/office/spreadsheetml/2009/9/main" objectType="CheckBox" fmlaLink="$L$52" lockText="1" noThreeD="1"/>
</file>

<file path=xl/ctrlProps/ctrlProp101.xml><?xml version="1.0" encoding="utf-8"?>
<formControlPr xmlns="http://schemas.microsoft.com/office/spreadsheetml/2009/9/main" objectType="CheckBox" fmlaLink="$L$54" lockText="1" noThreeD="1"/>
</file>

<file path=xl/ctrlProps/ctrlProp102.xml><?xml version="1.0" encoding="utf-8"?>
<formControlPr xmlns="http://schemas.microsoft.com/office/spreadsheetml/2009/9/main" objectType="CheckBox" fmlaLink="$L$63" lockText="1" noThreeD="1"/>
</file>

<file path=xl/ctrlProps/ctrlProp103.xml><?xml version="1.0" encoding="utf-8"?>
<formControlPr xmlns="http://schemas.microsoft.com/office/spreadsheetml/2009/9/main" objectType="CheckBox" fmlaLink="$L$65" lockText="1" noThreeD="1"/>
</file>

<file path=xl/ctrlProps/ctrlProp104.xml><?xml version="1.0" encoding="utf-8"?>
<formControlPr xmlns="http://schemas.microsoft.com/office/spreadsheetml/2009/9/main" objectType="CheckBox" fmlaLink="$L$67" lockText="1" noThreeD="1"/>
</file>

<file path=xl/ctrlProps/ctrlProp105.xml><?xml version="1.0" encoding="utf-8"?>
<formControlPr xmlns="http://schemas.microsoft.com/office/spreadsheetml/2009/9/main" objectType="CheckBox" fmlaLink="$L$69" lockText="1" noThreeD="1"/>
</file>

<file path=xl/ctrlProps/ctrlProp106.xml><?xml version="1.0" encoding="utf-8"?>
<formControlPr xmlns="http://schemas.microsoft.com/office/spreadsheetml/2009/9/main" objectType="CheckBox" fmlaLink="$L$71" lockText="1" noThreeD="1"/>
</file>

<file path=xl/ctrlProps/ctrlProp107.xml><?xml version="1.0" encoding="utf-8"?>
<formControlPr xmlns="http://schemas.microsoft.com/office/spreadsheetml/2009/9/main" objectType="CheckBox" fmlaLink="$L$73" lockText="1" noThreeD="1"/>
</file>

<file path=xl/ctrlProps/ctrlProp108.xml><?xml version="1.0" encoding="utf-8"?>
<formControlPr xmlns="http://schemas.microsoft.com/office/spreadsheetml/2009/9/main" objectType="CheckBox" fmlaLink="$L$81" lockText="1" noThreeD="1"/>
</file>

<file path=xl/ctrlProps/ctrlProp109.xml><?xml version="1.0" encoding="utf-8"?>
<formControlPr xmlns="http://schemas.microsoft.com/office/spreadsheetml/2009/9/main" objectType="CheckBox" fmlaLink="$L$85" lockText="1" noThreeD="1"/>
</file>

<file path=xl/ctrlProps/ctrlProp11.xml><?xml version="1.0" encoding="utf-8"?>
<formControlPr xmlns="http://schemas.microsoft.com/office/spreadsheetml/2009/9/main" objectType="CheckBox" fmlaLink="$I$13" lockText="1" noThreeD="1"/>
</file>

<file path=xl/ctrlProps/ctrlProp110.xml><?xml version="1.0" encoding="utf-8"?>
<formControlPr xmlns="http://schemas.microsoft.com/office/spreadsheetml/2009/9/main" objectType="CheckBox" fmlaLink="$L$87" lockText="1" noThreeD="1"/>
</file>

<file path=xl/ctrlProps/ctrlProp111.xml><?xml version="1.0" encoding="utf-8"?>
<formControlPr xmlns="http://schemas.microsoft.com/office/spreadsheetml/2009/9/main" objectType="CheckBox" fmlaLink="$L$89" lockText="1" noThreeD="1"/>
</file>

<file path=xl/ctrlProps/ctrlProp112.xml><?xml version="1.0" encoding="utf-8"?>
<formControlPr xmlns="http://schemas.microsoft.com/office/spreadsheetml/2009/9/main" objectType="CheckBox" fmlaLink="$L$98" lockText="1" noThreeD="1"/>
</file>

<file path=xl/ctrlProps/ctrlProp113.xml><?xml version="1.0" encoding="utf-8"?>
<formControlPr xmlns="http://schemas.microsoft.com/office/spreadsheetml/2009/9/main" objectType="CheckBox" fmlaLink="$L$102" lockText="1" noThreeD="1"/>
</file>

<file path=xl/ctrlProps/ctrlProp114.xml><?xml version="1.0" encoding="utf-8"?>
<formControlPr xmlns="http://schemas.microsoft.com/office/spreadsheetml/2009/9/main" objectType="CheckBox" fmlaLink="$L$100" lockText="1" noThreeD="1"/>
</file>

<file path=xl/ctrlProps/ctrlProp115.xml><?xml version="1.0" encoding="utf-8"?>
<formControlPr xmlns="http://schemas.microsoft.com/office/spreadsheetml/2009/9/main" objectType="CheckBox" fmlaLink="$L$104" lockText="1" noThreeD="1"/>
</file>

<file path=xl/ctrlProps/ctrlProp116.xml><?xml version="1.0" encoding="utf-8"?>
<formControlPr xmlns="http://schemas.microsoft.com/office/spreadsheetml/2009/9/main" objectType="CheckBox" fmlaLink="$L$106" lockText="1" noThreeD="1"/>
</file>

<file path=xl/ctrlProps/ctrlProp117.xml><?xml version="1.0" encoding="utf-8"?>
<formControlPr xmlns="http://schemas.microsoft.com/office/spreadsheetml/2009/9/main" objectType="CheckBox" fmlaLink="$L$111" lockText="1" noThreeD="1"/>
</file>

<file path=xl/ctrlProps/ctrlProp118.xml><?xml version="1.0" encoding="utf-8"?>
<formControlPr xmlns="http://schemas.microsoft.com/office/spreadsheetml/2009/9/main" objectType="CheckBox" fmlaLink="$L$113" lockText="1" noThreeD="1"/>
</file>

<file path=xl/ctrlProps/ctrlProp119.xml><?xml version="1.0" encoding="utf-8"?>
<formControlPr xmlns="http://schemas.microsoft.com/office/spreadsheetml/2009/9/main" objectType="CheckBox" fmlaLink="$L$115" lockText="1" noThreeD="1"/>
</file>

<file path=xl/ctrlProps/ctrlProp12.xml><?xml version="1.0" encoding="utf-8"?>
<formControlPr xmlns="http://schemas.microsoft.com/office/spreadsheetml/2009/9/main" objectType="CheckBox" fmlaLink="$K$12" lockText="1" noThreeD="1"/>
</file>

<file path=xl/ctrlProps/ctrlProp120.xml><?xml version="1.0" encoding="utf-8"?>
<formControlPr xmlns="http://schemas.microsoft.com/office/spreadsheetml/2009/9/main" objectType="CheckBox" fmlaLink="$L$117" lockText="1" noThreeD="1"/>
</file>

<file path=xl/ctrlProps/ctrlProp121.xml><?xml version="1.0" encoding="utf-8"?>
<formControlPr xmlns="http://schemas.microsoft.com/office/spreadsheetml/2009/9/main" objectType="CheckBox" fmlaLink="$L$122" lockText="1" noThreeD="1"/>
</file>

<file path=xl/ctrlProps/ctrlProp122.xml><?xml version="1.0" encoding="utf-8"?>
<formControlPr xmlns="http://schemas.microsoft.com/office/spreadsheetml/2009/9/main" objectType="CheckBox" fmlaLink="$L$124" lockText="1" noThreeD="1"/>
</file>

<file path=xl/ctrlProps/ctrlProp123.xml><?xml version="1.0" encoding="utf-8"?>
<formControlPr xmlns="http://schemas.microsoft.com/office/spreadsheetml/2009/9/main" objectType="CheckBox" fmlaLink="$L$126" lockText="1" noThreeD="1"/>
</file>

<file path=xl/ctrlProps/ctrlProp124.xml><?xml version="1.0" encoding="utf-8"?>
<formControlPr xmlns="http://schemas.microsoft.com/office/spreadsheetml/2009/9/main" objectType="CheckBox" fmlaLink="$L$128" lockText="1" noThreeD="1"/>
</file>

<file path=xl/ctrlProps/ctrlProp125.xml><?xml version="1.0" encoding="utf-8"?>
<formControlPr xmlns="http://schemas.microsoft.com/office/spreadsheetml/2009/9/main" objectType="CheckBox" fmlaLink="$L$130" lockText="1" noThreeD="1"/>
</file>

<file path=xl/ctrlProps/ctrlProp126.xml><?xml version="1.0" encoding="utf-8"?>
<formControlPr xmlns="http://schemas.microsoft.com/office/spreadsheetml/2009/9/main" objectType="CheckBox" fmlaLink="$L$132" lockText="1" noThreeD="1"/>
</file>

<file path=xl/ctrlProps/ctrlProp127.xml><?xml version="1.0" encoding="utf-8"?>
<formControlPr xmlns="http://schemas.microsoft.com/office/spreadsheetml/2009/9/main" objectType="CheckBox" fmlaLink="$L$134" lockText="1" noThreeD="1"/>
</file>

<file path=xl/ctrlProps/ctrlProp128.xml><?xml version="1.0" encoding="utf-8"?>
<formControlPr xmlns="http://schemas.microsoft.com/office/spreadsheetml/2009/9/main" objectType="CheckBox" fmlaLink="$L$140" lockText="1" noThreeD="1"/>
</file>

<file path=xl/ctrlProps/ctrlProp129.xml><?xml version="1.0" encoding="utf-8"?>
<formControlPr xmlns="http://schemas.microsoft.com/office/spreadsheetml/2009/9/main" objectType="CheckBox" fmlaLink="$L$143" lockText="1" noThreeD="1"/>
</file>

<file path=xl/ctrlProps/ctrlProp13.xml><?xml version="1.0" encoding="utf-8"?>
<formControlPr xmlns="http://schemas.microsoft.com/office/spreadsheetml/2009/9/main" objectType="CheckBox" checked="Checked" fmlaLink="$K$15" lockText="1" noThreeD="1"/>
</file>

<file path=xl/ctrlProps/ctrlProp130.xml><?xml version="1.0" encoding="utf-8"?>
<formControlPr xmlns="http://schemas.microsoft.com/office/spreadsheetml/2009/9/main" objectType="CheckBox" fmlaLink="$L$146" lockText="1" noThreeD="1"/>
</file>

<file path=xl/ctrlProps/ctrlProp131.xml><?xml version="1.0" encoding="utf-8"?>
<formControlPr xmlns="http://schemas.microsoft.com/office/spreadsheetml/2009/9/main" objectType="CheckBox" fmlaLink="$L$148" lockText="1" noThreeD="1"/>
</file>

<file path=xl/ctrlProps/ctrlProp132.xml><?xml version="1.0" encoding="utf-8"?>
<formControlPr xmlns="http://schemas.microsoft.com/office/spreadsheetml/2009/9/main" objectType="CheckBox" fmlaLink="$L$151" lockText="1" noThreeD="1"/>
</file>

<file path=xl/ctrlProps/ctrlProp133.xml><?xml version="1.0" encoding="utf-8"?>
<formControlPr xmlns="http://schemas.microsoft.com/office/spreadsheetml/2009/9/main" objectType="CheckBox" fmlaLink="$L$153" lockText="1" noThreeD="1"/>
</file>

<file path=xl/ctrlProps/ctrlProp134.xml><?xml version="1.0" encoding="utf-8"?>
<formControlPr xmlns="http://schemas.microsoft.com/office/spreadsheetml/2009/9/main" objectType="CheckBox" fmlaLink="$L$156" lockText="1" noThreeD="1"/>
</file>

<file path=xl/ctrlProps/ctrlProp135.xml><?xml version="1.0" encoding="utf-8"?>
<formControlPr xmlns="http://schemas.microsoft.com/office/spreadsheetml/2009/9/main" objectType="CheckBox" fmlaLink="$L$158" lockText="1" noThreeD="1"/>
</file>

<file path=xl/ctrlProps/ctrlProp136.xml><?xml version="1.0" encoding="utf-8"?>
<formControlPr xmlns="http://schemas.microsoft.com/office/spreadsheetml/2009/9/main" objectType="CheckBox" fmlaLink="$L$163" lockText="1" noThreeD="1"/>
</file>

<file path=xl/ctrlProps/ctrlProp137.xml><?xml version="1.0" encoding="utf-8"?>
<formControlPr xmlns="http://schemas.microsoft.com/office/spreadsheetml/2009/9/main" objectType="CheckBox" fmlaLink="$L$165" lockText="1" noThreeD="1"/>
</file>

<file path=xl/ctrlProps/ctrlProp138.xml><?xml version="1.0" encoding="utf-8"?>
<formControlPr xmlns="http://schemas.microsoft.com/office/spreadsheetml/2009/9/main" objectType="CheckBox" fmlaLink="$L$167" lockText="1" noThreeD="1"/>
</file>

<file path=xl/ctrlProps/ctrlProp139.xml><?xml version="1.0" encoding="utf-8"?>
<formControlPr xmlns="http://schemas.microsoft.com/office/spreadsheetml/2009/9/main" objectType="CheckBox" fmlaLink="$L$169" lockText="1" noThreeD="1"/>
</file>

<file path=xl/ctrlProps/ctrlProp14.xml><?xml version="1.0" encoding="utf-8"?>
<formControlPr xmlns="http://schemas.microsoft.com/office/spreadsheetml/2009/9/main" objectType="CheckBox" checked="Checked" fmlaLink="$L$20" lockText="1" noThreeD="1"/>
</file>

<file path=xl/ctrlProps/ctrlProp140.xml><?xml version="1.0" encoding="utf-8"?>
<formControlPr xmlns="http://schemas.microsoft.com/office/spreadsheetml/2009/9/main" objectType="CheckBox" fmlaLink="$L$171" lockText="1" noThreeD="1"/>
</file>

<file path=xl/ctrlProps/ctrlProp141.xml><?xml version="1.0" encoding="utf-8"?>
<formControlPr xmlns="http://schemas.microsoft.com/office/spreadsheetml/2009/9/main" objectType="CheckBox" fmlaLink="$L$174" lockText="1" noThreeD="1"/>
</file>

<file path=xl/ctrlProps/ctrlProp142.xml><?xml version="1.0" encoding="utf-8"?>
<formControlPr xmlns="http://schemas.microsoft.com/office/spreadsheetml/2009/9/main" objectType="CheckBox" fmlaLink="$L$177" lockText="1" noThreeD="1"/>
</file>

<file path=xl/ctrlProps/ctrlProp143.xml><?xml version="1.0" encoding="utf-8"?>
<formControlPr xmlns="http://schemas.microsoft.com/office/spreadsheetml/2009/9/main" objectType="CheckBox" fmlaLink="$L$179" lockText="1" noThreeD="1"/>
</file>

<file path=xl/ctrlProps/ctrlProp144.xml><?xml version="1.0" encoding="utf-8"?>
<formControlPr xmlns="http://schemas.microsoft.com/office/spreadsheetml/2009/9/main" objectType="CheckBox" fmlaLink="$L$182" lockText="1" noThreeD="1"/>
</file>

<file path=xl/ctrlProps/ctrlProp145.xml><?xml version="1.0" encoding="utf-8"?>
<formControlPr xmlns="http://schemas.microsoft.com/office/spreadsheetml/2009/9/main" objectType="CheckBox" fmlaLink="$L$184" lockText="1" noThreeD="1"/>
</file>

<file path=xl/ctrlProps/ctrlProp146.xml><?xml version="1.0" encoding="utf-8"?>
<formControlPr xmlns="http://schemas.microsoft.com/office/spreadsheetml/2009/9/main" objectType="CheckBox" fmlaLink="$L$189" lockText="1" noThreeD="1"/>
</file>

<file path=xl/ctrlProps/ctrlProp147.xml><?xml version="1.0" encoding="utf-8"?>
<formControlPr xmlns="http://schemas.microsoft.com/office/spreadsheetml/2009/9/main" objectType="CheckBox" fmlaLink="$L$191" lockText="1" noThreeD="1"/>
</file>

<file path=xl/ctrlProps/ctrlProp148.xml><?xml version="1.0" encoding="utf-8"?>
<formControlPr xmlns="http://schemas.microsoft.com/office/spreadsheetml/2009/9/main" objectType="CheckBox" fmlaLink="$L$193" lockText="1" noThreeD="1"/>
</file>

<file path=xl/ctrlProps/ctrlProp149.xml><?xml version="1.0" encoding="utf-8"?>
<formControlPr xmlns="http://schemas.microsoft.com/office/spreadsheetml/2009/9/main" objectType="CheckBox" fmlaLink="$L$77" lockText="1" noThreeD="1"/>
</file>

<file path=xl/ctrlProps/ctrlProp15.xml><?xml version="1.0" encoding="utf-8"?>
<formControlPr xmlns="http://schemas.microsoft.com/office/spreadsheetml/2009/9/main" objectType="CheckBox" fmlaLink="$L$32" lockText="1" noThreeD="1"/>
</file>

<file path=xl/ctrlProps/ctrlProp150.xml><?xml version="1.0" encoding="utf-8"?>
<formControlPr xmlns="http://schemas.microsoft.com/office/spreadsheetml/2009/9/main" objectType="CheckBox" fmlaLink="$L$96" lockText="1" noThreeD="1"/>
</file>

<file path=xl/ctrlProps/ctrlProp151.xml><?xml version="1.0" encoding="utf-8"?>
<formControlPr xmlns="http://schemas.microsoft.com/office/spreadsheetml/2009/9/main" objectType="CheckBox" fmlaLink="$L$83" lockText="1" noThreeD="1"/>
</file>

<file path=xl/ctrlProps/ctrlProp152.xml><?xml version="1.0" encoding="utf-8"?>
<formControlPr xmlns="http://schemas.microsoft.com/office/spreadsheetml/2009/9/main" objectType="CheckBox" fmlaLink="$L$61" lockText="1" noThreeD="1"/>
</file>

<file path=xl/ctrlProps/ctrlProp153.xml><?xml version="1.0" encoding="utf-8"?>
<formControlPr xmlns="http://schemas.microsoft.com/office/spreadsheetml/2009/9/main" objectType="CheckBox" fmlaLink="$L$79" lockText="1" noThreeD="1"/>
</file>

<file path=xl/ctrlProps/ctrlProp154.xml><?xml version="1.0" encoding="utf-8"?>
<formControlPr xmlns="http://schemas.microsoft.com/office/spreadsheetml/2009/9/main" objectType="CheckBox" fmlaLink="$L$75" lockText="1" noThreeD="1"/>
</file>

<file path=xl/ctrlProps/ctrlProp155.xml><?xml version="1.0" encoding="utf-8"?>
<formControlPr xmlns="http://schemas.microsoft.com/office/spreadsheetml/2009/9/main" objectType="CheckBox" fmlaLink="$L$14" lockText="1" noThreeD="1"/>
</file>

<file path=xl/ctrlProps/ctrlProp156.xml><?xml version="1.0" encoding="utf-8"?>
<formControlPr xmlns="http://schemas.microsoft.com/office/spreadsheetml/2009/9/main" objectType="CheckBox" fmlaLink="$L$13" lockText="1" noThreeD="1"/>
</file>

<file path=xl/ctrlProps/ctrlProp157.xml><?xml version="1.0" encoding="utf-8"?>
<formControlPr xmlns="http://schemas.microsoft.com/office/spreadsheetml/2009/9/main" objectType="CheckBox" fmlaLink="$L$163" lockText="1" noThreeD="1"/>
</file>

<file path=xl/ctrlProps/ctrlProp158.xml><?xml version="1.0" encoding="utf-8"?>
<formControlPr xmlns="http://schemas.microsoft.com/office/spreadsheetml/2009/9/main" objectType="CheckBox" fmlaLink="$L$163" lockText="1" noThreeD="1"/>
</file>

<file path=xl/ctrlProps/ctrlProp159.xml><?xml version="1.0" encoding="utf-8"?>
<formControlPr xmlns="http://schemas.microsoft.com/office/spreadsheetml/2009/9/main" objectType="CheckBox" fmlaLink="$L$171" lockText="1" noThreeD="1"/>
</file>

<file path=xl/ctrlProps/ctrlProp16.xml><?xml version="1.0" encoding="utf-8"?>
<formControlPr xmlns="http://schemas.microsoft.com/office/spreadsheetml/2009/9/main" objectType="CheckBox" checked="Checked" fmlaLink="$L$36" lockText="1" noThreeD="1"/>
</file>

<file path=xl/ctrlProps/ctrlProp160.xml><?xml version="1.0" encoding="utf-8"?>
<formControlPr xmlns="http://schemas.microsoft.com/office/spreadsheetml/2009/9/main" objectType="CheckBox" fmlaLink="$L$21" lockText="1" noThreeD="1"/>
</file>

<file path=xl/ctrlProps/ctrlProp161.xml><?xml version="1.0" encoding="utf-8"?>
<formControlPr xmlns="http://schemas.microsoft.com/office/spreadsheetml/2009/9/main" objectType="CheckBox" fmlaLink="$L$17" lockText="1" noThreeD="1"/>
</file>

<file path=xl/ctrlProps/ctrlProp162.xml><?xml version="1.0" encoding="utf-8"?>
<formControlPr xmlns="http://schemas.microsoft.com/office/spreadsheetml/2009/9/main" objectType="CheckBox" fmlaLink="$L$19" lockText="1" noThreeD="1"/>
</file>

<file path=xl/ctrlProps/ctrlProp163.xml><?xml version="1.0" encoding="utf-8"?>
<formControlPr xmlns="http://schemas.microsoft.com/office/spreadsheetml/2009/9/main" objectType="CheckBox" fmlaLink="$L$23" lockText="1" noThreeD="1"/>
</file>

<file path=xl/ctrlProps/ctrlProp164.xml><?xml version="1.0" encoding="utf-8"?>
<formControlPr xmlns="http://schemas.microsoft.com/office/spreadsheetml/2009/9/main" objectType="CheckBox" fmlaLink="$L$25" lockText="1" noThreeD="1"/>
</file>

<file path=xl/ctrlProps/ctrlProp165.xml><?xml version="1.0" encoding="utf-8"?>
<formControlPr xmlns="http://schemas.microsoft.com/office/spreadsheetml/2009/9/main" objectType="CheckBox" fmlaLink="$L$30" lockText="1" noThreeD="1"/>
</file>

<file path=xl/ctrlProps/ctrlProp166.xml><?xml version="1.0" encoding="utf-8"?>
<formControlPr xmlns="http://schemas.microsoft.com/office/spreadsheetml/2009/9/main" objectType="CheckBox" fmlaLink="$L$32" lockText="1" noThreeD="1"/>
</file>

<file path=xl/ctrlProps/ctrlProp167.xml><?xml version="1.0" encoding="utf-8"?>
<formControlPr xmlns="http://schemas.microsoft.com/office/spreadsheetml/2009/9/main" objectType="CheckBox" fmlaLink="$L$34" lockText="1" noThreeD="1"/>
</file>

<file path=xl/ctrlProps/ctrlProp168.xml><?xml version="1.0" encoding="utf-8"?>
<formControlPr xmlns="http://schemas.microsoft.com/office/spreadsheetml/2009/9/main" objectType="CheckBox" fmlaLink="$L$36" lockText="1" noThreeD="1"/>
</file>

<file path=xl/ctrlProps/ctrlProp169.xml><?xml version="1.0" encoding="utf-8"?>
<formControlPr xmlns="http://schemas.microsoft.com/office/spreadsheetml/2009/9/main" objectType="CheckBox" fmlaLink="$L$38" lockText="1" noThreeD="1"/>
</file>

<file path=xl/ctrlProps/ctrlProp17.xml><?xml version="1.0" encoding="utf-8"?>
<formControlPr xmlns="http://schemas.microsoft.com/office/spreadsheetml/2009/9/main" objectType="CheckBox" checked="Checked" fmlaLink="$L$39" lockText="1" noThreeD="1"/>
</file>

<file path=xl/ctrlProps/ctrlProp170.xml><?xml version="1.0" encoding="utf-8"?>
<formControlPr xmlns="http://schemas.microsoft.com/office/spreadsheetml/2009/9/main" objectType="CheckBox" fmlaLink="$L$42" lockText="1" noThreeD="1"/>
</file>

<file path=xl/ctrlProps/ctrlProp171.xml><?xml version="1.0" encoding="utf-8"?>
<formControlPr xmlns="http://schemas.microsoft.com/office/spreadsheetml/2009/9/main" objectType="CheckBox" fmlaLink="$L$44" lockText="1" noThreeD="1"/>
</file>

<file path=xl/ctrlProps/ctrlProp172.xml><?xml version="1.0" encoding="utf-8"?>
<formControlPr xmlns="http://schemas.microsoft.com/office/spreadsheetml/2009/9/main" objectType="CheckBox" fmlaLink="$L$46" lockText="1" noThreeD="1"/>
</file>

<file path=xl/ctrlProps/ctrlProp173.xml><?xml version="1.0" encoding="utf-8"?>
<formControlPr xmlns="http://schemas.microsoft.com/office/spreadsheetml/2009/9/main" objectType="CheckBox" fmlaLink="$L$48" lockText="1" noThreeD="1"/>
</file>

<file path=xl/ctrlProps/ctrlProp174.xml><?xml version="1.0" encoding="utf-8"?>
<formControlPr xmlns="http://schemas.microsoft.com/office/spreadsheetml/2009/9/main" objectType="CheckBox" fmlaLink="$L$50" lockText="1" noThreeD="1"/>
</file>

<file path=xl/ctrlProps/ctrlProp175.xml><?xml version="1.0" encoding="utf-8"?>
<formControlPr xmlns="http://schemas.microsoft.com/office/spreadsheetml/2009/9/main" objectType="CheckBox" fmlaLink="$L$52" lockText="1" noThreeD="1"/>
</file>

<file path=xl/ctrlProps/ctrlProp176.xml><?xml version="1.0" encoding="utf-8"?>
<formControlPr xmlns="http://schemas.microsoft.com/office/spreadsheetml/2009/9/main" objectType="CheckBox" fmlaLink="$L$54" lockText="1" noThreeD="1"/>
</file>

<file path=xl/ctrlProps/ctrlProp177.xml><?xml version="1.0" encoding="utf-8"?>
<formControlPr xmlns="http://schemas.microsoft.com/office/spreadsheetml/2009/9/main" objectType="CheckBox" fmlaLink="$L$63" lockText="1" noThreeD="1"/>
</file>

<file path=xl/ctrlProps/ctrlProp178.xml><?xml version="1.0" encoding="utf-8"?>
<formControlPr xmlns="http://schemas.microsoft.com/office/spreadsheetml/2009/9/main" objectType="CheckBox" fmlaLink="$L$65" lockText="1" noThreeD="1"/>
</file>

<file path=xl/ctrlProps/ctrlProp179.xml><?xml version="1.0" encoding="utf-8"?>
<formControlPr xmlns="http://schemas.microsoft.com/office/spreadsheetml/2009/9/main" objectType="CheckBox" fmlaLink="$L$67" lockText="1" noThreeD="1"/>
</file>

<file path=xl/ctrlProps/ctrlProp18.xml><?xml version="1.0" encoding="utf-8"?>
<formControlPr xmlns="http://schemas.microsoft.com/office/spreadsheetml/2009/9/main" objectType="CheckBox" checked="Checked" fmlaLink="$L$45" lockText="1" noThreeD="1"/>
</file>

<file path=xl/ctrlProps/ctrlProp180.xml><?xml version="1.0" encoding="utf-8"?>
<formControlPr xmlns="http://schemas.microsoft.com/office/spreadsheetml/2009/9/main" objectType="CheckBox" fmlaLink="$L$69" lockText="1" noThreeD="1"/>
</file>

<file path=xl/ctrlProps/ctrlProp181.xml><?xml version="1.0" encoding="utf-8"?>
<formControlPr xmlns="http://schemas.microsoft.com/office/spreadsheetml/2009/9/main" objectType="CheckBox" fmlaLink="$L$71" lockText="1" noThreeD="1"/>
</file>

<file path=xl/ctrlProps/ctrlProp182.xml><?xml version="1.0" encoding="utf-8"?>
<formControlPr xmlns="http://schemas.microsoft.com/office/spreadsheetml/2009/9/main" objectType="CheckBox" fmlaLink="$L$73" lockText="1" noThreeD="1"/>
</file>

<file path=xl/ctrlProps/ctrlProp183.xml><?xml version="1.0" encoding="utf-8"?>
<formControlPr xmlns="http://schemas.microsoft.com/office/spreadsheetml/2009/9/main" objectType="CheckBox" fmlaLink="$L$81" lockText="1" noThreeD="1"/>
</file>

<file path=xl/ctrlProps/ctrlProp184.xml><?xml version="1.0" encoding="utf-8"?>
<formControlPr xmlns="http://schemas.microsoft.com/office/spreadsheetml/2009/9/main" objectType="CheckBox" fmlaLink="$L$85" lockText="1" noThreeD="1"/>
</file>

<file path=xl/ctrlProps/ctrlProp185.xml><?xml version="1.0" encoding="utf-8"?>
<formControlPr xmlns="http://schemas.microsoft.com/office/spreadsheetml/2009/9/main" objectType="CheckBox" fmlaLink="$L$87" lockText="1" noThreeD="1"/>
</file>

<file path=xl/ctrlProps/ctrlProp186.xml><?xml version="1.0" encoding="utf-8"?>
<formControlPr xmlns="http://schemas.microsoft.com/office/spreadsheetml/2009/9/main" objectType="CheckBox" fmlaLink="$L$89" lockText="1" noThreeD="1"/>
</file>

<file path=xl/ctrlProps/ctrlProp187.xml><?xml version="1.0" encoding="utf-8"?>
<formControlPr xmlns="http://schemas.microsoft.com/office/spreadsheetml/2009/9/main" objectType="CheckBox" fmlaLink="$L$100" lockText="1" noThreeD="1"/>
</file>

<file path=xl/ctrlProps/ctrlProp188.xml><?xml version="1.0" encoding="utf-8"?>
<formControlPr xmlns="http://schemas.microsoft.com/office/spreadsheetml/2009/9/main" objectType="CheckBox" fmlaLink="$L$104" lockText="1" noThreeD="1"/>
</file>

<file path=xl/ctrlProps/ctrlProp189.xml><?xml version="1.0" encoding="utf-8"?>
<formControlPr xmlns="http://schemas.microsoft.com/office/spreadsheetml/2009/9/main" objectType="CheckBox" fmlaLink="$L$102" lockText="1" noThreeD="1"/>
</file>

<file path=xl/ctrlProps/ctrlProp19.xml><?xml version="1.0" encoding="utf-8"?>
<formControlPr xmlns="http://schemas.microsoft.com/office/spreadsheetml/2009/9/main" objectType="CheckBox" checked="Checked" fmlaLink="$L$75" lockText="1" noThreeD="1"/>
</file>

<file path=xl/ctrlProps/ctrlProp190.xml><?xml version="1.0" encoding="utf-8"?>
<formControlPr xmlns="http://schemas.microsoft.com/office/spreadsheetml/2009/9/main" objectType="CheckBox" fmlaLink="$L$106" lockText="1" noThreeD="1"/>
</file>

<file path=xl/ctrlProps/ctrlProp191.xml><?xml version="1.0" encoding="utf-8"?>
<formControlPr xmlns="http://schemas.microsoft.com/office/spreadsheetml/2009/9/main" objectType="CheckBox" fmlaLink="$L$108" lockText="1" noThreeD="1"/>
</file>

<file path=xl/ctrlProps/ctrlProp192.xml><?xml version="1.0" encoding="utf-8"?>
<formControlPr xmlns="http://schemas.microsoft.com/office/spreadsheetml/2009/9/main" objectType="CheckBox" fmlaLink="$L$115" lockText="1" noThreeD="1"/>
</file>

<file path=xl/ctrlProps/ctrlProp193.xml><?xml version="1.0" encoding="utf-8"?>
<formControlPr xmlns="http://schemas.microsoft.com/office/spreadsheetml/2009/9/main" objectType="CheckBox" fmlaLink="$L$117" lockText="1" noThreeD="1"/>
</file>

<file path=xl/ctrlProps/ctrlProp194.xml><?xml version="1.0" encoding="utf-8"?>
<formControlPr xmlns="http://schemas.microsoft.com/office/spreadsheetml/2009/9/main" objectType="CheckBox" fmlaLink="$L$119" lockText="1" noThreeD="1"/>
</file>

<file path=xl/ctrlProps/ctrlProp195.xml><?xml version="1.0" encoding="utf-8"?>
<formControlPr xmlns="http://schemas.microsoft.com/office/spreadsheetml/2009/9/main" objectType="CheckBox" fmlaLink="$L$121" lockText="1" noThreeD="1"/>
</file>

<file path=xl/ctrlProps/ctrlProp196.xml><?xml version="1.0" encoding="utf-8"?>
<formControlPr xmlns="http://schemas.microsoft.com/office/spreadsheetml/2009/9/main" objectType="CheckBox" fmlaLink="$L$126" lockText="1" noThreeD="1"/>
</file>

<file path=xl/ctrlProps/ctrlProp197.xml><?xml version="1.0" encoding="utf-8"?>
<formControlPr xmlns="http://schemas.microsoft.com/office/spreadsheetml/2009/9/main" objectType="CheckBox" fmlaLink="$L$128" lockText="1" noThreeD="1"/>
</file>

<file path=xl/ctrlProps/ctrlProp198.xml><?xml version="1.0" encoding="utf-8"?>
<formControlPr xmlns="http://schemas.microsoft.com/office/spreadsheetml/2009/9/main" objectType="CheckBox" fmlaLink="$L$130" lockText="1" noThreeD="1"/>
</file>

<file path=xl/ctrlProps/ctrlProp199.xml><?xml version="1.0" encoding="utf-8"?>
<formControlPr xmlns="http://schemas.microsoft.com/office/spreadsheetml/2009/9/main" objectType="CheckBox" fmlaLink="$L$132" lockText="1" noThreeD="1"/>
</file>

<file path=xl/ctrlProps/ctrlProp2.xml><?xml version="1.0" encoding="utf-8"?>
<formControlPr xmlns="http://schemas.microsoft.com/office/spreadsheetml/2009/9/main" objectType="CheckBox" fmlaLink="$I$14" lockText="1" noThreeD="1"/>
</file>

<file path=xl/ctrlProps/ctrlProp20.xml><?xml version="1.0" encoding="utf-8"?>
<formControlPr xmlns="http://schemas.microsoft.com/office/spreadsheetml/2009/9/main" objectType="CheckBox" checked="Checked" fmlaLink="$L$78" lockText="1" noThreeD="1"/>
</file>

<file path=xl/ctrlProps/ctrlProp200.xml><?xml version="1.0" encoding="utf-8"?>
<formControlPr xmlns="http://schemas.microsoft.com/office/spreadsheetml/2009/9/main" objectType="CheckBox" fmlaLink="$L$134" lockText="1" noThreeD="1"/>
</file>

<file path=xl/ctrlProps/ctrlProp201.xml><?xml version="1.0" encoding="utf-8"?>
<formControlPr xmlns="http://schemas.microsoft.com/office/spreadsheetml/2009/9/main" objectType="CheckBox" fmlaLink="$L$136" lockText="1" noThreeD="1"/>
</file>

<file path=xl/ctrlProps/ctrlProp202.xml><?xml version="1.0" encoding="utf-8"?>
<formControlPr xmlns="http://schemas.microsoft.com/office/spreadsheetml/2009/9/main" objectType="CheckBox" fmlaLink="$L$138" lockText="1" noThreeD="1"/>
</file>

<file path=xl/ctrlProps/ctrlProp203.xml><?xml version="1.0" encoding="utf-8"?>
<formControlPr xmlns="http://schemas.microsoft.com/office/spreadsheetml/2009/9/main" objectType="CheckBox" fmlaLink="$L$144" lockText="1" noThreeD="1"/>
</file>

<file path=xl/ctrlProps/ctrlProp204.xml><?xml version="1.0" encoding="utf-8"?>
<formControlPr xmlns="http://schemas.microsoft.com/office/spreadsheetml/2009/9/main" objectType="CheckBox" fmlaLink="$L$147" lockText="1" noThreeD="1"/>
</file>

<file path=xl/ctrlProps/ctrlProp205.xml><?xml version="1.0" encoding="utf-8"?>
<formControlPr xmlns="http://schemas.microsoft.com/office/spreadsheetml/2009/9/main" objectType="CheckBox" fmlaLink="$L$150" lockText="1" noThreeD="1"/>
</file>

<file path=xl/ctrlProps/ctrlProp206.xml><?xml version="1.0" encoding="utf-8"?>
<formControlPr xmlns="http://schemas.microsoft.com/office/spreadsheetml/2009/9/main" objectType="CheckBox" fmlaLink="$L$152" lockText="1" noThreeD="1"/>
</file>

<file path=xl/ctrlProps/ctrlProp207.xml><?xml version="1.0" encoding="utf-8"?>
<formControlPr xmlns="http://schemas.microsoft.com/office/spreadsheetml/2009/9/main" objectType="CheckBox" fmlaLink="$L$155" lockText="1" noThreeD="1"/>
</file>

<file path=xl/ctrlProps/ctrlProp208.xml><?xml version="1.0" encoding="utf-8"?>
<formControlPr xmlns="http://schemas.microsoft.com/office/spreadsheetml/2009/9/main" objectType="CheckBox" fmlaLink="$L$157" lockText="1" noThreeD="1"/>
</file>

<file path=xl/ctrlProps/ctrlProp209.xml><?xml version="1.0" encoding="utf-8"?>
<formControlPr xmlns="http://schemas.microsoft.com/office/spreadsheetml/2009/9/main" objectType="CheckBox" fmlaLink="$L$160" lockText="1" noThreeD="1"/>
</file>

<file path=xl/ctrlProps/ctrlProp21.xml><?xml version="1.0" encoding="utf-8"?>
<formControlPr xmlns="http://schemas.microsoft.com/office/spreadsheetml/2009/9/main" objectType="CheckBox" checked="Checked" fmlaLink="$L$81" lockText="1" noThreeD="1"/>
</file>

<file path=xl/ctrlProps/ctrlProp210.xml><?xml version="1.0" encoding="utf-8"?>
<formControlPr xmlns="http://schemas.microsoft.com/office/spreadsheetml/2009/9/main" objectType="CheckBox" fmlaLink="$L$162" lockText="1" noThreeD="1"/>
</file>

<file path=xl/ctrlProps/ctrlProp211.xml><?xml version="1.0" encoding="utf-8"?>
<formControlPr xmlns="http://schemas.microsoft.com/office/spreadsheetml/2009/9/main" objectType="CheckBox" fmlaLink="$L$169" lockText="1" noThreeD="1"/>
</file>

<file path=xl/ctrlProps/ctrlProp212.xml><?xml version="1.0" encoding="utf-8"?>
<formControlPr xmlns="http://schemas.microsoft.com/office/spreadsheetml/2009/9/main" objectType="CheckBox" fmlaLink="$L$171" lockText="1" noThreeD="1"/>
</file>

<file path=xl/ctrlProps/ctrlProp213.xml><?xml version="1.0" encoding="utf-8"?>
<formControlPr xmlns="http://schemas.microsoft.com/office/spreadsheetml/2009/9/main" objectType="CheckBox" fmlaLink="$L$173" lockText="1" noThreeD="1"/>
</file>

<file path=xl/ctrlProps/ctrlProp214.xml><?xml version="1.0" encoding="utf-8"?>
<formControlPr xmlns="http://schemas.microsoft.com/office/spreadsheetml/2009/9/main" objectType="CheckBox" fmlaLink="$L$175" lockText="1" noThreeD="1"/>
</file>

<file path=xl/ctrlProps/ctrlProp215.xml><?xml version="1.0" encoding="utf-8"?>
<formControlPr xmlns="http://schemas.microsoft.com/office/spreadsheetml/2009/9/main" objectType="CheckBox" fmlaLink="$L$177" lockText="1" noThreeD="1"/>
</file>

<file path=xl/ctrlProps/ctrlProp216.xml><?xml version="1.0" encoding="utf-8"?>
<formControlPr xmlns="http://schemas.microsoft.com/office/spreadsheetml/2009/9/main" objectType="CheckBox" fmlaLink="$L$180" lockText="1" noThreeD="1"/>
</file>

<file path=xl/ctrlProps/ctrlProp217.xml><?xml version="1.0" encoding="utf-8"?>
<formControlPr xmlns="http://schemas.microsoft.com/office/spreadsheetml/2009/9/main" objectType="CheckBox" fmlaLink="$L$183" lockText="1" noThreeD="1"/>
</file>

<file path=xl/ctrlProps/ctrlProp218.xml><?xml version="1.0" encoding="utf-8"?>
<formControlPr xmlns="http://schemas.microsoft.com/office/spreadsheetml/2009/9/main" objectType="CheckBox" fmlaLink="$L$185" lockText="1" noThreeD="1"/>
</file>

<file path=xl/ctrlProps/ctrlProp219.xml><?xml version="1.0" encoding="utf-8"?>
<formControlPr xmlns="http://schemas.microsoft.com/office/spreadsheetml/2009/9/main" objectType="CheckBox" fmlaLink="$L$188" lockText="1" noThreeD="1"/>
</file>

<file path=xl/ctrlProps/ctrlProp22.xml><?xml version="1.0" encoding="utf-8"?>
<formControlPr xmlns="http://schemas.microsoft.com/office/spreadsheetml/2009/9/main" objectType="CheckBox" checked="Checked" fmlaLink="$L$84" lockText="1" noThreeD="1"/>
</file>

<file path=xl/ctrlProps/ctrlProp220.xml><?xml version="1.0" encoding="utf-8"?>
<formControlPr xmlns="http://schemas.microsoft.com/office/spreadsheetml/2009/9/main" objectType="CheckBox" fmlaLink="$L$190" lockText="1" noThreeD="1"/>
</file>

<file path=xl/ctrlProps/ctrlProp221.xml><?xml version="1.0" encoding="utf-8"?>
<formControlPr xmlns="http://schemas.microsoft.com/office/spreadsheetml/2009/9/main" objectType="CheckBox" fmlaLink="$L$195" lockText="1" noThreeD="1"/>
</file>

<file path=xl/ctrlProps/ctrlProp222.xml><?xml version="1.0" encoding="utf-8"?>
<formControlPr xmlns="http://schemas.microsoft.com/office/spreadsheetml/2009/9/main" objectType="CheckBox" fmlaLink="$L$197" lockText="1" noThreeD="1"/>
</file>

<file path=xl/ctrlProps/ctrlProp223.xml><?xml version="1.0" encoding="utf-8"?>
<formControlPr xmlns="http://schemas.microsoft.com/office/spreadsheetml/2009/9/main" objectType="CheckBox" fmlaLink="$L$199" lockText="1" noThreeD="1"/>
</file>

<file path=xl/ctrlProps/ctrlProp224.xml><?xml version="1.0" encoding="utf-8"?>
<formControlPr xmlns="http://schemas.microsoft.com/office/spreadsheetml/2009/9/main" objectType="CheckBox" fmlaLink="$L$77" lockText="1" noThreeD="1"/>
</file>

<file path=xl/ctrlProps/ctrlProp225.xml><?xml version="1.0" encoding="utf-8"?>
<formControlPr xmlns="http://schemas.microsoft.com/office/spreadsheetml/2009/9/main" objectType="CheckBox" fmlaLink="$L$98" lockText="1" noThreeD="1"/>
</file>

<file path=xl/ctrlProps/ctrlProp226.xml><?xml version="1.0" encoding="utf-8"?>
<formControlPr xmlns="http://schemas.microsoft.com/office/spreadsheetml/2009/9/main" objectType="CheckBox" fmlaLink="$L$83" lockText="1" noThreeD="1"/>
</file>

<file path=xl/ctrlProps/ctrlProp227.xml><?xml version="1.0" encoding="utf-8"?>
<formControlPr xmlns="http://schemas.microsoft.com/office/spreadsheetml/2009/9/main" objectType="CheckBox" fmlaLink="$L$61" lockText="1" noThreeD="1"/>
</file>

<file path=xl/ctrlProps/ctrlProp228.xml><?xml version="1.0" encoding="utf-8"?>
<formControlPr xmlns="http://schemas.microsoft.com/office/spreadsheetml/2009/9/main" objectType="CheckBox" fmlaLink="$L$79" lockText="1" noThreeD="1"/>
</file>

<file path=xl/ctrlProps/ctrlProp229.xml><?xml version="1.0" encoding="utf-8"?>
<formControlPr xmlns="http://schemas.microsoft.com/office/spreadsheetml/2009/9/main" objectType="CheckBox" fmlaLink="$L$75" lockText="1" noThreeD="1"/>
</file>

<file path=xl/ctrlProps/ctrlProp23.xml><?xml version="1.0" encoding="utf-8"?>
<formControlPr xmlns="http://schemas.microsoft.com/office/spreadsheetml/2009/9/main" objectType="CheckBox" checked="Checked" fmlaLink="$L$94" lockText="1" noThreeD="1"/>
</file>

<file path=xl/ctrlProps/ctrlProp230.xml><?xml version="1.0" encoding="utf-8"?>
<formControlPr xmlns="http://schemas.microsoft.com/office/spreadsheetml/2009/9/main" objectType="CheckBox" fmlaLink="$L$14" lockText="1" noThreeD="1"/>
</file>

<file path=xl/ctrlProps/ctrlProp231.xml><?xml version="1.0" encoding="utf-8"?>
<formControlPr xmlns="http://schemas.microsoft.com/office/spreadsheetml/2009/9/main" objectType="CheckBox" fmlaLink="$L$13" lockText="1" noThreeD="1"/>
</file>

<file path=xl/ctrlProps/ctrlProp232.xml><?xml version="1.0" encoding="utf-8"?>
<formControlPr xmlns="http://schemas.microsoft.com/office/spreadsheetml/2009/9/main" objectType="CheckBox" fmlaLink="$L$169" lockText="1" noThreeD="1"/>
</file>

<file path=xl/ctrlProps/ctrlProp233.xml><?xml version="1.0" encoding="utf-8"?>
<formControlPr xmlns="http://schemas.microsoft.com/office/spreadsheetml/2009/9/main" objectType="CheckBox" fmlaLink="$L$169" lockText="1" noThreeD="1"/>
</file>

<file path=xl/ctrlProps/ctrlProp234.xml><?xml version="1.0" encoding="utf-8"?>
<formControlPr xmlns="http://schemas.microsoft.com/office/spreadsheetml/2009/9/main" objectType="CheckBox" fmlaLink="$L$177" lockText="1" noThreeD="1"/>
</file>

<file path=xl/ctrlProps/ctrlProp235.xml><?xml version="1.0" encoding="utf-8"?>
<formControlPr xmlns="http://schemas.microsoft.com/office/spreadsheetml/2009/9/main" objectType="CheckBox" fmlaLink="$L$21" lockText="1" noThreeD="1"/>
</file>

<file path=xl/ctrlProps/ctrlProp236.xml><?xml version="1.0" encoding="utf-8"?>
<formControlPr xmlns="http://schemas.microsoft.com/office/spreadsheetml/2009/9/main" objectType="CheckBox" fmlaLink="$M$14" lockText="1" noThreeD="1"/>
</file>

<file path=xl/ctrlProps/ctrlProp237.xml><?xml version="1.0" encoding="utf-8"?>
<formControlPr xmlns="http://schemas.microsoft.com/office/spreadsheetml/2009/9/main" objectType="CheckBox" fmlaLink="$M$16" lockText="1" noThreeD="1"/>
</file>

<file path=xl/ctrlProps/ctrlProp238.xml><?xml version="1.0" encoding="utf-8"?>
<formControlPr xmlns="http://schemas.microsoft.com/office/spreadsheetml/2009/9/main" objectType="CheckBox" fmlaLink="$M$18" lockText="1" noThreeD="1"/>
</file>

<file path=xl/ctrlProps/ctrlProp239.xml><?xml version="1.0" encoding="utf-8"?>
<formControlPr xmlns="http://schemas.microsoft.com/office/spreadsheetml/2009/9/main" objectType="CheckBox" fmlaLink="$M$20" lockText="1" noThreeD="1"/>
</file>

<file path=xl/ctrlProps/ctrlProp24.xml><?xml version="1.0" encoding="utf-8"?>
<formControlPr xmlns="http://schemas.microsoft.com/office/spreadsheetml/2009/9/main" objectType="CheckBox" checked="Checked" fmlaLink="$L$97" lockText="1" noThreeD="1"/>
</file>

<file path=xl/ctrlProps/ctrlProp240.xml><?xml version="1.0" encoding="utf-8"?>
<formControlPr xmlns="http://schemas.microsoft.com/office/spreadsheetml/2009/9/main" objectType="CheckBox" fmlaLink="$M$22" lockText="1" noThreeD="1"/>
</file>

<file path=xl/ctrlProps/ctrlProp241.xml><?xml version="1.0" encoding="utf-8"?>
<formControlPr xmlns="http://schemas.microsoft.com/office/spreadsheetml/2009/9/main" objectType="CheckBox" fmlaLink="$M$27" lockText="1" noThreeD="1"/>
</file>

<file path=xl/ctrlProps/ctrlProp242.xml><?xml version="1.0" encoding="utf-8"?>
<formControlPr xmlns="http://schemas.microsoft.com/office/spreadsheetml/2009/9/main" objectType="CheckBox" fmlaLink="$M$29" lockText="1" noThreeD="1"/>
</file>

<file path=xl/ctrlProps/ctrlProp243.xml><?xml version="1.0" encoding="utf-8"?>
<formControlPr xmlns="http://schemas.microsoft.com/office/spreadsheetml/2009/9/main" objectType="CheckBox" fmlaLink="$M$31" lockText="1" noThreeD="1"/>
</file>

<file path=xl/ctrlProps/ctrlProp244.xml><?xml version="1.0" encoding="utf-8"?>
<formControlPr xmlns="http://schemas.microsoft.com/office/spreadsheetml/2009/9/main" objectType="CheckBox" fmlaLink="$M$33" lockText="1" noThreeD="1"/>
</file>

<file path=xl/ctrlProps/ctrlProp245.xml><?xml version="1.0" encoding="utf-8"?>
<formControlPr xmlns="http://schemas.microsoft.com/office/spreadsheetml/2009/9/main" objectType="CheckBox" fmlaLink="$M$35" lockText="1" noThreeD="1"/>
</file>

<file path=xl/ctrlProps/ctrlProp246.xml><?xml version="1.0" encoding="utf-8"?>
<formControlPr xmlns="http://schemas.microsoft.com/office/spreadsheetml/2009/9/main" objectType="CheckBox" fmlaLink="$M$45" lockText="1" noThreeD="1"/>
</file>

<file path=xl/ctrlProps/ctrlProp247.xml><?xml version="1.0" encoding="utf-8"?>
<formControlPr xmlns="http://schemas.microsoft.com/office/spreadsheetml/2009/9/main" objectType="CheckBox" fmlaLink="$M$37" lockText="1" noThreeD="1"/>
</file>

<file path=xl/ctrlProps/ctrlProp248.xml><?xml version="1.0" encoding="utf-8"?>
<formControlPr xmlns="http://schemas.microsoft.com/office/spreadsheetml/2009/9/main" objectType="CheckBox" fmlaLink="$M$50" lockText="1" noThreeD="1"/>
</file>

<file path=xl/ctrlProps/ctrlProp249.xml><?xml version="1.0" encoding="utf-8"?>
<formControlPr xmlns="http://schemas.microsoft.com/office/spreadsheetml/2009/9/main" objectType="CheckBox" fmlaLink="$M$52" lockText="1" noThreeD="1"/>
</file>

<file path=xl/ctrlProps/ctrlProp25.xml><?xml version="1.0" encoding="utf-8"?>
<formControlPr xmlns="http://schemas.microsoft.com/office/spreadsheetml/2009/9/main" objectType="CheckBox" checked="Checked" fmlaLink="$L$100" lockText="1" noThreeD="1"/>
</file>

<file path=xl/ctrlProps/ctrlProp250.xml><?xml version="1.0" encoding="utf-8"?>
<formControlPr xmlns="http://schemas.microsoft.com/office/spreadsheetml/2009/9/main" objectType="CheckBox" fmlaLink="$M$54" lockText="1" noThreeD="1"/>
</file>

<file path=xl/ctrlProps/ctrlProp251.xml><?xml version="1.0" encoding="utf-8"?>
<formControlPr xmlns="http://schemas.microsoft.com/office/spreadsheetml/2009/9/main" objectType="CheckBox" fmlaLink="$M$56" lockText="1" noThreeD="1"/>
</file>

<file path=xl/ctrlProps/ctrlProp252.xml><?xml version="1.0" encoding="utf-8"?>
<formControlPr xmlns="http://schemas.microsoft.com/office/spreadsheetml/2009/9/main" objectType="CheckBox" fmlaLink="$M$58" lockText="1" noThreeD="1"/>
</file>

<file path=xl/ctrlProps/ctrlProp253.xml><?xml version="1.0" encoding="utf-8"?>
<formControlPr xmlns="http://schemas.microsoft.com/office/spreadsheetml/2009/9/main" objectType="CheckBox" fmlaLink="$M$74" lockText="1" noThreeD="1"/>
</file>

<file path=xl/ctrlProps/ctrlProp254.xml><?xml version="1.0" encoding="utf-8"?>
<formControlPr xmlns="http://schemas.microsoft.com/office/spreadsheetml/2009/9/main" objectType="CheckBox" fmlaLink="$M$72" lockText="1" noThreeD="1"/>
</file>

<file path=xl/ctrlProps/ctrlProp255.xml><?xml version="1.0" encoding="utf-8"?>
<formControlPr xmlns="http://schemas.microsoft.com/office/spreadsheetml/2009/9/main" objectType="CheckBox" fmlaLink="$M$60" lockText="1" noThreeD="1"/>
</file>

<file path=xl/ctrlProps/ctrlProp256.xml><?xml version="1.0" encoding="utf-8"?>
<formControlPr xmlns="http://schemas.microsoft.com/office/spreadsheetml/2009/9/main" objectType="CheckBox" fmlaLink="$M$83" lockText="1" noThreeD="1"/>
</file>

<file path=xl/ctrlProps/ctrlProp257.xml><?xml version="1.0" encoding="utf-8"?>
<formControlPr xmlns="http://schemas.microsoft.com/office/spreadsheetml/2009/9/main" objectType="CheckBox" fmlaLink="$M$85" lockText="1" noThreeD="1"/>
</file>

<file path=xl/ctrlProps/ctrlProp258.xml><?xml version="1.0" encoding="utf-8"?>
<formControlPr xmlns="http://schemas.microsoft.com/office/spreadsheetml/2009/9/main" objectType="CheckBox" fmlaLink="$M$91" lockText="1" noThreeD="1"/>
</file>

<file path=xl/ctrlProps/ctrlProp259.xml><?xml version="1.0" encoding="utf-8"?>
<formControlPr xmlns="http://schemas.microsoft.com/office/spreadsheetml/2009/9/main" objectType="CheckBox" fmlaLink="$M$96" lockText="1" noThreeD="1"/>
</file>

<file path=xl/ctrlProps/ctrlProp26.xml><?xml version="1.0" encoding="utf-8"?>
<formControlPr xmlns="http://schemas.microsoft.com/office/spreadsheetml/2009/9/main" objectType="CheckBox" checked="Checked" fmlaLink="$L$103" lockText="1" noThreeD="1"/>
</file>

<file path=xl/ctrlProps/ctrlProp260.xml><?xml version="1.0" encoding="utf-8"?>
<formControlPr xmlns="http://schemas.microsoft.com/office/spreadsheetml/2009/9/main" objectType="CheckBox" fmlaLink="$M$98" lockText="1" noThreeD="1"/>
</file>

<file path=xl/ctrlProps/ctrlProp261.xml><?xml version="1.0" encoding="utf-8"?>
<formControlPr xmlns="http://schemas.microsoft.com/office/spreadsheetml/2009/9/main" objectType="CheckBox" fmlaLink="$M$100" lockText="1" noThreeD="1"/>
</file>

<file path=xl/ctrlProps/ctrlProp262.xml><?xml version="1.0" encoding="utf-8"?>
<formControlPr xmlns="http://schemas.microsoft.com/office/spreadsheetml/2009/9/main" objectType="CheckBox" fmlaLink="$M$102" lockText="1" noThreeD="1"/>
</file>

<file path=xl/ctrlProps/ctrlProp263.xml><?xml version="1.0" encoding="utf-8"?>
<formControlPr xmlns="http://schemas.microsoft.com/office/spreadsheetml/2009/9/main" objectType="CheckBox" fmlaLink="$M$104" lockText="1" noThreeD="1"/>
</file>

<file path=xl/ctrlProps/ctrlProp264.xml><?xml version="1.0" encoding="utf-8"?>
<formControlPr xmlns="http://schemas.microsoft.com/office/spreadsheetml/2009/9/main" objectType="CheckBox" fmlaLink="$M$109" lockText="1" noThreeD="1"/>
</file>

<file path=xl/ctrlProps/ctrlProp265.xml><?xml version="1.0" encoding="utf-8"?>
<formControlPr xmlns="http://schemas.microsoft.com/office/spreadsheetml/2009/9/main" objectType="CheckBox" fmlaLink="$M$111" lockText="1" noThreeD="1"/>
</file>

<file path=xl/ctrlProps/ctrlProp266.xml><?xml version="1.0" encoding="utf-8"?>
<formControlPr xmlns="http://schemas.microsoft.com/office/spreadsheetml/2009/9/main" objectType="CheckBox" fmlaLink="$M$113" lockText="1" noThreeD="1"/>
</file>

<file path=xl/ctrlProps/ctrlProp267.xml><?xml version="1.0" encoding="utf-8"?>
<formControlPr xmlns="http://schemas.microsoft.com/office/spreadsheetml/2009/9/main" objectType="CheckBox" fmlaLink="$M$118" lockText="1" noThreeD="1"/>
</file>

<file path=xl/ctrlProps/ctrlProp268.xml><?xml version="1.0" encoding="utf-8"?>
<formControlPr xmlns="http://schemas.microsoft.com/office/spreadsheetml/2009/9/main" objectType="CheckBox" fmlaLink="$M$120" lockText="1" noThreeD="1"/>
</file>

<file path=xl/ctrlProps/ctrlProp269.xml><?xml version="1.0" encoding="utf-8"?>
<formControlPr xmlns="http://schemas.microsoft.com/office/spreadsheetml/2009/9/main" objectType="CheckBox" fmlaLink="$M$122" lockText="1" noThreeD="1"/>
</file>

<file path=xl/ctrlProps/ctrlProp27.xml><?xml version="1.0" encoding="utf-8"?>
<formControlPr xmlns="http://schemas.microsoft.com/office/spreadsheetml/2009/9/main" objectType="CheckBox" fmlaLink="$L$105" lockText="1" noThreeD="1"/>
</file>

<file path=xl/ctrlProps/ctrlProp270.xml><?xml version="1.0" encoding="utf-8"?>
<formControlPr xmlns="http://schemas.microsoft.com/office/spreadsheetml/2009/9/main" objectType="CheckBox" checked="Checked" fmlaLink="$M$130" lockText="1" noThreeD="1"/>
</file>

<file path=xl/ctrlProps/ctrlProp271.xml><?xml version="1.0" encoding="utf-8"?>
<formControlPr xmlns="http://schemas.microsoft.com/office/spreadsheetml/2009/9/main" objectType="CheckBox" fmlaLink="$M$127" lockText="1" noThreeD="1"/>
</file>

<file path=xl/ctrlProps/ctrlProp272.xml><?xml version="1.0" encoding="utf-8"?>
<formControlPr xmlns="http://schemas.microsoft.com/office/spreadsheetml/2009/9/main" objectType="CheckBox" fmlaLink="$M$145" lockText="1" noThreeD="1"/>
</file>

<file path=xl/ctrlProps/ctrlProp273.xml><?xml version="1.0" encoding="utf-8"?>
<formControlPr xmlns="http://schemas.microsoft.com/office/spreadsheetml/2009/9/main" objectType="CheckBox" checked="Checked" fmlaLink="$M$147" lockText="1" noThreeD="1"/>
</file>

<file path=xl/ctrlProps/ctrlProp274.xml><?xml version="1.0" encoding="utf-8"?>
<formControlPr xmlns="http://schemas.microsoft.com/office/spreadsheetml/2009/9/main" objectType="CheckBox" fmlaLink="$M$205" lockText="1" noThreeD="1"/>
</file>

<file path=xl/ctrlProps/ctrlProp275.xml><?xml version="1.0" encoding="utf-8"?>
<formControlPr xmlns="http://schemas.microsoft.com/office/spreadsheetml/2009/9/main" objectType="CheckBox" fmlaLink="$M$208" lockText="1" noThreeD="1"/>
</file>

<file path=xl/ctrlProps/ctrlProp276.xml><?xml version="1.0" encoding="utf-8"?>
<formControlPr xmlns="http://schemas.microsoft.com/office/spreadsheetml/2009/9/main" objectType="CheckBox" fmlaLink="$M$210" lockText="1" noThreeD="1"/>
</file>

<file path=xl/ctrlProps/ctrlProp277.xml><?xml version="1.0" encoding="utf-8"?>
<formControlPr xmlns="http://schemas.microsoft.com/office/spreadsheetml/2009/9/main" objectType="CheckBox" checked="Checked" fmlaLink="$M$152" lockText="1" noThreeD="1"/>
</file>

<file path=xl/ctrlProps/ctrlProp278.xml><?xml version="1.0" encoding="utf-8"?>
<formControlPr xmlns="http://schemas.microsoft.com/office/spreadsheetml/2009/9/main" objectType="CheckBox" checked="Checked" fmlaLink="$M$132" lockText="1" noThreeD="1"/>
</file>

<file path=xl/ctrlProps/ctrlProp279.xml><?xml version="1.0" encoding="utf-8"?>
<formControlPr xmlns="http://schemas.microsoft.com/office/spreadsheetml/2009/9/main" objectType="CheckBox" checked="Checked" fmlaLink="$M$154" lockText="1" noThreeD="1"/>
</file>

<file path=xl/ctrlProps/ctrlProp28.xml><?xml version="1.0" encoding="utf-8"?>
<formControlPr xmlns="http://schemas.microsoft.com/office/spreadsheetml/2009/9/main" objectType="CheckBox" checked="Checked" fmlaLink="$L$107" lockText="1" noThreeD="1"/>
</file>

<file path=xl/ctrlProps/ctrlProp280.xml><?xml version="1.0" encoding="utf-8"?>
<formControlPr xmlns="http://schemas.microsoft.com/office/spreadsheetml/2009/9/main" objectType="CheckBox" fmlaLink="$M$156" lockText="1" noThreeD="1"/>
</file>

<file path=xl/ctrlProps/ctrlProp281.xml><?xml version="1.0" encoding="utf-8"?>
<formControlPr xmlns="http://schemas.microsoft.com/office/spreadsheetml/2009/9/main" objectType="CheckBox" fmlaLink="$M$215" lockText="1" noThreeD="1"/>
</file>

<file path=xl/ctrlProps/ctrlProp282.xml><?xml version="1.0" encoding="utf-8"?>
<formControlPr xmlns="http://schemas.microsoft.com/office/spreadsheetml/2009/9/main" objectType="CheckBox" fmlaLink="$M$217" lockText="1" noThreeD="1"/>
</file>

<file path=xl/ctrlProps/ctrlProp283.xml><?xml version="1.0" encoding="utf-8"?>
<formControlPr xmlns="http://schemas.microsoft.com/office/spreadsheetml/2009/9/main" objectType="CheckBox" fmlaLink="$M$78" lockText="1" noThreeD="1"/>
</file>

<file path=xl/ctrlProps/ctrlProp284.xml><?xml version="1.0" encoding="utf-8"?>
<formControlPr xmlns="http://schemas.microsoft.com/office/spreadsheetml/2009/9/main" objectType="CheckBox" fmlaLink="M202" lockText="1" noThreeD="1"/>
</file>

<file path=xl/ctrlProps/ctrlProp285.xml><?xml version="1.0" encoding="utf-8"?>
<formControlPr xmlns="http://schemas.microsoft.com/office/spreadsheetml/2009/9/main" objectType="CheckBox" fmlaLink="$M$186" lockText="1" noThreeD="1"/>
</file>

<file path=xl/ctrlProps/ctrlProp286.xml><?xml version="1.0" encoding="utf-8"?>
<formControlPr xmlns="http://schemas.microsoft.com/office/spreadsheetml/2009/9/main" objectType="CheckBox" fmlaLink="$M$70" lockText="1" noThreeD="1"/>
</file>

<file path=xl/ctrlProps/ctrlProp287.xml><?xml version="1.0" encoding="utf-8"?>
<formControlPr xmlns="http://schemas.microsoft.com/office/spreadsheetml/2009/9/main" objectType="CheckBox" fmlaLink="$M$68" lockText="1" noThreeD="1"/>
</file>

<file path=xl/ctrlProps/ctrlProp288.xml><?xml version="1.0" encoding="utf-8"?>
<formControlPr xmlns="http://schemas.microsoft.com/office/spreadsheetml/2009/9/main" objectType="CheckBox" fmlaLink="$M$66" lockText="1" noThreeD="1"/>
</file>

<file path=xl/ctrlProps/ctrlProp289.xml><?xml version="1.0" encoding="utf-8"?>
<formControlPr xmlns="http://schemas.microsoft.com/office/spreadsheetml/2009/9/main" objectType="CheckBox" fmlaLink="$M$64" lockText="1" noThreeD="1"/>
</file>

<file path=xl/ctrlProps/ctrlProp29.xml><?xml version="1.0" encoding="utf-8"?>
<formControlPr xmlns="http://schemas.microsoft.com/office/spreadsheetml/2009/9/main" objectType="CheckBox" checked="Checked" fmlaLink="$L$110" lockText="1" noThreeD="1"/>
</file>

<file path=xl/ctrlProps/ctrlProp290.xml><?xml version="1.0" encoding="utf-8"?>
<formControlPr xmlns="http://schemas.microsoft.com/office/spreadsheetml/2009/9/main" objectType="CheckBox" fmlaLink="$M$62" lockText="1" noThreeD="1"/>
</file>

<file path=xl/ctrlProps/ctrlProp291.xml><?xml version="1.0" encoding="utf-8"?>
<formControlPr xmlns="http://schemas.microsoft.com/office/spreadsheetml/2009/9/main" objectType="CheckBox" fmlaLink="$M$76" lockText="1" noThreeD="1"/>
</file>

<file path=xl/ctrlProps/ctrlProp292.xml><?xml version="1.0" encoding="utf-8"?>
<formControlPr xmlns="http://schemas.microsoft.com/office/spreadsheetml/2009/9/main" objectType="CheckBox" fmlaLink="$M$41" lockText="1" noThreeD="1"/>
</file>

<file path=xl/ctrlProps/ctrlProp293.xml><?xml version="1.0" encoding="utf-8"?>
<formControlPr xmlns="http://schemas.microsoft.com/office/spreadsheetml/2009/9/main" objectType="CheckBox" fmlaLink="$M$39" lockText="1" noThreeD="1"/>
</file>

<file path=xl/ctrlProps/ctrlProp294.xml><?xml version="1.0" encoding="utf-8"?>
<formControlPr xmlns="http://schemas.microsoft.com/office/spreadsheetml/2009/9/main" objectType="CheckBox" fmlaLink="$M$43" lockText="1" noThreeD="1"/>
</file>

<file path=xl/ctrlProps/ctrlProp295.xml><?xml version="1.0" encoding="utf-8"?>
<formControlPr xmlns="http://schemas.microsoft.com/office/spreadsheetml/2009/9/main" objectType="CheckBox" fmlaLink="$M$89" lockText="1" noThreeD="1"/>
</file>

<file path=xl/ctrlProps/ctrlProp296.xml><?xml version="1.0" encoding="utf-8"?>
<formControlPr xmlns="http://schemas.microsoft.com/office/spreadsheetml/2009/9/main" objectType="CheckBox" fmlaLink="$M$87" lockText="1" noThreeD="1"/>
</file>

<file path=xl/ctrlProps/ctrlProp297.xml><?xml version="1.0" encoding="utf-8"?>
<formControlPr xmlns="http://schemas.microsoft.com/office/spreadsheetml/2009/9/main" objectType="CheckBox" fmlaLink="$M$85" lockText="1" noThreeD="1"/>
</file>

<file path=xl/ctrlProps/ctrlProp298.xml><?xml version="1.0" encoding="utf-8"?>
<formControlPr xmlns="http://schemas.microsoft.com/office/spreadsheetml/2009/9/main" objectType="CheckBox" fmlaLink="$M$87" lockText="1" noThreeD="1"/>
</file>

<file path=xl/ctrlProps/ctrlProp299.xml><?xml version="1.0" encoding="utf-8"?>
<formControlPr xmlns="http://schemas.microsoft.com/office/spreadsheetml/2009/9/main" objectType="CheckBox" fmlaLink="$M$87" lockText="1" noThreeD="1"/>
</file>

<file path=xl/ctrlProps/ctrlProp3.xml><?xml version="1.0" encoding="utf-8"?>
<formControlPr xmlns="http://schemas.microsoft.com/office/spreadsheetml/2009/9/main" objectType="CheckBox" checked="Checked" fmlaLink="$I$16" lockText="1" noThreeD="1"/>
</file>

<file path=xl/ctrlProps/ctrlProp30.xml><?xml version="1.0" encoding="utf-8"?>
<formControlPr xmlns="http://schemas.microsoft.com/office/spreadsheetml/2009/9/main" objectType="CheckBox" checked="Checked" fmlaLink="$L$134" lockText="1" noThreeD="1"/>
</file>

<file path=xl/ctrlProps/ctrlProp300.xml><?xml version="1.0" encoding="utf-8"?>
<formControlPr xmlns="http://schemas.microsoft.com/office/spreadsheetml/2009/9/main" objectType="CheckBox" fmlaLink="$M$89" lockText="1" noThreeD="1"/>
</file>

<file path=xl/ctrlProps/ctrlProp301.xml><?xml version="1.0" encoding="utf-8"?>
<formControlPr xmlns="http://schemas.microsoft.com/office/spreadsheetml/2009/9/main" objectType="CheckBox" fmlaLink="$M$89" lockText="1" noThreeD="1"/>
</file>

<file path=xl/ctrlProps/ctrlProp302.xml><?xml version="1.0" encoding="utf-8"?>
<formControlPr xmlns="http://schemas.microsoft.com/office/spreadsheetml/2009/9/main" objectType="CheckBox" fmlaLink="$M$87" lockText="1" noThreeD="1"/>
</file>

<file path=xl/ctrlProps/ctrlProp303.xml><?xml version="1.0" encoding="utf-8"?>
<formControlPr xmlns="http://schemas.microsoft.com/office/spreadsheetml/2009/9/main" objectType="CheckBox" fmlaLink="$M$91" lockText="1" noThreeD="1"/>
</file>

<file path=xl/ctrlProps/ctrlProp304.xml><?xml version="1.0" encoding="utf-8"?>
<formControlPr xmlns="http://schemas.microsoft.com/office/spreadsheetml/2009/9/main" objectType="CheckBox" fmlaLink="$M$87" lockText="1" noThreeD="1"/>
</file>

<file path=xl/ctrlProps/ctrlProp305.xml><?xml version="1.0" encoding="utf-8"?>
<formControlPr xmlns="http://schemas.microsoft.com/office/spreadsheetml/2009/9/main" objectType="CheckBox" fmlaLink="$M$104" lockText="1" noThreeD="1"/>
</file>

<file path=xl/ctrlProps/ctrlProp306.xml><?xml version="1.0" encoding="utf-8"?>
<formControlPr xmlns="http://schemas.microsoft.com/office/spreadsheetml/2009/9/main" objectType="CheckBox" fmlaLink="$M$122" lockText="1" noThreeD="1"/>
</file>

<file path=xl/ctrlProps/ctrlProp307.xml><?xml version="1.0" encoding="utf-8"?>
<formControlPr xmlns="http://schemas.microsoft.com/office/spreadsheetml/2009/9/main" objectType="CheckBox" fmlaLink="$M$217" lockText="1" noThreeD="1"/>
</file>

<file path=xl/ctrlProps/ctrlProp308.xml><?xml version="1.0" encoding="utf-8"?>
<formControlPr xmlns="http://schemas.microsoft.com/office/spreadsheetml/2009/9/main" objectType="CheckBox" fmlaLink="$M$134" lockText="1" noThreeD="1"/>
</file>

<file path=xl/ctrlProps/ctrlProp309.xml><?xml version="1.0" encoding="utf-8"?>
<formControlPr xmlns="http://schemas.microsoft.com/office/spreadsheetml/2009/9/main" objectType="CheckBox" fmlaLink="$M$14" lockText="1" noThreeD="1"/>
</file>

<file path=xl/ctrlProps/ctrlProp31.xml><?xml version="1.0" encoding="utf-8"?>
<formControlPr xmlns="http://schemas.microsoft.com/office/spreadsheetml/2009/9/main" objectType="CheckBox" checked="Checked" fmlaLink="$L$137" lockText="1" noThreeD="1"/>
</file>

<file path=xl/ctrlProps/ctrlProp310.xml><?xml version="1.0" encoding="utf-8"?>
<formControlPr xmlns="http://schemas.microsoft.com/office/spreadsheetml/2009/9/main" objectType="CheckBox" fmlaLink="$M$16" lockText="1" noThreeD="1"/>
</file>

<file path=xl/ctrlProps/ctrlProp311.xml><?xml version="1.0" encoding="utf-8"?>
<formControlPr xmlns="http://schemas.microsoft.com/office/spreadsheetml/2009/9/main" objectType="CheckBox" fmlaLink="$M$18" lockText="1" noThreeD="1"/>
</file>

<file path=xl/ctrlProps/ctrlProp312.xml><?xml version="1.0" encoding="utf-8"?>
<formControlPr xmlns="http://schemas.microsoft.com/office/spreadsheetml/2009/9/main" objectType="CheckBox" fmlaLink="$M$23" lockText="1" noThreeD="1"/>
</file>

<file path=xl/ctrlProps/ctrlProp313.xml><?xml version="1.0" encoding="utf-8"?>
<formControlPr xmlns="http://schemas.microsoft.com/office/spreadsheetml/2009/9/main" objectType="CheckBox" fmlaLink="$M$25" lockText="1" noThreeD="1"/>
</file>

<file path=xl/ctrlProps/ctrlProp314.xml><?xml version="1.0" encoding="utf-8"?>
<formControlPr xmlns="http://schemas.microsoft.com/office/spreadsheetml/2009/9/main" objectType="CheckBox" fmlaLink="$M$27" lockText="1" noThreeD="1"/>
</file>

<file path=xl/ctrlProps/ctrlProp315.xml><?xml version="1.0" encoding="utf-8"?>
<formControlPr xmlns="http://schemas.microsoft.com/office/spreadsheetml/2009/9/main" objectType="CheckBox" fmlaLink="$M$32" lockText="1" noThreeD="1"/>
</file>

<file path=xl/ctrlProps/ctrlProp316.xml><?xml version="1.0" encoding="utf-8"?>
<formControlPr xmlns="http://schemas.microsoft.com/office/spreadsheetml/2009/9/main" objectType="CheckBox" fmlaLink="$M$34" lockText="1" noThreeD="1"/>
</file>

<file path=xl/ctrlProps/ctrlProp317.xml><?xml version="1.0" encoding="utf-8"?>
<formControlPr xmlns="http://schemas.microsoft.com/office/spreadsheetml/2009/9/main" objectType="CheckBox" fmlaLink="$M$36" lockText="1" noThreeD="1"/>
</file>

<file path=xl/ctrlProps/ctrlProp318.xml><?xml version="1.0" encoding="utf-8"?>
<formControlPr xmlns="http://schemas.microsoft.com/office/spreadsheetml/2009/9/main" objectType="CheckBox" fmlaLink="$M$41" lockText="1" noThreeD="1"/>
</file>

<file path=xl/ctrlProps/ctrlProp319.xml><?xml version="1.0" encoding="utf-8"?>
<formControlPr xmlns="http://schemas.microsoft.com/office/spreadsheetml/2009/9/main" objectType="CheckBox" fmlaLink="$M$43" lockText="1" noThreeD="1"/>
</file>

<file path=xl/ctrlProps/ctrlProp32.xml><?xml version="1.0" encoding="utf-8"?>
<formControlPr xmlns="http://schemas.microsoft.com/office/spreadsheetml/2009/9/main" objectType="CheckBox" fmlaLink="$L$140" lockText="1" noThreeD="1"/>
</file>

<file path=xl/ctrlProps/ctrlProp320.xml><?xml version="1.0" encoding="utf-8"?>
<formControlPr xmlns="http://schemas.microsoft.com/office/spreadsheetml/2009/9/main" objectType="CheckBox" fmlaLink="$M$50" lockText="1" noThreeD="1"/>
</file>

<file path=xl/ctrlProps/ctrlProp321.xml><?xml version="1.0" encoding="utf-8"?>
<formControlPr xmlns="http://schemas.microsoft.com/office/spreadsheetml/2009/9/main" objectType="CheckBox" fmlaLink="$M$52" lockText="1" noThreeD="1"/>
</file>

<file path=xl/ctrlProps/ctrlProp322.xml><?xml version="1.0" encoding="utf-8"?>
<formControlPr xmlns="http://schemas.microsoft.com/office/spreadsheetml/2009/9/main" objectType="CheckBox" fmlaLink="$M$54" lockText="1" noThreeD="1"/>
</file>

<file path=xl/ctrlProps/ctrlProp323.xml><?xml version="1.0" encoding="utf-8"?>
<formControlPr xmlns="http://schemas.microsoft.com/office/spreadsheetml/2009/9/main" objectType="CheckBox" fmlaLink="$M$59" lockText="1" noThreeD="1"/>
</file>

<file path=xl/ctrlProps/ctrlProp324.xml><?xml version="1.0" encoding="utf-8"?>
<formControlPr xmlns="http://schemas.microsoft.com/office/spreadsheetml/2009/9/main" objectType="CheckBox" fmlaLink="$M$61" lockText="1" noThreeD="1"/>
</file>

<file path=xl/ctrlProps/ctrlProp325.xml><?xml version="1.0" encoding="utf-8"?>
<formControlPr xmlns="http://schemas.microsoft.com/office/spreadsheetml/2009/9/main" objectType="CheckBox" fmlaLink="$M$63" lockText="1" noThreeD="1"/>
</file>

<file path=xl/ctrlProps/ctrlProp326.xml><?xml version="1.0" encoding="utf-8"?>
<formControlPr xmlns="http://schemas.microsoft.com/office/spreadsheetml/2009/9/main" objectType="CheckBox" fmlaLink="$M$68" lockText="1" noThreeD="1"/>
</file>

<file path=xl/ctrlProps/ctrlProp327.xml><?xml version="1.0" encoding="utf-8"?>
<formControlPr xmlns="http://schemas.microsoft.com/office/spreadsheetml/2009/9/main" objectType="CheckBox" fmlaLink="$M$70" lockText="1" noThreeD="1"/>
</file>

<file path=xl/ctrlProps/ctrlProp328.xml><?xml version="1.0" encoding="utf-8"?>
<formControlPr xmlns="http://schemas.microsoft.com/office/spreadsheetml/2009/9/main" objectType="CheckBox" fmlaLink="$M$72" lockText="1" noThreeD="1"/>
</file>

<file path=xl/ctrlProps/ctrlProp329.xml><?xml version="1.0" encoding="utf-8"?>
<formControlPr xmlns="http://schemas.microsoft.com/office/spreadsheetml/2009/9/main" objectType="CheckBox" fmlaLink="$M$114" lockText="1" noThreeD="1"/>
</file>

<file path=xl/ctrlProps/ctrlProp33.xml><?xml version="1.0" encoding="utf-8"?>
<formControlPr xmlns="http://schemas.microsoft.com/office/spreadsheetml/2009/9/main" objectType="CheckBox" checked="Checked" fmlaLink="$L$142" lockText="1" noThreeD="1"/>
</file>

<file path=xl/ctrlProps/ctrlProp330.xml><?xml version="1.0" encoding="utf-8"?>
<formControlPr xmlns="http://schemas.microsoft.com/office/spreadsheetml/2009/9/main" objectType="CheckBox" fmlaLink="$M$118" lockText="1" noThreeD="1"/>
</file>

<file path=xl/ctrlProps/ctrlProp331.xml><?xml version="1.0" encoding="utf-8"?>
<formControlPr xmlns="http://schemas.microsoft.com/office/spreadsheetml/2009/9/main" objectType="CheckBox" fmlaLink="$M$79" lockText="1" noThreeD="1"/>
</file>

<file path=xl/ctrlProps/ctrlProp332.xml><?xml version="1.0" encoding="utf-8"?>
<formControlPr xmlns="http://schemas.microsoft.com/office/spreadsheetml/2009/9/main" objectType="CheckBox" fmlaLink="$M$77" lockText="1" noThreeD="1"/>
</file>

<file path=xl/ctrlProps/ctrlProp333.xml><?xml version="1.0" encoding="utf-8"?>
<formControlPr xmlns="http://schemas.microsoft.com/office/spreadsheetml/2009/9/main" objectType="CheckBox" fmlaLink="$M$81" lockText="1" noThreeD="1"/>
</file>

<file path=xl/ctrlProps/ctrlProp334.xml><?xml version="1.0" encoding="utf-8"?>
<formControlPr xmlns="http://schemas.microsoft.com/office/spreadsheetml/2009/9/main" objectType="CheckBox" fmlaLink="$M$83" lockText="1" noThreeD="1"/>
</file>

<file path=xl/ctrlProps/ctrlProp335.xml><?xml version="1.0" encoding="utf-8"?>
<formControlPr xmlns="http://schemas.microsoft.com/office/spreadsheetml/2009/9/main" objectType="CheckBox" fmlaLink="$M$109" lockText="1" noThreeD="1"/>
</file>

<file path=xl/ctrlProps/ctrlProp336.xml><?xml version="1.0" encoding="utf-8"?>
<formControlPr xmlns="http://schemas.microsoft.com/office/spreadsheetml/2009/9/main" objectType="CheckBox" fmlaLink="$M$85" lockText="1" noThreeD="1"/>
</file>

<file path=xl/ctrlProps/ctrlProp337.xml><?xml version="1.0" encoding="utf-8"?>
<formControlPr xmlns="http://schemas.microsoft.com/office/spreadsheetml/2009/9/main" objectType="CheckBox" fmlaLink="M107" lockText="1" noThreeD="1"/>
</file>

<file path=xl/ctrlProps/ctrlProp338.xml><?xml version="1.0" encoding="utf-8"?>
<formControlPr xmlns="http://schemas.microsoft.com/office/spreadsheetml/2009/9/main" objectType="CheckBox" fmlaLink="$M$105" lockText="1" noThreeD="1"/>
</file>

<file path=xl/ctrlProps/ctrlProp339.xml><?xml version="1.0" encoding="utf-8"?>
<formControlPr xmlns="http://schemas.microsoft.com/office/spreadsheetml/2009/9/main" objectType="CheckBox" fmlaLink="$M$45" lockText="1" noThreeD="1"/>
</file>

<file path=xl/ctrlProps/ctrlProp34.xml><?xml version="1.0" encoding="utf-8"?>
<formControlPr xmlns="http://schemas.microsoft.com/office/spreadsheetml/2009/9/main" objectType="CheckBox" checked="Checked" fmlaLink="$L$145" lockText="1" noThreeD="1"/>
</file>

<file path=xl/ctrlProps/ctrlProp340.xml><?xml version="1.0" encoding="utf-8"?>
<formControlPr xmlns="http://schemas.microsoft.com/office/spreadsheetml/2009/9/main" objectType="CheckBox" fmlaLink="$M$43" lockText="1" noThreeD="1"/>
</file>

<file path=xl/ctrlProps/ctrlProp341.xml><?xml version="1.0" encoding="utf-8"?>
<formControlPr xmlns="http://schemas.microsoft.com/office/spreadsheetml/2009/9/main" objectType="CheckBox" fmlaLink="$M$45" lockText="1" noThreeD="1"/>
</file>

<file path=xl/ctrlProps/ctrlProp342.xml><?xml version="1.0" encoding="utf-8"?>
<formControlPr xmlns="http://schemas.microsoft.com/office/spreadsheetml/2009/9/main" objectType="CheckBox" fmlaLink="$M$72" lockText="1" noThreeD="1"/>
</file>

<file path=xl/ctrlProps/ctrlProp343.xml><?xml version="1.0" encoding="utf-8"?>
<formControlPr xmlns="http://schemas.microsoft.com/office/spreadsheetml/2009/9/main" objectType="CheckBox" fmlaLink="$M$116" lockText="1" noThreeD="1"/>
</file>

<file path=xl/ctrlProps/ctrlProp344.xml><?xml version="1.0" encoding="utf-8"?>
<formControlPr xmlns="http://schemas.microsoft.com/office/spreadsheetml/2009/9/main" objectType="CheckBox" fmlaLink="$M$125" lockText="1" noThreeD="1"/>
</file>

<file path=xl/ctrlProps/ctrlProp345.xml><?xml version="1.0" encoding="utf-8"?>
<formControlPr xmlns="http://schemas.microsoft.com/office/spreadsheetml/2009/9/main" objectType="CheckBox" fmlaLink="M123" lockText="1" noThreeD="1"/>
</file>

<file path=xl/ctrlProps/ctrlProp346.xml><?xml version="1.0" encoding="utf-8"?>
<formControlPr xmlns="http://schemas.microsoft.com/office/spreadsheetml/2009/9/main" objectType="CheckBox" fmlaLink="$M$121" lockText="1" noThreeD="1"/>
</file>

<file path=xl/ctrlProps/ctrlProp347.xml><?xml version="1.0" encoding="utf-8"?>
<formControlPr xmlns="http://schemas.microsoft.com/office/spreadsheetml/2009/9/main" objectType="CheckBox" fmlaLink="$M$87" lockText="1" noThreeD="1"/>
</file>

<file path=xl/ctrlProps/ctrlProp348.xml><?xml version="1.0" encoding="utf-8"?>
<formControlPr xmlns="http://schemas.microsoft.com/office/spreadsheetml/2009/9/main" objectType="CheckBox" fmlaLink="$M$88" lockText="1" noThreeD="1"/>
</file>

<file path=xl/ctrlProps/ctrlProp349.xml><?xml version="1.0" encoding="utf-8"?>
<formControlPr xmlns="http://schemas.microsoft.com/office/spreadsheetml/2009/9/main" objectType="CheckBox" fmlaLink="$M$95" lockText="1" noThreeD="1"/>
</file>

<file path=xl/ctrlProps/ctrlProp35.xml><?xml version="1.0" encoding="utf-8"?>
<formControlPr xmlns="http://schemas.microsoft.com/office/spreadsheetml/2009/9/main" objectType="CheckBox" checked="Checked" fmlaLink="$L$154" lockText="1" noThreeD="1"/>
</file>

<file path=xl/ctrlProps/ctrlProp350.xml><?xml version="1.0" encoding="utf-8"?>
<formControlPr xmlns="http://schemas.microsoft.com/office/spreadsheetml/2009/9/main" objectType="CheckBox" fmlaLink="$M$97" lockText="1" noThreeD="1"/>
</file>

<file path=xl/ctrlProps/ctrlProp351.xml><?xml version="1.0" encoding="utf-8"?>
<formControlPr xmlns="http://schemas.microsoft.com/office/spreadsheetml/2009/9/main" objectType="CheckBox" fmlaLink="$M$98" lockText="1" noThreeD="1"/>
</file>

<file path=xl/ctrlProps/ctrlProp352.xml><?xml version="1.0" encoding="utf-8"?>
<formControlPr xmlns="http://schemas.microsoft.com/office/spreadsheetml/2009/9/main" objectType="CheckBox" fmlaLink="$M$99" lockText="1" noThreeD="1"/>
</file>

<file path=xl/ctrlProps/ctrlProp353.xml><?xml version="1.0" encoding="utf-8"?>
<formControlPr xmlns="http://schemas.microsoft.com/office/spreadsheetml/2009/9/main" objectType="CheckBox" fmlaLink="$M$101" lockText="1" noThreeD="1"/>
</file>

<file path=xl/ctrlProps/ctrlProp354.xml><?xml version="1.0" encoding="utf-8"?>
<formControlPr xmlns="http://schemas.microsoft.com/office/spreadsheetml/2009/9/main" objectType="CheckBox" fmlaLink="$M$103" lockText="1" noThreeD="1"/>
</file>

<file path=xl/ctrlProps/ctrlProp355.xml><?xml version="1.0" encoding="utf-8"?>
<formControlPr xmlns="http://schemas.microsoft.com/office/spreadsheetml/2009/9/main" objectType="CheckBox" fmlaLink="$M$14" lockText="1" noThreeD="1"/>
</file>

<file path=xl/ctrlProps/ctrlProp356.xml><?xml version="1.0" encoding="utf-8"?>
<formControlPr xmlns="http://schemas.microsoft.com/office/spreadsheetml/2009/9/main" objectType="CheckBox" fmlaLink="$M$20" lockText="1" noThreeD="1"/>
</file>

<file path=xl/ctrlProps/ctrlProp357.xml><?xml version="1.0" encoding="utf-8"?>
<formControlPr xmlns="http://schemas.microsoft.com/office/spreadsheetml/2009/9/main" objectType="CheckBox" fmlaLink="$M$26" lockText="1" noThreeD="1"/>
</file>

<file path=xl/ctrlProps/ctrlProp358.xml><?xml version="1.0" encoding="utf-8"?>
<formControlPr xmlns="http://schemas.microsoft.com/office/spreadsheetml/2009/9/main" objectType="CheckBox" fmlaLink="$M$31" lockText="1" noThreeD="1"/>
</file>

<file path=xl/ctrlProps/ctrlProp359.xml><?xml version="1.0" encoding="utf-8"?>
<formControlPr xmlns="http://schemas.microsoft.com/office/spreadsheetml/2009/9/main" objectType="CheckBox" fmlaLink="$M$33" lockText="1" noThreeD="1"/>
</file>

<file path=xl/ctrlProps/ctrlProp36.xml><?xml version="1.0" encoding="utf-8"?>
<formControlPr xmlns="http://schemas.microsoft.com/office/spreadsheetml/2009/9/main" objectType="CheckBox" checked="Checked" fmlaLink="$L$191" lockText="1" noThreeD="1"/>
</file>

<file path=xl/ctrlProps/ctrlProp360.xml><?xml version="1.0" encoding="utf-8"?>
<formControlPr xmlns="http://schemas.microsoft.com/office/spreadsheetml/2009/9/main" objectType="CheckBox" fmlaLink="$M$41" lockText="1" noThreeD="1"/>
</file>

<file path=xl/ctrlProps/ctrlProp361.xml><?xml version="1.0" encoding="utf-8"?>
<formControlPr xmlns="http://schemas.microsoft.com/office/spreadsheetml/2009/9/main" objectType="CheckBox" fmlaLink="$M$46" lockText="1" noThreeD="1"/>
</file>

<file path=xl/ctrlProps/ctrlProp362.xml><?xml version="1.0" encoding="utf-8"?>
<formControlPr xmlns="http://schemas.microsoft.com/office/spreadsheetml/2009/9/main" objectType="CheckBox" fmlaLink="$M$48" lockText="1" noThreeD="1"/>
</file>

<file path=xl/ctrlProps/ctrlProp363.xml><?xml version="1.0" encoding="utf-8"?>
<formControlPr xmlns="http://schemas.microsoft.com/office/spreadsheetml/2009/9/main" objectType="CheckBox" fmlaLink="$M$50" lockText="1" noThreeD="1"/>
</file>

<file path=xl/ctrlProps/ctrlProp364.xml><?xml version="1.0" encoding="utf-8"?>
<formControlPr xmlns="http://schemas.microsoft.com/office/spreadsheetml/2009/9/main" objectType="CheckBox" fmlaLink="$M$52" lockText="1" noThreeD="1"/>
</file>

<file path=xl/ctrlProps/ctrlProp365.xml><?xml version="1.0" encoding="utf-8"?>
<formControlPr xmlns="http://schemas.microsoft.com/office/spreadsheetml/2009/9/main" objectType="CheckBox" fmlaLink="$M$54" lockText="1" noThreeD="1"/>
</file>

<file path=xl/ctrlProps/ctrlProp366.xml><?xml version="1.0" encoding="utf-8"?>
<formControlPr xmlns="http://schemas.microsoft.com/office/spreadsheetml/2009/9/main" objectType="CheckBox" fmlaLink="$M$56" lockText="1" noThreeD="1"/>
</file>

<file path=xl/ctrlProps/ctrlProp367.xml><?xml version="1.0" encoding="utf-8"?>
<formControlPr xmlns="http://schemas.microsoft.com/office/spreadsheetml/2009/9/main" objectType="CheckBox" fmlaLink="$M$98" lockText="1" noThreeD="1"/>
</file>

<file path=xl/ctrlProps/ctrlProp368.xml><?xml version="1.0" encoding="utf-8"?>
<formControlPr xmlns="http://schemas.microsoft.com/office/spreadsheetml/2009/9/main" objectType="CheckBox" fmlaLink="$M$102" lockText="1" noThreeD="1"/>
</file>

<file path=xl/ctrlProps/ctrlProp369.xml><?xml version="1.0" encoding="utf-8"?>
<formControlPr xmlns="http://schemas.microsoft.com/office/spreadsheetml/2009/9/main" objectType="CheckBox" fmlaLink="$M$63" lockText="1" noThreeD="1"/>
</file>

<file path=xl/ctrlProps/ctrlProp37.xml><?xml version="1.0" encoding="utf-8"?>
<formControlPr xmlns="http://schemas.microsoft.com/office/spreadsheetml/2009/9/main" objectType="CheckBox" checked="Checked" fmlaLink="$L$195" lockText="1" noThreeD="1"/>
</file>

<file path=xl/ctrlProps/ctrlProp370.xml><?xml version="1.0" encoding="utf-8"?>
<formControlPr xmlns="http://schemas.microsoft.com/office/spreadsheetml/2009/9/main" objectType="CheckBox" fmlaLink="$M$61" lockText="1" noThreeD="1"/>
</file>

<file path=xl/ctrlProps/ctrlProp371.xml><?xml version="1.0" encoding="utf-8"?>
<formControlPr xmlns="http://schemas.microsoft.com/office/spreadsheetml/2009/9/main" objectType="CheckBox" fmlaLink="$M$65" lockText="1" noThreeD="1"/>
</file>

<file path=xl/ctrlProps/ctrlProp372.xml><?xml version="1.0" encoding="utf-8"?>
<formControlPr xmlns="http://schemas.microsoft.com/office/spreadsheetml/2009/9/main" objectType="CheckBox" fmlaLink="$M$67" lockText="1" noThreeD="1"/>
</file>

<file path=xl/ctrlProps/ctrlProp373.xml><?xml version="1.0" encoding="utf-8"?>
<formControlPr xmlns="http://schemas.microsoft.com/office/spreadsheetml/2009/9/main" objectType="CheckBox" fmlaLink="$M$93" lockText="1" noThreeD="1"/>
</file>

<file path=xl/ctrlProps/ctrlProp374.xml><?xml version="1.0" encoding="utf-8"?>
<formControlPr xmlns="http://schemas.microsoft.com/office/spreadsheetml/2009/9/main" objectType="CheckBox" fmlaLink="$M$69" lockText="1" noThreeD="1"/>
</file>

<file path=xl/ctrlProps/ctrlProp375.xml><?xml version="1.0" encoding="utf-8"?>
<formControlPr xmlns="http://schemas.microsoft.com/office/spreadsheetml/2009/9/main" objectType="CheckBox" fmlaLink="M91" lockText="1" noThreeD="1"/>
</file>

<file path=xl/ctrlProps/ctrlProp376.xml><?xml version="1.0" encoding="utf-8"?>
<formControlPr xmlns="http://schemas.microsoft.com/office/spreadsheetml/2009/9/main" objectType="CheckBox" fmlaLink="$M$89" lockText="1" noThreeD="1"/>
</file>

<file path=xl/ctrlProps/ctrlProp377.xml><?xml version="1.0" encoding="utf-8"?>
<formControlPr xmlns="http://schemas.microsoft.com/office/spreadsheetml/2009/9/main" objectType="CheckBox" fmlaLink="$M$56" lockText="1" noThreeD="1"/>
</file>

<file path=xl/ctrlProps/ctrlProp378.xml><?xml version="1.0" encoding="utf-8"?>
<formControlPr xmlns="http://schemas.microsoft.com/office/spreadsheetml/2009/9/main" objectType="CheckBox" fmlaLink="$M$71" lockText="1" noThreeD="1"/>
</file>

<file path=xl/ctrlProps/ctrlProp379.xml><?xml version="1.0" encoding="utf-8"?>
<formControlPr xmlns="http://schemas.microsoft.com/office/spreadsheetml/2009/9/main" objectType="CheckBox" fmlaLink="$M$72" lockText="1" noThreeD="1"/>
</file>

<file path=xl/ctrlProps/ctrlProp38.xml><?xml version="1.0" encoding="utf-8"?>
<formControlPr xmlns="http://schemas.microsoft.com/office/spreadsheetml/2009/9/main" objectType="CheckBox" checked="Checked" fmlaLink="$L$201" lockText="1" noThreeD="1"/>
</file>

<file path=xl/ctrlProps/ctrlProp380.xml><?xml version="1.0" encoding="utf-8"?>
<formControlPr xmlns="http://schemas.microsoft.com/office/spreadsheetml/2009/9/main" objectType="CheckBox" fmlaLink="$M$79" lockText="1" noThreeD="1"/>
</file>

<file path=xl/ctrlProps/ctrlProp381.xml><?xml version="1.0" encoding="utf-8"?>
<formControlPr xmlns="http://schemas.microsoft.com/office/spreadsheetml/2009/9/main" objectType="CheckBox" fmlaLink="$M$81" lockText="1" noThreeD="1"/>
</file>

<file path=xl/ctrlProps/ctrlProp382.xml><?xml version="1.0" encoding="utf-8"?>
<formControlPr xmlns="http://schemas.microsoft.com/office/spreadsheetml/2009/9/main" objectType="CheckBox" fmlaLink="$M$82" lockText="1" noThreeD="1"/>
</file>

<file path=xl/ctrlProps/ctrlProp383.xml><?xml version="1.0" encoding="utf-8"?>
<formControlPr xmlns="http://schemas.microsoft.com/office/spreadsheetml/2009/9/main" objectType="CheckBox" fmlaLink="$M$83" lockText="1" noThreeD="1"/>
</file>

<file path=xl/ctrlProps/ctrlProp384.xml><?xml version="1.0" encoding="utf-8"?>
<formControlPr xmlns="http://schemas.microsoft.com/office/spreadsheetml/2009/9/main" objectType="CheckBox" fmlaLink="$M$85" lockText="1" noThreeD="1"/>
</file>

<file path=xl/ctrlProps/ctrlProp385.xml><?xml version="1.0" encoding="utf-8"?>
<formControlPr xmlns="http://schemas.microsoft.com/office/spreadsheetml/2009/9/main" objectType="CheckBox" fmlaLink="$M$87" lockText="1" noThreeD="1"/>
</file>

<file path=xl/ctrlProps/ctrlProp386.xml><?xml version="1.0" encoding="utf-8"?>
<formControlPr xmlns="http://schemas.microsoft.com/office/spreadsheetml/2009/9/main" objectType="CheckBox" fmlaLink="$M$100" lockText="1" noThreeD="1"/>
</file>

<file path=xl/ctrlProps/ctrlProp387.xml><?xml version="1.0" encoding="utf-8"?>
<formControlPr xmlns="http://schemas.microsoft.com/office/spreadsheetml/2009/9/main" objectType="CheckBox" fmlaLink="$M$108" lockText="1" noThreeD="1"/>
</file>

<file path=xl/ctrlProps/ctrlProp388.xml><?xml version="1.0" encoding="utf-8"?>
<formControlPr xmlns="http://schemas.microsoft.com/office/spreadsheetml/2009/9/main" objectType="CheckBox" fmlaLink="M106" lockText="1" noThreeD="1"/>
</file>

<file path=xl/ctrlProps/ctrlProp389.xml><?xml version="1.0" encoding="utf-8"?>
<formControlPr xmlns="http://schemas.microsoft.com/office/spreadsheetml/2009/9/main" objectType="CheckBox" fmlaLink="$M$104" lockText="1" noThreeD="1"/>
</file>

<file path=xl/ctrlProps/ctrlProp39.xml><?xml version="1.0" encoding="utf-8"?>
<formControlPr xmlns="http://schemas.microsoft.com/office/spreadsheetml/2009/9/main" objectType="CheckBox" checked="Checked" fmlaLink="$L$204" lockText="1" noThreeD="1"/>
</file>

<file path=xl/ctrlProps/ctrlProp390.xml><?xml version="1.0" encoding="utf-8"?>
<formControlPr xmlns="http://schemas.microsoft.com/office/spreadsheetml/2009/9/main" objectType="CheckBox" fmlaLink="$M$18" lockText="1" noThreeD="1"/>
</file>

<file path=xl/ctrlProps/ctrlProp391.xml><?xml version="1.0" encoding="utf-8"?>
<formControlPr xmlns="http://schemas.microsoft.com/office/spreadsheetml/2009/9/main" objectType="CheckBox" fmlaLink="$M$16" lockText="1" noThreeD="1"/>
</file>

<file path=xl/ctrlProps/ctrlProp392.xml><?xml version="1.0" encoding="utf-8"?>
<formControlPr xmlns="http://schemas.microsoft.com/office/spreadsheetml/2009/9/main" objectType="CheckBox" fmlaLink="$M$22" lockText="1" noThreeD="1"/>
</file>

<file path=xl/ctrlProps/ctrlProp393.xml><?xml version="1.0" encoding="utf-8"?>
<formControlPr xmlns="http://schemas.microsoft.com/office/spreadsheetml/2009/9/main" objectType="CheckBox" fmlaLink="$M$24" lockText="1" noThreeD="1"/>
</file>

<file path=xl/ctrlProps/ctrlProp394.xml><?xml version="1.0" encoding="utf-8"?>
<formControlPr xmlns="http://schemas.microsoft.com/office/spreadsheetml/2009/9/main" objectType="CheckBox" fmlaLink="$M$35" lockText="1" noThreeD="1"/>
</file>

<file path=xl/ctrlProps/ctrlProp395.xml><?xml version="1.0" encoding="utf-8"?>
<formControlPr xmlns="http://schemas.microsoft.com/office/spreadsheetml/2009/9/main" objectType="CheckBox" fmlaLink="$M$37" lockText="1" noThreeD="1"/>
</file>

<file path=xl/ctrlProps/ctrlProp396.xml><?xml version="1.0" encoding="utf-8"?>
<formControlPr xmlns="http://schemas.microsoft.com/office/spreadsheetml/2009/9/main" objectType="CheckBox" fmlaLink="$M$39" lockText="1" noThreeD="1"/>
</file>

<file path=xl/ctrlProps/ctrlProp397.xml><?xml version="1.0" encoding="utf-8"?>
<formControlPr xmlns="http://schemas.microsoft.com/office/spreadsheetml/2009/9/main" objectType="CheckBox" fmlaLink="$L$84" lockText="1" noThreeD="1"/>
</file>

<file path=xl/ctrlProps/ctrlProp398.xml><?xml version="1.0" encoding="utf-8"?>
<formControlPr xmlns="http://schemas.microsoft.com/office/spreadsheetml/2009/9/main" objectType="CheckBox" checked="Checked" fmlaLink="$L$83" lockText="1" noThreeD="1"/>
</file>

<file path=xl/ctrlProps/ctrlProp399.xml><?xml version="1.0" encoding="utf-8"?>
<formControlPr xmlns="http://schemas.microsoft.com/office/spreadsheetml/2009/9/main" objectType="CheckBox" fmlaLink="$L$29" lockText="1" noThreeD="1"/>
</file>

<file path=xl/ctrlProps/ctrlProp4.xml><?xml version="1.0" encoding="utf-8"?>
<formControlPr xmlns="http://schemas.microsoft.com/office/spreadsheetml/2009/9/main" objectType="CheckBox" fmlaLink="$I$17" lockText="1" noThreeD="1"/>
</file>

<file path=xl/ctrlProps/ctrlProp40.xml><?xml version="1.0" encoding="utf-8"?>
<formControlPr xmlns="http://schemas.microsoft.com/office/spreadsheetml/2009/9/main" objectType="CheckBox" checked="Checked" fmlaLink="$L$215" lockText="1" noThreeD="1"/>
</file>

<file path=xl/ctrlProps/ctrlProp400.xml><?xml version="1.0" encoding="utf-8"?>
<formControlPr xmlns="http://schemas.microsoft.com/office/spreadsheetml/2009/9/main" objectType="CheckBox" fmlaLink="$L$70" lockText="1" noThreeD="1"/>
</file>

<file path=xl/ctrlProps/ctrlProp401.xml><?xml version="1.0" encoding="utf-8"?>
<formControlPr xmlns="http://schemas.microsoft.com/office/spreadsheetml/2009/9/main" objectType="CheckBox" fmlaLink="$L$61" lockText="1" noThreeD="1"/>
</file>

<file path=xl/ctrlProps/ctrlProp402.xml><?xml version="1.0" encoding="utf-8"?>
<formControlPr xmlns="http://schemas.microsoft.com/office/spreadsheetml/2009/9/main" objectType="CheckBox" fmlaLink="L35" lockText="1" noThreeD="1"/>
</file>

<file path=xl/ctrlProps/ctrlProp403.xml><?xml version="1.0" encoding="utf-8"?>
<formControlPr xmlns="http://schemas.microsoft.com/office/spreadsheetml/2009/9/main" objectType="CheckBox" checked="Checked" fmlaLink="L111" lockText="1" noThreeD="1"/>
</file>

<file path=xl/ctrlProps/ctrlProp404.xml><?xml version="1.0" encoding="utf-8"?>
<formControlPr xmlns="http://schemas.microsoft.com/office/spreadsheetml/2009/9/main" objectType="CheckBox" checked="Checked" fmlaLink="L112" lockText="1" noThreeD="1"/>
</file>

<file path=xl/ctrlProps/ctrlProp405.xml><?xml version="1.0" encoding="utf-8"?>
<formControlPr xmlns="http://schemas.microsoft.com/office/spreadsheetml/2009/9/main" objectType="CheckBox" checked="Checked" fmlaLink="L113" lockText="1" noThreeD="1"/>
</file>

<file path=xl/ctrlProps/ctrlProp406.xml><?xml version="1.0" encoding="utf-8"?>
<formControlPr xmlns="http://schemas.microsoft.com/office/spreadsheetml/2009/9/main" objectType="CheckBox" fmlaLink="L100" lockText="1" noThreeD="1"/>
</file>

<file path=xl/ctrlProps/ctrlProp407.xml><?xml version="1.0" encoding="utf-8"?>
<formControlPr xmlns="http://schemas.microsoft.com/office/spreadsheetml/2009/9/main" objectType="CheckBox" fmlaLink="L101" lockText="1" noThreeD="1"/>
</file>

<file path=xl/ctrlProps/ctrlProp408.xml><?xml version="1.0" encoding="utf-8"?>
<formControlPr xmlns="http://schemas.microsoft.com/office/spreadsheetml/2009/9/main" objectType="CheckBox" fmlaLink="$L$97" lockText="1" noThreeD="1"/>
</file>

<file path=xl/ctrlProps/ctrlProp409.xml><?xml version="1.0" encoding="utf-8"?>
<formControlPr xmlns="http://schemas.microsoft.com/office/spreadsheetml/2009/9/main" objectType="CheckBox" checked="Checked" fmlaLink="$L$18" lockText="1" noThreeD="1"/>
</file>

<file path=xl/ctrlProps/ctrlProp41.xml><?xml version="1.0" encoding="utf-8"?>
<formControlPr xmlns="http://schemas.microsoft.com/office/spreadsheetml/2009/9/main" objectType="CheckBox" checked="Checked" fmlaLink="$L$234" lockText="1" noThreeD="1"/>
</file>

<file path=xl/ctrlProps/ctrlProp410.xml><?xml version="1.0" encoding="utf-8"?>
<formControlPr xmlns="http://schemas.microsoft.com/office/spreadsheetml/2009/9/main" objectType="CheckBox" fmlaLink="$L$138" lockText="1" noThreeD="1"/>
</file>

<file path=xl/ctrlProps/ctrlProp411.xml><?xml version="1.0" encoding="utf-8"?>
<formControlPr xmlns="http://schemas.microsoft.com/office/spreadsheetml/2009/9/main" objectType="CheckBox" fmlaLink="$L$19" lockText="1" noThreeD="1"/>
</file>

<file path=xl/ctrlProps/ctrlProp412.xml><?xml version="1.0" encoding="utf-8"?>
<formControlPr xmlns="http://schemas.microsoft.com/office/spreadsheetml/2009/9/main" objectType="CheckBox" checked="Checked" fmlaLink="$L$59" lockText="1" noThreeD="1"/>
</file>

<file path=xl/ctrlProps/ctrlProp413.xml><?xml version="1.0" encoding="utf-8"?>
<formControlPr xmlns="http://schemas.microsoft.com/office/spreadsheetml/2009/9/main" objectType="CheckBox" fmlaLink="$L$82" lockText="1" noThreeD="1"/>
</file>

<file path=xl/ctrlProps/ctrlProp414.xml><?xml version="1.0" encoding="utf-8"?>
<formControlPr xmlns="http://schemas.microsoft.com/office/spreadsheetml/2009/9/main" objectType="CheckBox" fmlaLink="L118" lockText="1" noThreeD="1"/>
</file>

<file path=xl/ctrlProps/ctrlProp415.xml><?xml version="1.0" encoding="utf-8"?>
<formControlPr xmlns="http://schemas.microsoft.com/office/spreadsheetml/2009/9/main" objectType="CheckBox" fmlaLink="L117" lockText="1" noThreeD="1"/>
</file>

<file path=xl/ctrlProps/ctrlProp416.xml><?xml version="1.0" encoding="utf-8"?>
<formControlPr xmlns="http://schemas.microsoft.com/office/spreadsheetml/2009/9/main" objectType="CheckBox" fmlaLink="$L$85" lockText="1" noThreeD="1"/>
</file>

<file path=xl/ctrlProps/ctrlProp417.xml><?xml version="1.0" encoding="utf-8"?>
<formControlPr xmlns="http://schemas.microsoft.com/office/spreadsheetml/2009/9/main" objectType="CheckBox" fmlaLink="L98" lockText="1" noThreeD="1"/>
</file>

<file path=xl/ctrlProps/ctrlProp418.xml><?xml version="1.0" encoding="utf-8"?>
<formControlPr xmlns="http://schemas.microsoft.com/office/spreadsheetml/2009/9/main" objectType="CheckBox" fmlaLink="$L$64" lockText="1" noThreeD="1"/>
</file>

<file path=xl/ctrlProps/ctrlProp419.xml><?xml version="1.0" encoding="utf-8"?>
<formControlPr xmlns="http://schemas.microsoft.com/office/spreadsheetml/2009/9/main" objectType="CheckBox" checked="Checked" fmlaLink="$K$19" lockText="1" noThreeD="1"/>
</file>

<file path=xl/ctrlProps/ctrlProp42.xml><?xml version="1.0" encoding="utf-8"?>
<formControlPr xmlns="http://schemas.microsoft.com/office/spreadsheetml/2009/9/main" objectType="CheckBox" checked="Checked" fmlaLink="$L$218" lockText="1" noThreeD="1"/>
</file>

<file path=xl/ctrlProps/ctrlProp420.xml><?xml version="1.0" encoding="utf-8"?>
<formControlPr xmlns="http://schemas.microsoft.com/office/spreadsheetml/2009/9/main" objectType="CheckBox" checked="Checked" fmlaLink="$K$20" lockText="1" noThreeD="1"/>
</file>

<file path=xl/ctrlProps/ctrlProp421.xml><?xml version="1.0" encoding="utf-8"?>
<formControlPr xmlns="http://schemas.microsoft.com/office/spreadsheetml/2009/9/main" objectType="CheckBox" fmlaLink="$K$21" lockText="1" noThreeD="1"/>
</file>

<file path=xl/ctrlProps/ctrlProp422.xml><?xml version="1.0" encoding="utf-8"?>
<formControlPr xmlns="http://schemas.microsoft.com/office/spreadsheetml/2009/9/main" objectType="CheckBox" fmlaLink="$K$22" lockText="1" noThreeD="1"/>
</file>

<file path=xl/ctrlProps/ctrlProp423.xml><?xml version="1.0" encoding="utf-8"?>
<formControlPr xmlns="http://schemas.microsoft.com/office/spreadsheetml/2009/9/main" objectType="CheckBox" fmlaLink="$K$23" lockText="1" noThreeD="1"/>
</file>

<file path=xl/ctrlProps/ctrlProp424.xml><?xml version="1.0" encoding="utf-8"?>
<formControlPr xmlns="http://schemas.microsoft.com/office/spreadsheetml/2009/9/main" objectType="CheckBox" fmlaLink="$K$24" lockText="1" noThreeD="1"/>
</file>

<file path=xl/ctrlProps/ctrlProp425.xml><?xml version="1.0" encoding="utf-8"?>
<formControlPr xmlns="http://schemas.microsoft.com/office/spreadsheetml/2009/9/main" objectType="CheckBox" fmlaLink="$K$25" lockText="1" noThreeD="1"/>
</file>

<file path=xl/ctrlProps/ctrlProp426.xml><?xml version="1.0" encoding="utf-8"?>
<formControlPr xmlns="http://schemas.microsoft.com/office/spreadsheetml/2009/9/main" objectType="CheckBox" fmlaLink="$K$26" lockText="1" noThreeD="1"/>
</file>

<file path=xl/ctrlProps/ctrlProp427.xml><?xml version="1.0" encoding="utf-8"?>
<formControlPr xmlns="http://schemas.microsoft.com/office/spreadsheetml/2009/9/main" objectType="CheckBox" fmlaLink="$K$27" lockText="1" noThreeD="1"/>
</file>

<file path=xl/ctrlProps/ctrlProp428.xml><?xml version="1.0" encoding="utf-8"?>
<formControlPr xmlns="http://schemas.microsoft.com/office/spreadsheetml/2009/9/main" objectType="CheckBox" fmlaLink="$K$28" lockText="1" noThreeD="1"/>
</file>

<file path=xl/ctrlProps/ctrlProp429.xml><?xml version="1.0" encoding="utf-8"?>
<formControlPr xmlns="http://schemas.microsoft.com/office/spreadsheetml/2009/9/main" objectType="CheckBox" fmlaLink="$K$29" lockText="1" noThreeD="1"/>
</file>

<file path=xl/ctrlProps/ctrlProp43.xml><?xml version="1.0" encoding="utf-8"?>
<formControlPr xmlns="http://schemas.microsoft.com/office/spreadsheetml/2009/9/main" objectType="CheckBox" checked="Checked" fmlaLink="$L$237" lockText="1" noThreeD="1"/>
</file>

<file path=xl/ctrlProps/ctrlProp44.xml><?xml version="1.0" encoding="utf-8"?>
<formControlPr xmlns="http://schemas.microsoft.com/office/spreadsheetml/2009/9/main" objectType="CheckBox" checked="Checked" fmlaLink="$L$240" lockText="1" noThreeD="1"/>
</file>

<file path=xl/ctrlProps/ctrlProp45.xml><?xml version="1.0" encoding="utf-8"?>
<formControlPr xmlns="http://schemas.microsoft.com/office/spreadsheetml/2009/9/main" objectType="CheckBox" checked="Checked" fmlaLink="$L$245" lockText="1" noThreeD="1"/>
</file>

<file path=xl/ctrlProps/ctrlProp46.xml><?xml version="1.0" encoding="utf-8"?>
<formControlPr xmlns="http://schemas.microsoft.com/office/spreadsheetml/2009/9/main" objectType="CheckBox" checked="Checked" fmlaLink="$L$250" lockText="1" noThreeD="1"/>
</file>

<file path=xl/ctrlProps/ctrlProp47.xml><?xml version="1.0" encoding="utf-8"?>
<formControlPr xmlns="http://schemas.microsoft.com/office/spreadsheetml/2009/9/main" objectType="CheckBox" checked="Checked" fmlaLink="$L$285" lockText="1" noThreeD="1"/>
</file>

<file path=xl/ctrlProps/ctrlProp48.xml><?xml version="1.0" encoding="utf-8"?>
<formControlPr xmlns="http://schemas.microsoft.com/office/spreadsheetml/2009/9/main" objectType="CheckBox" checked="Checked" fmlaLink="$L$288" lockText="1" noThreeD="1"/>
</file>

<file path=xl/ctrlProps/ctrlProp49.xml><?xml version="1.0" encoding="utf-8"?>
<formControlPr xmlns="http://schemas.microsoft.com/office/spreadsheetml/2009/9/main" objectType="CheckBox" checked="Checked" fmlaLink="$L$294" lockText="1" noThreeD="1"/>
</file>

<file path=xl/ctrlProps/ctrlProp5.xml><?xml version="1.0" encoding="utf-8"?>
<formControlPr xmlns="http://schemas.microsoft.com/office/spreadsheetml/2009/9/main" objectType="CheckBox" fmlaLink="$I$59" lockText="1" noThreeD="1"/>
</file>

<file path=xl/ctrlProps/ctrlProp50.xml><?xml version="1.0" encoding="utf-8"?>
<formControlPr xmlns="http://schemas.microsoft.com/office/spreadsheetml/2009/9/main" objectType="CheckBox" checked="Checked" fmlaLink="$L$297" lockText="1" noThreeD="1"/>
</file>

<file path=xl/ctrlProps/ctrlProp51.xml><?xml version="1.0" encoding="utf-8"?>
<formControlPr xmlns="http://schemas.microsoft.com/office/spreadsheetml/2009/9/main" objectType="CheckBox" checked="Checked" fmlaLink="$L$300" lockText="1" noThreeD="1"/>
</file>

<file path=xl/ctrlProps/ctrlProp52.xml><?xml version="1.0" encoding="utf-8"?>
<formControlPr xmlns="http://schemas.microsoft.com/office/spreadsheetml/2009/9/main" objectType="CheckBox" checked="Checked" fmlaLink="$L$305" lockText="1" noThreeD="1"/>
</file>

<file path=xl/ctrlProps/ctrlProp53.xml><?xml version="1.0" encoding="utf-8"?>
<formControlPr xmlns="http://schemas.microsoft.com/office/spreadsheetml/2009/9/main" objectType="CheckBox" checked="Checked" fmlaLink="$L$308" lockText="1" noThreeD="1"/>
</file>

<file path=xl/ctrlProps/ctrlProp54.xml><?xml version="1.0" encoding="utf-8"?>
<formControlPr xmlns="http://schemas.microsoft.com/office/spreadsheetml/2009/9/main" objectType="CheckBox" checked="Checked" fmlaLink="$L$311" lockText="1" noThreeD="1"/>
</file>

<file path=xl/ctrlProps/ctrlProp55.xml><?xml version="1.0" encoding="utf-8"?>
<formControlPr xmlns="http://schemas.microsoft.com/office/spreadsheetml/2009/9/main" objectType="CheckBox" fmlaLink="$L$314" lockText="1" noThreeD="1"/>
</file>

<file path=xl/ctrlProps/ctrlProp56.xml><?xml version="1.0" encoding="utf-8"?>
<formControlPr xmlns="http://schemas.microsoft.com/office/spreadsheetml/2009/9/main" objectType="CheckBox" fmlaLink="$L$322" lockText="1" noThreeD="1"/>
</file>

<file path=xl/ctrlProps/ctrlProp57.xml><?xml version="1.0" encoding="utf-8"?>
<formControlPr xmlns="http://schemas.microsoft.com/office/spreadsheetml/2009/9/main" objectType="CheckBox" fmlaLink="$L$326" lockText="1" noThreeD="1"/>
</file>

<file path=xl/ctrlProps/ctrlProp58.xml><?xml version="1.0" encoding="utf-8"?>
<formControlPr xmlns="http://schemas.microsoft.com/office/spreadsheetml/2009/9/main" objectType="CheckBox" fmlaLink="$L$330" lockText="1" noThreeD="1"/>
</file>

<file path=xl/ctrlProps/ctrlProp59.xml><?xml version="1.0" encoding="utf-8"?>
<formControlPr xmlns="http://schemas.microsoft.com/office/spreadsheetml/2009/9/main" objectType="CheckBox" fmlaLink="$L$333" lockText="1" noThreeD="1"/>
</file>

<file path=xl/ctrlProps/ctrlProp6.xml><?xml version="1.0" encoding="utf-8"?>
<formControlPr xmlns="http://schemas.microsoft.com/office/spreadsheetml/2009/9/main" objectType="CheckBox" fmlaLink="$I$60" lockText="1" noThreeD="1"/>
</file>

<file path=xl/ctrlProps/ctrlProp60.xml><?xml version="1.0" encoding="utf-8"?>
<formControlPr xmlns="http://schemas.microsoft.com/office/spreadsheetml/2009/9/main" objectType="CheckBox" fmlaLink="$L$337" lockText="1" noThreeD="1"/>
</file>

<file path=xl/ctrlProps/ctrlProp61.xml><?xml version="1.0" encoding="utf-8"?>
<formControlPr xmlns="http://schemas.microsoft.com/office/spreadsheetml/2009/9/main" objectType="CheckBox" fmlaLink="$L$340" lockText="1" noThreeD="1"/>
</file>

<file path=xl/ctrlProps/ctrlProp62.xml><?xml version="1.0" encoding="utf-8"?>
<formControlPr xmlns="http://schemas.microsoft.com/office/spreadsheetml/2009/9/main" objectType="CheckBox" fmlaLink="$L$344" lockText="1" noThreeD="1"/>
</file>

<file path=xl/ctrlProps/ctrlProp63.xml><?xml version="1.0" encoding="utf-8"?>
<formControlPr xmlns="http://schemas.microsoft.com/office/spreadsheetml/2009/9/main" objectType="CheckBox" fmlaLink="$L$347" lockText="1" noThreeD="1"/>
</file>

<file path=xl/ctrlProps/ctrlProp64.xml><?xml version="1.0" encoding="utf-8"?>
<formControlPr xmlns="http://schemas.microsoft.com/office/spreadsheetml/2009/9/main" objectType="CheckBox" checked="Checked" fmlaLink="$L$353" lockText="1" noThreeD="1"/>
</file>

<file path=xl/ctrlProps/ctrlProp65.xml><?xml version="1.0" encoding="utf-8"?>
<formControlPr xmlns="http://schemas.microsoft.com/office/spreadsheetml/2009/9/main" objectType="CheckBox" checked="Checked" fmlaLink="$L$357" lockText="1" noThreeD="1"/>
</file>

<file path=xl/ctrlProps/ctrlProp66.xml><?xml version="1.0" encoding="utf-8"?>
<formControlPr xmlns="http://schemas.microsoft.com/office/spreadsheetml/2009/9/main" objectType="CheckBox" checked="Checked" fmlaLink="$L$360" lockText="1" noThreeD="1"/>
</file>

<file path=xl/ctrlProps/ctrlProp67.xml><?xml version="1.0" encoding="utf-8"?>
<formControlPr xmlns="http://schemas.microsoft.com/office/spreadsheetml/2009/9/main" objectType="CheckBox" checked="Checked" fmlaLink="$L$363" lockText="1" noThreeD="1"/>
</file>

<file path=xl/ctrlProps/ctrlProp68.xml><?xml version="1.0" encoding="utf-8"?>
<formControlPr xmlns="http://schemas.microsoft.com/office/spreadsheetml/2009/9/main" objectType="CheckBox" checked="Checked" fmlaLink="$L$366" lockText="1" noThreeD="1"/>
</file>

<file path=xl/ctrlProps/ctrlProp69.xml><?xml version="1.0" encoding="utf-8"?>
<formControlPr xmlns="http://schemas.microsoft.com/office/spreadsheetml/2009/9/main" objectType="CheckBox" checked="Checked" fmlaLink="$L$369" lockText="1" noThreeD="1"/>
</file>

<file path=xl/ctrlProps/ctrlProp7.xml><?xml version="1.0" encoding="utf-8"?>
<formControlPr xmlns="http://schemas.microsoft.com/office/spreadsheetml/2009/9/main" objectType="CheckBox" fmlaLink="$I$58" lockText="1" noThreeD="1"/>
</file>

<file path=xl/ctrlProps/ctrlProp70.xml><?xml version="1.0" encoding="utf-8"?>
<formControlPr xmlns="http://schemas.microsoft.com/office/spreadsheetml/2009/9/main" objectType="CheckBox" fmlaLink="$L$372" lockText="1" noThreeD="1"/>
</file>

<file path=xl/ctrlProps/ctrlProp71.xml><?xml version="1.0" encoding="utf-8"?>
<formControlPr xmlns="http://schemas.microsoft.com/office/spreadsheetml/2009/9/main" objectType="CheckBox" fmlaLink="$L$375" lockText="1" noThreeD="1"/>
</file>

<file path=xl/ctrlProps/ctrlProp72.xml><?xml version="1.0" encoding="utf-8"?>
<formControlPr xmlns="http://schemas.microsoft.com/office/spreadsheetml/2009/9/main" objectType="CheckBox" fmlaLink="$L$378" lockText="1" noThreeD="1"/>
</file>

<file path=xl/ctrlProps/ctrlProp73.xml><?xml version="1.0" encoding="utf-8"?>
<formControlPr xmlns="http://schemas.microsoft.com/office/spreadsheetml/2009/9/main" objectType="CheckBox" checked="Checked" fmlaLink="$L$381" lockText="1" noThreeD="1"/>
</file>

<file path=xl/ctrlProps/ctrlProp74.xml><?xml version="1.0" encoding="utf-8"?>
<formControlPr xmlns="http://schemas.microsoft.com/office/spreadsheetml/2009/9/main" objectType="CheckBox" fmlaLink="$L$387" lockText="1" noThreeD="1"/>
</file>

<file path=xl/ctrlProps/ctrlProp75.xml><?xml version="1.0" encoding="utf-8"?>
<formControlPr xmlns="http://schemas.microsoft.com/office/spreadsheetml/2009/9/main" objectType="CheckBox" fmlaLink="$L$390" lockText="1" noThreeD="1"/>
</file>

<file path=xl/ctrlProps/ctrlProp76.xml><?xml version="1.0" encoding="utf-8"?>
<formControlPr xmlns="http://schemas.microsoft.com/office/spreadsheetml/2009/9/main" objectType="CheckBox" fmlaLink="$L$393" lockText="1" noThreeD="1"/>
</file>

<file path=xl/ctrlProps/ctrlProp77.xml><?xml version="1.0" encoding="utf-8"?>
<formControlPr xmlns="http://schemas.microsoft.com/office/spreadsheetml/2009/9/main" objectType="CheckBox" fmlaLink="$L$164" lockText="1" noThreeD="1"/>
</file>

<file path=xl/ctrlProps/ctrlProp78.xml><?xml version="1.0" encoding="utf-8"?>
<formControlPr xmlns="http://schemas.microsoft.com/office/spreadsheetml/2009/9/main" objectType="CheckBox" checked="Checked" fmlaLink="$L$212" lockText="1" noThreeD="1"/>
</file>

<file path=xl/ctrlProps/ctrlProp79.xml><?xml version="1.0" encoding="utf-8"?>
<formControlPr xmlns="http://schemas.microsoft.com/office/spreadsheetml/2009/9/main" objectType="CheckBox" checked="Checked" fmlaLink="$L$193" lockText="1" noThreeD="1"/>
</file>

<file path=xl/ctrlProps/ctrlProp8.xml><?xml version="1.0" encoding="utf-8"?>
<formControlPr xmlns="http://schemas.microsoft.com/office/spreadsheetml/2009/9/main" objectType="CheckBox" fmlaLink="$I$11" lockText="1" noThreeD="1"/>
</file>

<file path=xl/ctrlProps/ctrlProp80.xml><?xml version="1.0" encoding="utf-8"?>
<formControlPr xmlns="http://schemas.microsoft.com/office/spreadsheetml/2009/9/main" objectType="CheckBox" checked="Checked" fmlaLink="$L$118" lockText="1" noThreeD="1"/>
</file>

<file path=xl/ctrlProps/ctrlProp81.xml><?xml version="1.0" encoding="utf-8"?>
<formControlPr xmlns="http://schemas.microsoft.com/office/spreadsheetml/2009/9/main" objectType="CheckBox" checked="Checked" fmlaLink="$L$167" lockText="1" noThreeD="1"/>
</file>

<file path=xl/ctrlProps/ctrlProp82.xml><?xml version="1.0" encoding="utf-8"?>
<formControlPr xmlns="http://schemas.microsoft.com/office/spreadsheetml/2009/9/main" objectType="CheckBox" fmlaLink="$L$162" lockText="1" noThreeD="1"/>
</file>

<file path=xl/ctrlProps/ctrlProp83.xml><?xml version="1.0" encoding="utf-8"?>
<formControlPr xmlns="http://schemas.microsoft.com/office/spreadsheetml/2009/9/main" objectType="CheckBox" fmlaLink="$L$14" lockText="1" noThreeD="1"/>
</file>

<file path=xl/ctrlProps/ctrlProp84.xml><?xml version="1.0" encoding="utf-8"?>
<formControlPr xmlns="http://schemas.microsoft.com/office/spreadsheetml/2009/9/main" objectType="CheckBox" fmlaLink="$L$13" lockText="1" noThreeD="1"/>
</file>

<file path=xl/ctrlProps/ctrlProp85.xml><?xml version="1.0" encoding="utf-8"?>
<formControlPr xmlns="http://schemas.microsoft.com/office/spreadsheetml/2009/9/main" objectType="CheckBox" checked="Checked" fmlaLink="$L$17" lockText="1" noThreeD="1"/>
</file>

<file path=xl/ctrlProps/ctrlProp86.xml><?xml version="1.0" encoding="utf-8"?>
<formControlPr xmlns="http://schemas.microsoft.com/office/spreadsheetml/2009/9/main" objectType="CheckBox" fmlaLink="$L$17" lockText="1" noThreeD="1"/>
</file>

<file path=xl/ctrlProps/ctrlProp87.xml><?xml version="1.0" encoding="utf-8"?>
<formControlPr xmlns="http://schemas.microsoft.com/office/spreadsheetml/2009/9/main" objectType="CheckBox" fmlaLink="$L$19" lockText="1" noThreeD="1"/>
</file>

<file path=xl/ctrlProps/ctrlProp88.xml><?xml version="1.0" encoding="utf-8"?>
<formControlPr xmlns="http://schemas.microsoft.com/office/spreadsheetml/2009/9/main" objectType="CheckBox" fmlaLink="$L$23" lockText="1" noThreeD="1"/>
</file>

<file path=xl/ctrlProps/ctrlProp89.xml><?xml version="1.0" encoding="utf-8"?>
<formControlPr xmlns="http://schemas.microsoft.com/office/spreadsheetml/2009/9/main" objectType="CheckBox" fmlaLink="$L$25" lockText="1" noThreeD="1"/>
</file>

<file path=xl/ctrlProps/ctrlProp9.xml><?xml version="1.0" encoding="utf-8"?>
<formControlPr xmlns="http://schemas.microsoft.com/office/spreadsheetml/2009/9/main" objectType="CheckBox" fmlaLink="I17" lockText="1" noThreeD="1"/>
</file>

<file path=xl/ctrlProps/ctrlProp90.xml><?xml version="1.0" encoding="utf-8"?>
<formControlPr xmlns="http://schemas.microsoft.com/office/spreadsheetml/2009/9/main" objectType="CheckBox" fmlaLink="$L$30" lockText="1" noThreeD="1"/>
</file>

<file path=xl/ctrlProps/ctrlProp91.xml><?xml version="1.0" encoding="utf-8"?>
<formControlPr xmlns="http://schemas.microsoft.com/office/spreadsheetml/2009/9/main" objectType="CheckBox" fmlaLink="$L$32" lockText="1" noThreeD="1"/>
</file>

<file path=xl/ctrlProps/ctrlProp92.xml><?xml version="1.0" encoding="utf-8"?>
<formControlPr xmlns="http://schemas.microsoft.com/office/spreadsheetml/2009/9/main" objectType="CheckBox" fmlaLink="$L$34" lockText="1" noThreeD="1"/>
</file>

<file path=xl/ctrlProps/ctrlProp93.xml><?xml version="1.0" encoding="utf-8"?>
<formControlPr xmlns="http://schemas.microsoft.com/office/spreadsheetml/2009/9/main" objectType="CheckBox" fmlaLink="$L$36" lockText="1" noThreeD="1"/>
</file>

<file path=xl/ctrlProps/ctrlProp94.xml><?xml version="1.0" encoding="utf-8"?>
<formControlPr xmlns="http://schemas.microsoft.com/office/spreadsheetml/2009/9/main" objectType="CheckBox" fmlaLink="$L$38" lockText="1" noThreeD="1"/>
</file>

<file path=xl/ctrlProps/ctrlProp95.xml><?xml version="1.0" encoding="utf-8"?>
<formControlPr xmlns="http://schemas.microsoft.com/office/spreadsheetml/2009/9/main" objectType="CheckBox" fmlaLink="$L$42" lockText="1" noThreeD="1"/>
</file>

<file path=xl/ctrlProps/ctrlProp96.xml><?xml version="1.0" encoding="utf-8"?>
<formControlPr xmlns="http://schemas.microsoft.com/office/spreadsheetml/2009/9/main" objectType="CheckBox" fmlaLink="$L$44" lockText="1" noThreeD="1"/>
</file>

<file path=xl/ctrlProps/ctrlProp97.xml><?xml version="1.0" encoding="utf-8"?>
<formControlPr xmlns="http://schemas.microsoft.com/office/spreadsheetml/2009/9/main" objectType="CheckBox" fmlaLink="$L$46" lockText="1" noThreeD="1"/>
</file>

<file path=xl/ctrlProps/ctrlProp98.xml><?xml version="1.0" encoding="utf-8"?>
<formControlPr xmlns="http://schemas.microsoft.com/office/spreadsheetml/2009/9/main" objectType="CheckBox" fmlaLink="$L$48" lockText="1" noThreeD="1"/>
</file>

<file path=xl/ctrlProps/ctrlProp99.xml><?xml version="1.0" encoding="utf-8"?>
<formControlPr xmlns="http://schemas.microsoft.com/office/spreadsheetml/2009/9/main" objectType="CheckBox" fmlaLink="$L$5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0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0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0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17</xdr:row>
          <xdr:rowOff>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0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83</xdr:row>
          <xdr:rowOff>0</xdr:rowOff>
        </xdr:from>
        <xdr:to>
          <xdr:col>3</xdr:col>
          <xdr:colOff>7315</xdr:colOff>
          <xdr:row>84</xdr:row>
          <xdr:rowOff>7315</xdr:rowOff>
        </xdr:to>
        <xdr:sp macro="" textlink="">
          <xdr:nvSpPr>
            <xdr:cNvPr id="58369" name="Check Box 1" descr="3 Fahrstreifen" hidden="1">
              <a:extLst>
                <a:ext uri="{63B3BB69-23CF-44E3-9099-C40C66FF867C}">
                  <a14:compatExt spid="_x0000_s58369"/>
                </a:ext>
                <a:ext uri="{FF2B5EF4-FFF2-40B4-BE49-F238E27FC236}">
                  <a16:creationId xmlns:a16="http://schemas.microsoft.com/office/drawing/2014/main" id="{00000000-0008-0000-09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82</xdr:row>
          <xdr:rowOff>0</xdr:rowOff>
        </xdr:from>
        <xdr:to>
          <xdr:col>3</xdr:col>
          <xdr:colOff>7315</xdr:colOff>
          <xdr:row>83</xdr:row>
          <xdr:rowOff>7315</xdr:rowOff>
        </xdr:to>
        <xdr:sp macro="" textlink="">
          <xdr:nvSpPr>
            <xdr:cNvPr id="58370" name="Check Box 2" descr="3 Fahrstreifen" hidden="1">
              <a:extLst>
                <a:ext uri="{63B3BB69-23CF-44E3-9099-C40C66FF867C}">
                  <a14:compatExt spid="_x0000_s58370"/>
                </a:ext>
                <a:ext uri="{FF2B5EF4-FFF2-40B4-BE49-F238E27FC236}">
                  <a16:creationId xmlns:a16="http://schemas.microsoft.com/office/drawing/2014/main" id="{00000000-0008-0000-09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7315</xdr:colOff>
          <xdr:row>29</xdr:row>
          <xdr:rowOff>7315</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09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7315</xdr:colOff>
          <xdr:row>69</xdr:row>
          <xdr:rowOff>190195</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09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7315</xdr:colOff>
          <xdr:row>60</xdr:row>
          <xdr:rowOff>190195</xdr:rowOff>
        </xdr:to>
        <xdr:sp macro="" textlink="">
          <xdr:nvSpPr>
            <xdr:cNvPr id="58373" name="Check Box 5" hidden="1">
              <a:extLst>
                <a:ext uri="{63B3BB69-23CF-44E3-9099-C40C66FF867C}">
                  <a14:compatExt spid="_x0000_s58373"/>
                </a:ext>
                <a:ext uri="{FF2B5EF4-FFF2-40B4-BE49-F238E27FC236}">
                  <a16:creationId xmlns:a16="http://schemas.microsoft.com/office/drawing/2014/main" id="{00000000-0008-0000-0900-00000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7315</xdr:colOff>
          <xdr:row>35</xdr:row>
          <xdr:rowOff>7315</xdr:rowOff>
        </xdr:to>
        <xdr:sp macro="" textlink="">
          <xdr:nvSpPr>
            <xdr:cNvPr id="58374" name="Check Box 6" hidden="1">
              <a:extLst>
                <a:ext uri="{63B3BB69-23CF-44E3-9099-C40C66FF867C}">
                  <a14:compatExt spid="_x0000_s58374"/>
                </a:ext>
                <a:ext uri="{FF2B5EF4-FFF2-40B4-BE49-F238E27FC236}">
                  <a16:creationId xmlns:a16="http://schemas.microsoft.com/office/drawing/2014/main" id="{00000000-0008-0000-0900-00000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3</xdr:col>
          <xdr:colOff>7315</xdr:colOff>
          <xdr:row>111</xdr:row>
          <xdr:rowOff>7315</xdr:rowOff>
        </xdr:to>
        <xdr:sp macro="" textlink="">
          <xdr:nvSpPr>
            <xdr:cNvPr id="58375" name="Check Box 7" hidden="1">
              <a:extLst>
                <a:ext uri="{63B3BB69-23CF-44E3-9099-C40C66FF867C}">
                  <a14:compatExt spid="_x0000_s58375"/>
                </a:ext>
                <a:ext uri="{FF2B5EF4-FFF2-40B4-BE49-F238E27FC236}">
                  <a16:creationId xmlns:a16="http://schemas.microsoft.com/office/drawing/2014/main" id="{00000000-0008-0000-09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3</xdr:col>
          <xdr:colOff>7315</xdr:colOff>
          <xdr:row>112</xdr:row>
          <xdr:rowOff>21946</xdr:rowOff>
        </xdr:to>
        <xdr:sp macro="" textlink="">
          <xdr:nvSpPr>
            <xdr:cNvPr id="58376" name="Check Box 8" hidden="1">
              <a:extLst>
                <a:ext uri="{63B3BB69-23CF-44E3-9099-C40C66FF867C}">
                  <a14:compatExt spid="_x0000_s58376"/>
                </a:ext>
                <a:ext uri="{FF2B5EF4-FFF2-40B4-BE49-F238E27FC236}">
                  <a16:creationId xmlns:a16="http://schemas.microsoft.com/office/drawing/2014/main" id="{00000000-0008-0000-09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112</xdr:row>
          <xdr:rowOff>0</xdr:rowOff>
        </xdr:from>
        <xdr:to>
          <xdr:col>3</xdr:col>
          <xdr:colOff>7315</xdr:colOff>
          <xdr:row>113</xdr:row>
          <xdr:rowOff>21946</xdr:rowOff>
        </xdr:to>
        <xdr:sp macro="" textlink="">
          <xdr:nvSpPr>
            <xdr:cNvPr id="58377" name="Check Box 9" hidden="1">
              <a:extLst>
                <a:ext uri="{63B3BB69-23CF-44E3-9099-C40C66FF867C}">
                  <a14:compatExt spid="_x0000_s58377"/>
                </a:ext>
                <a:ext uri="{FF2B5EF4-FFF2-40B4-BE49-F238E27FC236}">
                  <a16:creationId xmlns:a16="http://schemas.microsoft.com/office/drawing/2014/main" id="{00000000-0008-0000-09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99</xdr:row>
          <xdr:rowOff>0</xdr:rowOff>
        </xdr:from>
        <xdr:to>
          <xdr:col>4</xdr:col>
          <xdr:colOff>0</xdr:colOff>
          <xdr:row>100</xdr:row>
          <xdr:rowOff>0</xdr:rowOff>
        </xdr:to>
        <xdr:sp macro="" textlink="">
          <xdr:nvSpPr>
            <xdr:cNvPr id="58378" name="Check Box 10" descr="3 Fahrstreifen" hidden="1">
              <a:extLst>
                <a:ext uri="{63B3BB69-23CF-44E3-9099-C40C66FF867C}">
                  <a14:compatExt spid="_x0000_s58378"/>
                </a:ext>
                <a:ext uri="{FF2B5EF4-FFF2-40B4-BE49-F238E27FC236}">
                  <a16:creationId xmlns:a16="http://schemas.microsoft.com/office/drawing/2014/main" id="{00000000-0008-0000-0900-00000AE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100</xdr:row>
          <xdr:rowOff>0</xdr:rowOff>
        </xdr:from>
        <xdr:to>
          <xdr:col>4</xdr:col>
          <xdr:colOff>0</xdr:colOff>
          <xdr:row>101</xdr:row>
          <xdr:rowOff>0</xdr:rowOff>
        </xdr:to>
        <xdr:sp macro="" textlink="">
          <xdr:nvSpPr>
            <xdr:cNvPr id="58379" name="Check Box 11" descr="3 Fahrstreifen" hidden="1">
              <a:extLst>
                <a:ext uri="{63B3BB69-23CF-44E3-9099-C40C66FF867C}">
                  <a14:compatExt spid="_x0000_s58379"/>
                </a:ext>
                <a:ext uri="{FF2B5EF4-FFF2-40B4-BE49-F238E27FC236}">
                  <a16:creationId xmlns:a16="http://schemas.microsoft.com/office/drawing/2014/main" id="{00000000-0008-0000-09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96</xdr:row>
          <xdr:rowOff>0</xdr:rowOff>
        </xdr:from>
        <xdr:to>
          <xdr:col>3</xdr:col>
          <xdr:colOff>7315</xdr:colOff>
          <xdr:row>97</xdr:row>
          <xdr:rowOff>0</xdr:rowOff>
        </xdr:to>
        <xdr:sp macro="" textlink="">
          <xdr:nvSpPr>
            <xdr:cNvPr id="58380" name="Check Box 12" hidden="1">
              <a:extLst>
                <a:ext uri="{63B3BB69-23CF-44E3-9099-C40C66FF867C}">
                  <a14:compatExt spid="_x0000_s58380"/>
                </a:ext>
                <a:ext uri="{FF2B5EF4-FFF2-40B4-BE49-F238E27FC236}">
                  <a16:creationId xmlns:a16="http://schemas.microsoft.com/office/drawing/2014/main" id="{00000000-0008-0000-09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7315</xdr:colOff>
          <xdr:row>18</xdr:row>
          <xdr:rowOff>0</xdr:rowOff>
        </xdr:to>
        <xdr:sp macro="" textlink="">
          <xdr:nvSpPr>
            <xdr:cNvPr id="58381" name="Check Box 13" hidden="1">
              <a:extLst>
                <a:ext uri="{63B3BB69-23CF-44E3-9099-C40C66FF867C}">
                  <a14:compatExt spid="_x0000_s58381"/>
                </a:ext>
                <a:ext uri="{FF2B5EF4-FFF2-40B4-BE49-F238E27FC236}">
                  <a16:creationId xmlns:a16="http://schemas.microsoft.com/office/drawing/2014/main" id="{00000000-0008-0000-09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137</xdr:row>
          <xdr:rowOff>0</xdr:rowOff>
        </xdr:from>
        <xdr:to>
          <xdr:col>2</xdr:col>
          <xdr:colOff>0</xdr:colOff>
          <xdr:row>138</xdr:row>
          <xdr:rowOff>0</xdr:rowOff>
        </xdr:to>
        <xdr:sp macro="" textlink="">
          <xdr:nvSpPr>
            <xdr:cNvPr id="58382" name="Check Box 14" hidden="1">
              <a:extLst>
                <a:ext uri="{63B3BB69-23CF-44E3-9099-C40C66FF867C}">
                  <a14:compatExt spid="_x0000_s58382"/>
                </a:ext>
                <a:ext uri="{FF2B5EF4-FFF2-40B4-BE49-F238E27FC236}">
                  <a16:creationId xmlns:a16="http://schemas.microsoft.com/office/drawing/2014/main" id="{00000000-0008-0000-09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3</xdr:col>
          <xdr:colOff>7315</xdr:colOff>
          <xdr:row>18</xdr:row>
          <xdr:rowOff>190195</xdr:rowOff>
        </xdr:to>
        <xdr:sp macro="" textlink="">
          <xdr:nvSpPr>
            <xdr:cNvPr id="58383" name="Check Box 15" hidden="1">
              <a:extLst>
                <a:ext uri="{63B3BB69-23CF-44E3-9099-C40C66FF867C}">
                  <a14:compatExt spid="_x0000_s58383"/>
                </a:ext>
                <a:ext uri="{FF2B5EF4-FFF2-40B4-BE49-F238E27FC236}">
                  <a16:creationId xmlns:a16="http://schemas.microsoft.com/office/drawing/2014/main" id="{00000000-0008-0000-0900-00000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0</xdr:rowOff>
        </xdr:from>
        <xdr:to>
          <xdr:col>3</xdr:col>
          <xdr:colOff>7315</xdr:colOff>
          <xdr:row>58</xdr:row>
          <xdr:rowOff>190195</xdr:rowOff>
        </xdr:to>
        <xdr:sp macro="" textlink="">
          <xdr:nvSpPr>
            <xdr:cNvPr id="58384" name="Check Box 16" hidden="1">
              <a:extLst>
                <a:ext uri="{63B3BB69-23CF-44E3-9099-C40C66FF867C}">
                  <a14:compatExt spid="_x0000_s58384"/>
                </a:ext>
                <a:ext uri="{FF2B5EF4-FFF2-40B4-BE49-F238E27FC236}">
                  <a16:creationId xmlns:a16="http://schemas.microsoft.com/office/drawing/2014/main" id="{00000000-0008-0000-0900-00001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3</xdr:col>
          <xdr:colOff>7315</xdr:colOff>
          <xdr:row>82</xdr:row>
          <xdr:rowOff>7315</xdr:rowOff>
        </xdr:to>
        <xdr:sp macro="" textlink="">
          <xdr:nvSpPr>
            <xdr:cNvPr id="58385" name="Check Box 17" descr="3 Fahrstreifen" hidden="1">
              <a:extLst>
                <a:ext uri="{63B3BB69-23CF-44E3-9099-C40C66FF867C}">
                  <a14:compatExt spid="_x0000_s58385"/>
                </a:ext>
                <a:ext uri="{FF2B5EF4-FFF2-40B4-BE49-F238E27FC236}">
                  <a16:creationId xmlns:a16="http://schemas.microsoft.com/office/drawing/2014/main" id="{00000000-0008-0000-0900-00001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117</xdr:row>
          <xdr:rowOff>0</xdr:rowOff>
        </xdr:from>
        <xdr:to>
          <xdr:col>4</xdr:col>
          <xdr:colOff>0</xdr:colOff>
          <xdr:row>118</xdr:row>
          <xdr:rowOff>21946</xdr:rowOff>
        </xdr:to>
        <xdr:sp macro="" textlink="">
          <xdr:nvSpPr>
            <xdr:cNvPr id="58386" name="Check Box 18" hidden="1">
              <a:extLst>
                <a:ext uri="{63B3BB69-23CF-44E3-9099-C40C66FF867C}">
                  <a14:compatExt spid="_x0000_s58386"/>
                </a:ext>
                <a:ext uri="{FF2B5EF4-FFF2-40B4-BE49-F238E27FC236}">
                  <a16:creationId xmlns:a16="http://schemas.microsoft.com/office/drawing/2014/main" id="{00000000-0008-0000-0900-00001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116</xdr:row>
          <xdr:rowOff>0</xdr:rowOff>
        </xdr:from>
        <xdr:to>
          <xdr:col>4</xdr:col>
          <xdr:colOff>0</xdr:colOff>
          <xdr:row>117</xdr:row>
          <xdr:rowOff>21946</xdr:rowOff>
        </xdr:to>
        <xdr:sp macro="" textlink="">
          <xdr:nvSpPr>
            <xdr:cNvPr id="58387" name="Check Box 19" hidden="1">
              <a:extLst>
                <a:ext uri="{63B3BB69-23CF-44E3-9099-C40C66FF867C}">
                  <a14:compatExt spid="_x0000_s58387"/>
                </a:ext>
                <a:ext uri="{FF2B5EF4-FFF2-40B4-BE49-F238E27FC236}">
                  <a16:creationId xmlns:a16="http://schemas.microsoft.com/office/drawing/2014/main" id="{00000000-0008-0000-0900-00001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3</xdr:col>
          <xdr:colOff>7315</xdr:colOff>
          <xdr:row>85</xdr:row>
          <xdr:rowOff>7315</xdr:rowOff>
        </xdr:to>
        <xdr:sp macro="" textlink="">
          <xdr:nvSpPr>
            <xdr:cNvPr id="58388" name="Check Box 20" descr="3 Fahrstreifen" hidden="1">
              <a:extLst>
                <a:ext uri="{63B3BB69-23CF-44E3-9099-C40C66FF867C}">
                  <a14:compatExt spid="_x0000_s58388"/>
                </a:ext>
                <a:ext uri="{FF2B5EF4-FFF2-40B4-BE49-F238E27FC236}">
                  <a16:creationId xmlns:a16="http://schemas.microsoft.com/office/drawing/2014/main" id="{00000000-0008-0000-0900-00001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97</xdr:row>
          <xdr:rowOff>0</xdr:rowOff>
        </xdr:from>
        <xdr:to>
          <xdr:col>4</xdr:col>
          <xdr:colOff>0</xdr:colOff>
          <xdr:row>98</xdr:row>
          <xdr:rowOff>0</xdr:rowOff>
        </xdr:to>
        <xdr:sp macro="" textlink="">
          <xdr:nvSpPr>
            <xdr:cNvPr id="58390" name="Check Box 22" descr="3 Fahrstreifen" hidden="1">
              <a:extLst>
                <a:ext uri="{63B3BB69-23CF-44E3-9099-C40C66FF867C}">
                  <a14:compatExt spid="_x0000_s58390"/>
                </a:ext>
                <a:ext uri="{FF2B5EF4-FFF2-40B4-BE49-F238E27FC236}">
                  <a16:creationId xmlns:a16="http://schemas.microsoft.com/office/drawing/2014/main" id="{00000000-0008-0000-0900-000016E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0</xdr:rowOff>
        </xdr:from>
        <xdr:to>
          <xdr:col>3</xdr:col>
          <xdr:colOff>0</xdr:colOff>
          <xdr:row>63</xdr:row>
          <xdr:rowOff>190195</xdr:rowOff>
        </xdr:to>
        <xdr:sp macro="" textlink="">
          <xdr:nvSpPr>
            <xdr:cNvPr id="58391" name="Check Box 23" hidden="1">
              <a:extLst>
                <a:ext uri="{63B3BB69-23CF-44E3-9099-C40C66FF867C}">
                  <a14:compatExt spid="_x0000_s58391"/>
                </a:ext>
                <a:ext uri="{FF2B5EF4-FFF2-40B4-BE49-F238E27FC236}">
                  <a16:creationId xmlns:a16="http://schemas.microsoft.com/office/drawing/2014/main" id="{00000000-0008-0000-0900-00001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95098</xdr:colOff>
          <xdr:row>18</xdr:row>
          <xdr:rowOff>0</xdr:rowOff>
        </xdr:from>
        <xdr:to>
          <xdr:col>5</xdr:col>
          <xdr:colOff>307238</xdr:colOff>
          <xdr:row>18</xdr:row>
          <xdr:rowOff>182880</xdr:rowOff>
        </xdr:to>
        <xdr:sp macro="" textlink="">
          <xdr:nvSpPr>
            <xdr:cNvPr id="63489" name="Check Box 1" descr="3 Fahrstreifen" hidden="1">
              <a:extLst>
                <a:ext uri="{63B3BB69-23CF-44E3-9099-C40C66FF867C}">
                  <a14:compatExt spid="_x0000_s63489"/>
                </a:ext>
                <a:ext uri="{FF2B5EF4-FFF2-40B4-BE49-F238E27FC236}">
                  <a16:creationId xmlns:a16="http://schemas.microsoft.com/office/drawing/2014/main" id="{00000000-0008-0000-0B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19</xdr:row>
          <xdr:rowOff>0</xdr:rowOff>
        </xdr:from>
        <xdr:to>
          <xdr:col>5</xdr:col>
          <xdr:colOff>292608</xdr:colOff>
          <xdr:row>19</xdr:row>
          <xdr:rowOff>182880</xdr:rowOff>
        </xdr:to>
        <xdr:sp macro="" textlink="">
          <xdr:nvSpPr>
            <xdr:cNvPr id="63490" name="Check Box 2" descr="3 Fahrstreifen" hidden="1">
              <a:extLst>
                <a:ext uri="{63B3BB69-23CF-44E3-9099-C40C66FF867C}">
                  <a14:compatExt spid="_x0000_s63490"/>
                </a:ext>
                <a:ext uri="{FF2B5EF4-FFF2-40B4-BE49-F238E27FC236}">
                  <a16:creationId xmlns:a16="http://schemas.microsoft.com/office/drawing/2014/main" id="{00000000-0008-0000-0B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20</xdr:row>
          <xdr:rowOff>0</xdr:rowOff>
        </xdr:from>
        <xdr:to>
          <xdr:col>5</xdr:col>
          <xdr:colOff>314554</xdr:colOff>
          <xdr:row>21</xdr:row>
          <xdr:rowOff>0</xdr:rowOff>
        </xdr:to>
        <xdr:sp macro="" textlink="">
          <xdr:nvSpPr>
            <xdr:cNvPr id="63491" name="Check Box 3" descr="3 Fahrstreifen" hidden="1">
              <a:extLst>
                <a:ext uri="{63B3BB69-23CF-44E3-9099-C40C66FF867C}">
                  <a14:compatExt spid="_x0000_s63491"/>
                </a:ext>
                <a:ext uri="{FF2B5EF4-FFF2-40B4-BE49-F238E27FC236}">
                  <a16:creationId xmlns:a16="http://schemas.microsoft.com/office/drawing/2014/main" id="{00000000-0008-0000-0B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21</xdr:row>
          <xdr:rowOff>0</xdr:rowOff>
        </xdr:from>
        <xdr:to>
          <xdr:col>5</xdr:col>
          <xdr:colOff>314554</xdr:colOff>
          <xdr:row>22</xdr:row>
          <xdr:rowOff>0</xdr:rowOff>
        </xdr:to>
        <xdr:sp macro="" textlink="">
          <xdr:nvSpPr>
            <xdr:cNvPr id="63492" name="Check Box 4" descr="3 Fahrstreifen" hidden="1">
              <a:extLst>
                <a:ext uri="{63B3BB69-23CF-44E3-9099-C40C66FF867C}">
                  <a14:compatExt spid="_x0000_s63492"/>
                </a:ext>
                <a:ext uri="{FF2B5EF4-FFF2-40B4-BE49-F238E27FC236}">
                  <a16:creationId xmlns:a16="http://schemas.microsoft.com/office/drawing/2014/main" id="{00000000-0008-0000-0B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22</xdr:row>
          <xdr:rowOff>0</xdr:rowOff>
        </xdr:from>
        <xdr:to>
          <xdr:col>5</xdr:col>
          <xdr:colOff>314554</xdr:colOff>
          <xdr:row>23</xdr:row>
          <xdr:rowOff>0</xdr:rowOff>
        </xdr:to>
        <xdr:sp macro="" textlink="">
          <xdr:nvSpPr>
            <xdr:cNvPr id="63493" name="Check Box 5" descr="3 Fahrstreifen" hidden="1">
              <a:extLst>
                <a:ext uri="{63B3BB69-23CF-44E3-9099-C40C66FF867C}">
                  <a14:compatExt spid="_x0000_s63493"/>
                </a:ext>
                <a:ext uri="{FF2B5EF4-FFF2-40B4-BE49-F238E27FC236}">
                  <a16:creationId xmlns:a16="http://schemas.microsoft.com/office/drawing/2014/main" id="{00000000-0008-0000-0B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23</xdr:row>
          <xdr:rowOff>0</xdr:rowOff>
        </xdr:from>
        <xdr:to>
          <xdr:col>5</xdr:col>
          <xdr:colOff>314554</xdr:colOff>
          <xdr:row>24</xdr:row>
          <xdr:rowOff>0</xdr:rowOff>
        </xdr:to>
        <xdr:sp macro="" textlink="">
          <xdr:nvSpPr>
            <xdr:cNvPr id="63494" name="Check Box 6" descr="3 Fahrstreifen" hidden="1">
              <a:extLst>
                <a:ext uri="{63B3BB69-23CF-44E3-9099-C40C66FF867C}">
                  <a14:compatExt spid="_x0000_s63494"/>
                </a:ext>
                <a:ext uri="{FF2B5EF4-FFF2-40B4-BE49-F238E27FC236}">
                  <a16:creationId xmlns:a16="http://schemas.microsoft.com/office/drawing/2014/main" id="{00000000-0008-0000-0B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24</xdr:row>
          <xdr:rowOff>0</xdr:rowOff>
        </xdr:from>
        <xdr:to>
          <xdr:col>5</xdr:col>
          <xdr:colOff>314554</xdr:colOff>
          <xdr:row>25</xdr:row>
          <xdr:rowOff>0</xdr:rowOff>
        </xdr:to>
        <xdr:sp macro="" textlink="">
          <xdr:nvSpPr>
            <xdr:cNvPr id="63495" name="Check Box 7" descr="3 Fahrstreifen" hidden="1">
              <a:extLst>
                <a:ext uri="{63B3BB69-23CF-44E3-9099-C40C66FF867C}">
                  <a14:compatExt spid="_x0000_s63495"/>
                </a:ext>
                <a:ext uri="{FF2B5EF4-FFF2-40B4-BE49-F238E27FC236}">
                  <a16:creationId xmlns:a16="http://schemas.microsoft.com/office/drawing/2014/main" id="{00000000-0008-0000-0B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25</xdr:row>
          <xdr:rowOff>0</xdr:rowOff>
        </xdr:from>
        <xdr:to>
          <xdr:col>5</xdr:col>
          <xdr:colOff>314554</xdr:colOff>
          <xdr:row>26</xdr:row>
          <xdr:rowOff>0</xdr:rowOff>
        </xdr:to>
        <xdr:sp macro="" textlink="">
          <xdr:nvSpPr>
            <xdr:cNvPr id="63496" name="Check Box 8" descr="3 Fahrstreifen" hidden="1">
              <a:extLst>
                <a:ext uri="{63B3BB69-23CF-44E3-9099-C40C66FF867C}">
                  <a14:compatExt spid="_x0000_s63496"/>
                </a:ext>
                <a:ext uri="{FF2B5EF4-FFF2-40B4-BE49-F238E27FC236}">
                  <a16:creationId xmlns:a16="http://schemas.microsoft.com/office/drawing/2014/main" id="{00000000-0008-0000-0B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26</xdr:row>
          <xdr:rowOff>0</xdr:rowOff>
        </xdr:from>
        <xdr:to>
          <xdr:col>5</xdr:col>
          <xdr:colOff>314554</xdr:colOff>
          <xdr:row>27</xdr:row>
          <xdr:rowOff>0</xdr:rowOff>
        </xdr:to>
        <xdr:sp macro="" textlink="">
          <xdr:nvSpPr>
            <xdr:cNvPr id="63497" name="Check Box 9" descr="3 Fahrstreifen" hidden="1">
              <a:extLst>
                <a:ext uri="{63B3BB69-23CF-44E3-9099-C40C66FF867C}">
                  <a14:compatExt spid="_x0000_s63497"/>
                </a:ext>
                <a:ext uri="{FF2B5EF4-FFF2-40B4-BE49-F238E27FC236}">
                  <a16:creationId xmlns:a16="http://schemas.microsoft.com/office/drawing/2014/main" id="{00000000-0008-0000-0B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27</xdr:row>
          <xdr:rowOff>0</xdr:rowOff>
        </xdr:from>
        <xdr:to>
          <xdr:col>5</xdr:col>
          <xdr:colOff>314554</xdr:colOff>
          <xdr:row>28</xdr:row>
          <xdr:rowOff>0</xdr:rowOff>
        </xdr:to>
        <xdr:sp macro="" textlink="">
          <xdr:nvSpPr>
            <xdr:cNvPr id="63498" name="Check Box 10" descr="3 Fahrstreifen" hidden="1">
              <a:extLst>
                <a:ext uri="{63B3BB69-23CF-44E3-9099-C40C66FF867C}">
                  <a14:compatExt spid="_x0000_s63498"/>
                </a:ext>
                <a:ext uri="{FF2B5EF4-FFF2-40B4-BE49-F238E27FC236}">
                  <a16:creationId xmlns:a16="http://schemas.microsoft.com/office/drawing/2014/main" id="{00000000-0008-0000-0B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95098</xdr:colOff>
          <xdr:row>28</xdr:row>
          <xdr:rowOff>0</xdr:rowOff>
        </xdr:from>
        <xdr:to>
          <xdr:col>5</xdr:col>
          <xdr:colOff>314554</xdr:colOff>
          <xdr:row>29</xdr:row>
          <xdr:rowOff>0</xdr:rowOff>
        </xdr:to>
        <xdr:sp macro="" textlink="">
          <xdr:nvSpPr>
            <xdr:cNvPr id="63499" name="Check Box 11" descr="3 Fahrstreifen" hidden="1">
              <a:extLst>
                <a:ext uri="{63B3BB69-23CF-44E3-9099-C40C66FF867C}">
                  <a14:compatExt spid="_x0000_s63499"/>
                </a:ext>
                <a:ext uri="{FF2B5EF4-FFF2-40B4-BE49-F238E27FC236}">
                  <a16:creationId xmlns:a16="http://schemas.microsoft.com/office/drawing/2014/main" id="{00000000-0008-0000-0B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57</xdr:row>
          <xdr:rowOff>197510</xdr:rowOff>
        </xdr:from>
        <xdr:to>
          <xdr:col>3</xdr:col>
          <xdr:colOff>0</xdr:colOff>
          <xdr:row>58</xdr:row>
          <xdr:rowOff>197510</xdr:rowOff>
        </xdr:to>
        <xdr:sp macro="" textlink="">
          <xdr:nvSpPr>
            <xdr:cNvPr id="22529" name="Check Box 1" descr="4 Fahrstreifen"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0</xdr:rowOff>
        </xdr:from>
        <xdr:to>
          <xdr:col>3</xdr:col>
          <xdr:colOff>0</xdr:colOff>
          <xdr:row>60</xdr:row>
          <xdr:rowOff>0</xdr:rowOff>
        </xdr:to>
        <xdr:sp macro="" textlink="">
          <xdr:nvSpPr>
            <xdr:cNvPr id="22530" name="Check Box 2" descr="mehr als 4 Fahrstreifen"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153619</xdr:rowOff>
        </xdr:from>
        <xdr:to>
          <xdr:col>3</xdr:col>
          <xdr:colOff>0</xdr:colOff>
          <xdr:row>57</xdr:row>
          <xdr:rowOff>182880</xdr:rowOff>
        </xdr:to>
        <xdr:sp macro="" textlink="">
          <xdr:nvSpPr>
            <xdr:cNvPr id="22531" name="Check Box 3" descr="3 Fahrstreifen" hidden="1">
              <a:extLst>
                <a:ext uri="{63B3BB69-23CF-44E3-9099-C40C66FF867C}">
                  <a14:compatExt spid="_x0000_s22531"/>
                </a:ext>
                <a:ext uri="{FF2B5EF4-FFF2-40B4-BE49-F238E27FC236}">
                  <a16:creationId xmlns:a16="http://schemas.microsoft.com/office/drawing/2014/main" id="{00000000-0008-0000-01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3</xdr:col>
          <xdr:colOff>0</xdr:colOff>
          <xdr:row>11</xdr:row>
          <xdr:rowOff>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7315</xdr:colOff>
          <xdr:row>15</xdr:row>
          <xdr:rowOff>475488</xdr:rowOff>
        </xdr:from>
        <xdr:to>
          <xdr:col>3</xdr:col>
          <xdr:colOff>7315</xdr:colOff>
          <xdr:row>16</xdr:row>
          <xdr:rowOff>212141</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1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7315</xdr:rowOff>
        </xdr:from>
        <xdr:to>
          <xdr:col>3</xdr:col>
          <xdr:colOff>0</xdr:colOff>
          <xdr:row>12</xdr:row>
          <xdr:rowOff>7315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1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0</xdr:colOff>
          <xdr:row>12</xdr:row>
          <xdr:rowOff>0</xdr:rowOff>
        </xdr:to>
        <xdr:sp macro="" textlink="">
          <xdr:nvSpPr>
            <xdr:cNvPr id="20485" name="Check Box 5" descr="3 Fahrstreifen" hidden="1">
              <a:extLst>
                <a:ext uri="{63B3BB69-23CF-44E3-9099-C40C66FF867C}">
                  <a14:compatExt spid="_x0000_s20485"/>
                </a:ext>
                <a:ext uri="{FF2B5EF4-FFF2-40B4-BE49-F238E27FC236}">
                  <a16:creationId xmlns:a16="http://schemas.microsoft.com/office/drawing/2014/main" id="{00000000-0008-0000-02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0</xdr:colOff>
          <xdr:row>15</xdr:row>
          <xdr:rowOff>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2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7315</xdr:colOff>
          <xdr:row>20</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7315</xdr:colOff>
          <xdr:row>32</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7315</xdr:colOff>
          <xdr:row>36</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672998</xdr:rowOff>
        </xdr:from>
        <xdr:to>
          <xdr:col>2</xdr:col>
          <xdr:colOff>7315</xdr:colOff>
          <xdr:row>39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248717</xdr:rowOff>
        </xdr:from>
        <xdr:to>
          <xdr:col>2</xdr:col>
          <xdr:colOff>7315</xdr:colOff>
          <xdr:row>44</xdr:row>
          <xdr:rowOff>182880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7315</xdr:colOff>
          <xdr:row>75</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0</xdr:rowOff>
        </xdr:from>
        <xdr:to>
          <xdr:col>2</xdr:col>
          <xdr:colOff>7315</xdr:colOff>
          <xdr:row>78</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79</xdr:row>
          <xdr:rowOff>321869</xdr:rowOff>
        </xdr:from>
        <xdr:to>
          <xdr:col>2</xdr:col>
          <xdr:colOff>7315</xdr:colOff>
          <xdr:row>81</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83</xdr:row>
          <xdr:rowOff>0</xdr:rowOff>
        </xdr:from>
        <xdr:to>
          <xdr:col>2</xdr:col>
          <xdr:colOff>7315</xdr:colOff>
          <xdr:row>84</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xdr:row>
          <xdr:rowOff>0</xdr:rowOff>
        </xdr:from>
        <xdr:to>
          <xdr:col>2</xdr:col>
          <xdr:colOff>7315</xdr:colOff>
          <xdr:row>94</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2</xdr:col>
          <xdr:colOff>7315</xdr:colOff>
          <xdr:row>97</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99</xdr:row>
          <xdr:rowOff>0</xdr:rowOff>
        </xdr:from>
        <xdr:to>
          <xdr:col>2</xdr:col>
          <xdr:colOff>7315</xdr:colOff>
          <xdr:row>100</xdr:row>
          <xdr:rowOff>0</xdr:rowOff>
        </xdr:to>
        <xdr:sp macro="" textlink="">
          <xdr:nvSpPr>
            <xdr:cNvPr id="10404" name="Check Box 164" descr="3 Fahrstreifen"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102</xdr:row>
          <xdr:rowOff>0</xdr:rowOff>
        </xdr:from>
        <xdr:to>
          <xdr:col>2</xdr:col>
          <xdr:colOff>7315</xdr:colOff>
          <xdr:row>103</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7315</xdr:colOff>
          <xdr:row>105</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7315</xdr:colOff>
          <xdr:row>107</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109</xdr:row>
          <xdr:rowOff>0</xdr:rowOff>
        </xdr:from>
        <xdr:to>
          <xdr:col>2</xdr:col>
          <xdr:colOff>7315</xdr:colOff>
          <xdr:row>110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133</xdr:row>
          <xdr:rowOff>0</xdr:rowOff>
        </xdr:from>
        <xdr:to>
          <xdr:col>2</xdr:col>
          <xdr:colOff>7315</xdr:colOff>
          <xdr:row>134</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136</xdr:row>
          <xdr:rowOff>0</xdr:rowOff>
        </xdr:from>
        <xdr:to>
          <xdr:col>2</xdr:col>
          <xdr:colOff>7315</xdr:colOff>
          <xdr:row>137</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139</xdr:row>
          <xdr:rowOff>0</xdr:rowOff>
        </xdr:from>
        <xdr:to>
          <xdr:col>2</xdr:col>
          <xdr:colOff>7315</xdr:colOff>
          <xdr:row>140</xdr:row>
          <xdr:rowOff>21946</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141</xdr:row>
          <xdr:rowOff>0</xdr:rowOff>
        </xdr:from>
        <xdr:to>
          <xdr:col>2</xdr:col>
          <xdr:colOff>7315</xdr:colOff>
          <xdr:row>142</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144</xdr:row>
          <xdr:rowOff>0</xdr:rowOff>
        </xdr:from>
        <xdr:to>
          <xdr:col>2</xdr:col>
          <xdr:colOff>7315</xdr:colOff>
          <xdr:row>145</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153</xdr:row>
          <xdr:rowOff>0</xdr:rowOff>
        </xdr:from>
        <xdr:to>
          <xdr:col>2</xdr:col>
          <xdr:colOff>7315</xdr:colOff>
          <xdr:row>154</xdr:row>
          <xdr:rowOff>0</xdr:rowOff>
        </xdr:to>
        <xdr:sp macro="" textlink="">
          <xdr:nvSpPr>
            <xdr:cNvPr id="10442" name="Check Box 202" descr="3 Fahrstreifen"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190</xdr:row>
          <xdr:rowOff>0</xdr:rowOff>
        </xdr:from>
        <xdr:to>
          <xdr:col>2</xdr:col>
          <xdr:colOff>7315</xdr:colOff>
          <xdr:row>191</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194</xdr:row>
          <xdr:rowOff>0</xdr:rowOff>
        </xdr:from>
        <xdr:to>
          <xdr:col>2</xdr:col>
          <xdr:colOff>7315</xdr:colOff>
          <xdr:row>195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200</xdr:row>
          <xdr:rowOff>0</xdr:rowOff>
        </xdr:from>
        <xdr:to>
          <xdr:col>2</xdr:col>
          <xdr:colOff>7315</xdr:colOff>
          <xdr:row>201</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203</xdr:row>
          <xdr:rowOff>0</xdr:rowOff>
        </xdr:from>
        <xdr:to>
          <xdr:col>2</xdr:col>
          <xdr:colOff>7315</xdr:colOff>
          <xdr:row>204</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214</xdr:row>
          <xdr:rowOff>0</xdr:rowOff>
        </xdr:from>
        <xdr:to>
          <xdr:col>2</xdr:col>
          <xdr:colOff>7315</xdr:colOff>
          <xdr:row>215</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233</xdr:row>
          <xdr:rowOff>0</xdr:rowOff>
        </xdr:from>
        <xdr:to>
          <xdr:col>2</xdr:col>
          <xdr:colOff>7315</xdr:colOff>
          <xdr:row>234</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7315</xdr:colOff>
          <xdr:row>218</xdr:row>
          <xdr:rowOff>0</xdr:rowOff>
        </xdr:to>
        <xdr:sp macro="" textlink="">
          <xdr:nvSpPr>
            <xdr:cNvPr id="10463" name="Check Box 223" descr="3 Fahrstreifen"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236</xdr:row>
          <xdr:rowOff>0</xdr:rowOff>
        </xdr:from>
        <xdr:to>
          <xdr:col>2</xdr:col>
          <xdr:colOff>7315</xdr:colOff>
          <xdr:row>237</xdr:row>
          <xdr:rowOff>0</xdr:rowOff>
        </xdr:to>
        <xdr:sp macro="" textlink="">
          <xdr:nvSpPr>
            <xdr:cNvPr id="10464" name="Check Box 224" descr="3 Fahrstreifen"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238</xdr:row>
          <xdr:rowOff>314554</xdr:rowOff>
        </xdr:from>
        <xdr:to>
          <xdr:col>2</xdr:col>
          <xdr:colOff>7315</xdr:colOff>
          <xdr:row>240</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244</xdr:row>
          <xdr:rowOff>0</xdr:rowOff>
        </xdr:from>
        <xdr:to>
          <xdr:col>2</xdr:col>
          <xdr:colOff>7315</xdr:colOff>
          <xdr:row>245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249</xdr:row>
          <xdr:rowOff>0</xdr:rowOff>
        </xdr:from>
        <xdr:to>
          <xdr:col>2</xdr:col>
          <xdr:colOff>7315</xdr:colOff>
          <xdr:row>250</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284</xdr:row>
          <xdr:rowOff>0</xdr:rowOff>
        </xdr:from>
        <xdr:to>
          <xdr:col>2</xdr:col>
          <xdr:colOff>7315</xdr:colOff>
          <xdr:row>285</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287</xdr:row>
          <xdr:rowOff>0</xdr:rowOff>
        </xdr:from>
        <xdr:to>
          <xdr:col>2</xdr:col>
          <xdr:colOff>7315</xdr:colOff>
          <xdr:row>288</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293</xdr:row>
          <xdr:rowOff>0</xdr:rowOff>
        </xdr:from>
        <xdr:to>
          <xdr:col>2</xdr:col>
          <xdr:colOff>7315</xdr:colOff>
          <xdr:row>294</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296</xdr:row>
          <xdr:rowOff>0</xdr:rowOff>
        </xdr:from>
        <xdr:to>
          <xdr:col>2</xdr:col>
          <xdr:colOff>7315</xdr:colOff>
          <xdr:row>297</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299</xdr:row>
          <xdr:rowOff>0</xdr:rowOff>
        </xdr:from>
        <xdr:to>
          <xdr:col>2</xdr:col>
          <xdr:colOff>7315</xdr:colOff>
          <xdr:row>300</xdr:row>
          <xdr:rowOff>0</xdr:rowOff>
        </xdr:to>
        <xdr:sp macro="" textlink="">
          <xdr:nvSpPr>
            <xdr:cNvPr id="10476" name="Check Box 236" descr="3 Fahrstreifen"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304</xdr:row>
          <xdr:rowOff>0</xdr:rowOff>
        </xdr:from>
        <xdr:to>
          <xdr:col>2</xdr:col>
          <xdr:colOff>7315</xdr:colOff>
          <xdr:row>305</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307</xdr:row>
          <xdr:rowOff>0</xdr:rowOff>
        </xdr:from>
        <xdr:to>
          <xdr:col>2</xdr:col>
          <xdr:colOff>7315</xdr:colOff>
          <xdr:row>308</xdr:row>
          <xdr:rowOff>0</xdr:rowOff>
        </xdr:to>
        <xdr:sp macro="" textlink="">
          <xdr:nvSpPr>
            <xdr:cNvPr id="10478" name="Check Box 238" descr="3 Fahrstreifen"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310</xdr:row>
          <xdr:rowOff>0</xdr:rowOff>
        </xdr:from>
        <xdr:to>
          <xdr:col>2</xdr:col>
          <xdr:colOff>7315</xdr:colOff>
          <xdr:row>311</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313</xdr:row>
          <xdr:rowOff>0</xdr:rowOff>
        </xdr:from>
        <xdr:to>
          <xdr:col>2</xdr:col>
          <xdr:colOff>7315</xdr:colOff>
          <xdr:row>314</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321</xdr:row>
          <xdr:rowOff>0</xdr:rowOff>
        </xdr:from>
        <xdr:to>
          <xdr:col>2</xdr:col>
          <xdr:colOff>7315</xdr:colOff>
          <xdr:row>322</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325</xdr:row>
          <xdr:rowOff>0</xdr:rowOff>
        </xdr:from>
        <xdr:to>
          <xdr:col>2</xdr:col>
          <xdr:colOff>7315</xdr:colOff>
          <xdr:row>326</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329</xdr:row>
          <xdr:rowOff>0</xdr:rowOff>
        </xdr:from>
        <xdr:to>
          <xdr:col>2</xdr:col>
          <xdr:colOff>7315</xdr:colOff>
          <xdr:row>330</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332</xdr:row>
          <xdr:rowOff>0</xdr:rowOff>
        </xdr:from>
        <xdr:to>
          <xdr:col>2</xdr:col>
          <xdr:colOff>7315</xdr:colOff>
          <xdr:row>333</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336</xdr:row>
          <xdr:rowOff>0</xdr:rowOff>
        </xdr:from>
        <xdr:to>
          <xdr:col>2</xdr:col>
          <xdr:colOff>7315</xdr:colOff>
          <xdr:row>337</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339</xdr:row>
          <xdr:rowOff>0</xdr:rowOff>
        </xdr:from>
        <xdr:to>
          <xdr:col>2</xdr:col>
          <xdr:colOff>7315</xdr:colOff>
          <xdr:row>340</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343</xdr:row>
          <xdr:rowOff>0</xdr:rowOff>
        </xdr:from>
        <xdr:to>
          <xdr:col>2</xdr:col>
          <xdr:colOff>7315</xdr:colOff>
          <xdr:row>344</xdr:row>
          <xdr:rowOff>7315</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346</xdr:row>
          <xdr:rowOff>0</xdr:rowOff>
        </xdr:from>
        <xdr:to>
          <xdr:col>2</xdr:col>
          <xdr:colOff>7315</xdr:colOff>
          <xdr:row>347</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352</xdr:row>
          <xdr:rowOff>0</xdr:rowOff>
        </xdr:from>
        <xdr:to>
          <xdr:col>2</xdr:col>
          <xdr:colOff>7315</xdr:colOff>
          <xdr:row>353</xdr:row>
          <xdr:rowOff>7315</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356</xdr:row>
          <xdr:rowOff>0</xdr:rowOff>
        </xdr:from>
        <xdr:to>
          <xdr:col>2</xdr:col>
          <xdr:colOff>7315</xdr:colOff>
          <xdr:row>357</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359</xdr:row>
          <xdr:rowOff>0</xdr:rowOff>
        </xdr:from>
        <xdr:to>
          <xdr:col>2</xdr:col>
          <xdr:colOff>7315</xdr:colOff>
          <xdr:row>360</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362</xdr:row>
          <xdr:rowOff>0</xdr:rowOff>
        </xdr:from>
        <xdr:to>
          <xdr:col>2</xdr:col>
          <xdr:colOff>7315</xdr:colOff>
          <xdr:row>363</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365</xdr:row>
          <xdr:rowOff>0</xdr:rowOff>
        </xdr:from>
        <xdr:to>
          <xdr:col>2</xdr:col>
          <xdr:colOff>7315</xdr:colOff>
          <xdr:row>366</xdr:row>
          <xdr:rowOff>7315</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368</xdr:row>
          <xdr:rowOff>0</xdr:rowOff>
        </xdr:from>
        <xdr:to>
          <xdr:col>2</xdr:col>
          <xdr:colOff>7315</xdr:colOff>
          <xdr:row>369</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371</xdr:row>
          <xdr:rowOff>0</xdr:rowOff>
        </xdr:from>
        <xdr:to>
          <xdr:col>2</xdr:col>
          <xdr:colOff>7315</xdr:colOff>
          <xdr:row>372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374</xdr:row>
          <xdr:rowOff>0</xdr:rowOff>
        </xdr:from>
        <xdr:to>
          <xdr:col>2</xdr:col>
          <xdr:colOff>7315</xdr:colOff>
          <xdr:row>375</xdr:row>
          <xdr:rowOff>0</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377</xdr:row>
          <xdr:rowOff>0</xdr:rowOff>
        </xdr:from>
        <xdr:to>
          <xdr:col>2</xdr:col>
          <xdr:colOff>7315</xdr:colOff>
          <xdr:row>378</xdr:row>
          <xdr:rowOff>0</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380</xdr:row>
          <xdr:rowOff>0</xdr:rowOff>
        </xdr:from>
        <xdr:to>
          <xdr:col>2</xdr:col>
          <xdr:colOff>7315</xdr:colOff>
          <xdr:row>381</xdr:row>
          <xdr:rowOff>7315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386</xdr:row>
          <xdr:rowOff>0</xdr:rowOff>
        </xdr:from>
        <xdr:to>
          <xdr:col>2</xdr:col>
          <xdr:colOff>7315</xdr:colOff>
          <xdr:row>387</xdr:row>
          <xdr:rowOff>7315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389</xdr:row>
          <xdr:rowOff>0</xdr:rowOff>
        </xdr:from>
        <xdr:to>
          <xdr:col>2</xdr:col>
          <xdr:colOff>7315</xdr:colOff>
          <xdr:row>390</xdr:row>
          <xdr:rowOff>7315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392</xdr:row>
          <xdr:rowOff>0</xdr:rowOff>
        </xdr:from>
        <xdr:to>
          <xdr:col>2</xdr:col>
          <xdr:colOff>7315</xdr:colOff>
          <xdr:row>393</xdr:row>
          <xdr:rowOff>0</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163</xdr:row>
          <xdr:rowOff>0</xdr:rowOff>
        </xdr:from>
        <xdr:to>
          <xdr:col>2</xdr:col>
          <xdr:colOff>7315</xdr:colOff>
          <xdr:row>164</xdr:row>
          <xdr:rowOff>0</xdr:rowOff>
        </xdr:to>
        <xdr:sp macro="" textlink="">
          <xdr:nvSpPr>
            <xdr:cNvPr id="10509" name="Check Box 269" hidden="1">
              <a:extLst>
                <a:ext uri="{63B3BB69-23CF-44E3-9099-C40C66FF867C}">
                  <a14:compatExt spid="_x0000_s10509"/>
                </a:ext>
                <a:ext uri="{FF2B5EF4-FFF2-40B4-BE49-F238E27FC236}">
                  <a16:creationId xmlns:a16="http://schemas.microsoft.com/office/drawing/2014/main" id="{00000000-0008-0000-0300-00000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211</xdr:row>
          <xdr:rowOff>0</xdr:rowOff>
        </xdr:from>
        <xdr:to>
          <xdr:col>2</xdr:col>
          <xdr:colOff>7315</xdr:colOff>
          <xdr:row>212</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192</xdr:row>
          <xdr:rowOff>0</xdr:rowOff>
        </xdr:from>
        <xdr:to>
          <xdr:col>2</xdr:col>
          <xdr:colOff>7315</xdr:colOff>
          <xdr:row>193</xdr:row>
          <xdr:rowOff>0</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2</xdr:col>
          <xdr:colOff>7315</xdr:colOff>
          <xdr:row>118</xdr:row>
          <xdr:rowOff>0</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166</xdr:row>
          <xdr:rowOff>0</xdr:rowOff>
        </xdr:from>
        <xdr:to>
          <xdr:col>2</xdr:col>
          <xdr:colOff>7315</xdr:colOff>
          <xdr:row>167</xdr:row>
          <xdr:rowOff>0</xdr:rowOff>
        </xdr:to>
        <xdr:sp macro="" textlink="">
          <xdr:nvSpPr>
            <xdr:cNvPr id="10596" name="Check Box 356" hidden="1">
              <a:extLst>
                <a:ext uri="{63B3BB69-23CF-44E3-9099-C40C66FF867C}">
                  <a14:compatExt spid="_x0000_s10596"/>
                </a:ext>
                <a:ext uri="{FF2B5EF4-FFF2-40B4-BE49-F238E27FC236}">
                  <a16:creationId xmlns:a16="http://schemas.microsoft.com/office/drawing/2014/main" id="{00000000-0008-0000-0300-00006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161</xdr:row>
          <xdr:rowOff>0</xdr:rowOff>
        </xdr:from>
        <xdr:to>
          <xdr:col>2</xdr:col>
          <xdr:colOff>7315</xdr:colOff>
          <xdr:row>162</xdr:row>
          <xdr:rowOff>0</xdr:rowOff>
        </xdr:to>
        <xdr:sp macro="" textlink="">
          <xdr:nvSpPr>
            <xdr:cNvPr id="10607" name="Check Box 367" hidden="1">
              <a:extLst>
                <a:ext uri="{63B3BB69-23CF-44E3-9099-C40C66FF867C}">
                  <a14:compatExt spid="_x0000_s10607"/>
                </a:ext>
                <a:ext uri="{FF2B5EF4-FFF2-40B4-BE49-F238E27FC236}">
                  <a16:creationId xmlns:a16="http://schemas.microsoft.com/office/drawing/2014/main" id="{00000000-0008-0000-0300-00006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7315</xdr:colOff>
          <xdr:row>14</xdr:row>
          <xdr:rowOff>0</xdr:rowOff>
        </xdr:to>
        <xdr:sp macro="" textlink="">
          <xdr:nvSpPr>
            <xdr:cNvPr id="10609" name="Check Box 369" hidden="1">
              <a:extLst>
                <a:ext uri="{63B3BB69-23CF-44E3-9099-C40C66FF867C}">
                  <a14:compatExt spid="_x0000_s10609"/>
                </a:ext>
                <a:ext uri="{FF2B5EF4-FFF2-40B4-BE49-F238E27FC236}">
                  <a16:creationId xmlns:a16="http://schemas.microsoft.com/office/drawing/2014/main" id="{00000000-0008-0000-0300-00007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7315</xdr:colOff>
          <xdr:row>13</xdr:row>
          <xdr:rowOff>7315</xdr:rowOff>
        </xdr:to>
        <xdr:sp macro="" textlink="">
          <xdr:nvSpPr>
            <xdr:cNvPr id="10610" name="Check Box 370" hidden="1">
              <a:extLst>
                <a:ext uri="{63B3BB69-23CF-44E3-9099-C40C66FF867C}">
                  <a14:compatExt spid="_x0000_s10610"/>
                </a:ext>
                <a:ext uri="{FF2B5EF4-FFF2-40B4-BE49-F238E27FC236}">
                  <a16:creationId xmlns:a16="http://schemas.microsoft.com/office/drawing/2014/main" id="{00000000-0008-0000-0300-00007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7315</xdr:colOff>
          <xdr:row>17</xdr:row>
          <xdr:rowOff>0</xdr:rowOff>
        </xdr:to>
        <xdr:sp macro="" textlink="">
          <xdr:nvSpPr>
            <xdr:cNvPr id="10611" name="Check Box 371" hidden="1">
              <a:extLst>
                <a:ext uri="{63B3BB69-23CF-44E3-9099-C40C66FF867C}">
                  <a14:compatExt spid="_x0000_s10611"/>
                </a:ext>
                <a:ext uri="{FF2B5EF4-FFF2-40B4-BE49-F238E27FC236}">
                  <a16:creationId xmlns:a16="http://schemas.microsoft.com/office/drawing/2014/main" id="{00000000-0008-0000-0300-00007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373075</xdr:rowOff>
        </xdr:from>
        <xdr:to>
          <xdr:col>2</xdr:col>
          <xdr:colOff>7315</xdr:colOff>
          <xdr:row>17</xdr:row>
          <xdr:rowOff>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7315</xdr:colOff>
          <xdr:row>19</xdr:row>
          <xdr:rowOff>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4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7315</xdr:colOff>
          <xdr:row>23</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400-00000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7315</xdr:colOff>
          <xdr:row>25</xdr:row>
          <xdr:rowOff>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400-00000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7315</xdr:colOff>
          <xdr:row>30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400-00000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7315</xdr:colOff>
          <xdr:row>32</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400-00000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7315</xdr:colOff>
          <xdr:row>34</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400-00000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7315</xdr:colOff>
          <xdr:row>36</xdr:row>
          <xdr:rowOff>0</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400-00000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7315</xdr:colOff>
          <xdr:row>38</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400-00000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7315</xdr:colOff>
          <xdr:row>42</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4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7315</xdr:colOff>
          <xdr:row>44</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4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7315</xdr:colOff>
          <xdr:row>46</xdr:row>
          <xdr:rowOff>0</xdr:rowOff>
        </xdr:to>
        <xdr:sp macro="" textlink="">
          <xdr:nvSpPr>
            <xdr:cNvPr id="43021" name="Check Box 13" descr="3 Fahrstreifen" hidden="1">
              <a:extLst>
                <a:ext uri="{63B3BB69-23CF-44E3-9099-C40C66FF867C}">
                  <a14:compatExt spid="_x0000_s43021"/>
                </a:ext>
                <a:ext uri="{FF2B5EF4-FFF2-40B4-BE49-F238E27FC236}">
                  <a16:creationId xmlns:a16="http://schemas.microsoft.com/office/drawing/2014/main" id="{00000000-0008-0000-04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7315</xdr:colOff>
          <xdr:row>48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400-00000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7315</xdr:colOff>
          <xdr:row>50</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400-00000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7315</xdr:colOff>
          <xdr:row>52</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400-00001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7315</xdr:colOff>
          <xdr:row>54</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400-00001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7315</xdr:colOff>
          <xdr:row>63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400-00001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7315</xdr:colOff>
          <xdr:row>65</xdr:row>
          <xdr:rowOff>0</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400-00001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7315</xdr:colOff>
          <xdr:row>67</xdr:row>
          <xdr:rowOff>21946</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400-00001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7315</xdr:colOff>
          <xdr:row>69</xdr:row>
          <xdr:rowOff>0</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400-00001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7315</xdr:colOff>
          <xdr:row>71</xdr:row>
          <xdr:rowOff>0</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4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2</xdr:col>
          <xdr:colOff>7315</xdr:colOff>
          <xdr:row>73</xdr:row>
          <xdr:rowOff>0</xdr:rowOff>
        </xdr:to>
        <xdr:sp macro="" textlink="">
          <xdr:nvSpPr>
            <xdr:cNvPr id="43031" name="Check Box 23" descr="3 Fahrstreifen" hidden="1">
              <a:extLst>
                <a:ext uri="{63B3BB69-23CF-44E3-9099-C40C66FF867C}">
                  <a14:compatExt spid="_x0000_s43031"/>
                </a:ext>
                <a:ext uri="{FF2B5EF4-FFF2-40B4-BE49-F238E27FC236}">
                  <a16:creationId xmlns:a16="http://schemas.microsoft.com/office/drawing/2014/main" id="{00000000-0008-0000-04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2</xdr:col>
          <xdr:colOff>7315</xdr:colOff>
          <xdr:row>81</xdr:row>
          <xdr:rowOff>0</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4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2</xdr:col>
          <xdr:colOff>7315</xdr:colOff>
          <xdr:row>85</xdr:row>
          <xdr:rowOff>0</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400-00001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7315</xdr:colOff>
          <xdr:row>87</xdr:row>
          <xdr:rowOff>0</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4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7315</xdr:colOff>
          <xdr:row>89</xdr:row>
          <xdr:rowOff>0</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4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7315</xdr:colOff>
          <xdr:row>98</xdr:row>
          <xdr:rowOff>0</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400-00001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7315</xdr:colOff>
          <xdr:row>102</xdr:row>
          <xdr:rowOff>0</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400-00001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99</xdr:row>
          <xdr:rowOff>0</xdr:rowOff>
        </xdr:from>
        <xdr:to>
          <xdr:col>2</xdr:col>
          <xdr:colOff>7315</xdr:colOff>
          <xdr:row>100</xdr:row>
          <xdr:rowOff>0</xdr:rowOff>
        </xdr:to>
        <xdr:sp macro="" textlink="">
          <xdr:nvSpPr>
            <xdr:cNvPr id="43038" name="Check Box 30" descr="3 Fahrstreifen" hidden="1">
              <a:extLst>
                <a:ext uri="{63B3BB69-23CF-44E3-9099-C40C66FF867C}">
                  <a14:compatExt spid="_x0000_s43038"/>
                </a:ext>
                <a:ext uri="{FF2B5EF4-FFF2-40B4-BE49-F238E27FC236}">
                  <a16:creationId xmlns:a16="http://schemas.microsoft.com/office/drawing/2014/main" id="{00000000-0008-0000-0400-00001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7315</xdr:colOff>
          <xdr:row>104</xdr:row>
          <xdr:rowOff>0</xdr:rowOff>
        </xdr:to>
        <xdr:sp macro="" textlink="">
          <xdr:nvSpPr>
            <xdr:cNvPr id="43039" name="Check Box 31" descr="3 Fahrstreifen" hidden="1">
              <a:extLst>
                <a:ext uri="{63B3BB69-23CF-44E3-9099-C40C66FF867C}">
                  <a14:compatExt spid="_x0000_s43039"/>
                </a:ext>
                <a:ext uri="{FF2B5EF4-FFF2-40B4-BE49-F238E27FC236}">
                  <a16:creationId xmlns:a16="http://schemas.microsoft.com/office/drawing/2014/main" id="{00000000-0008-0000-0400-00001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7315</xdr:colOff>
          <xdr:row>106</xdr:row>
          <xdr:rowOff>7315</xdr:rowOff>
        </xdr:to>
        <xdr:sp macro="" textlink="">
          <xdr:nvSpPr>
            <xdr:cNvPr id="43040" name="Check Box 32" hidden="1">
              <a:extLst>
                <a:ext uri="{63B3BB69-23CF-44E3-9099-C40C66FF867C}">
                  <a14:compatExt spid="_x0000_s43040"/>
                </a:ext>
                <a:ext uri="{FF2B5EF4-FFF2-40B4-BE49-F238E27FC236}">
                  <a16:creationId xmlns:a16="http://schemas.microsoft.com/office/drawing/2014/main" id="{00000000-0008-0000-0400-00002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7315</xdr:colOff>
          <xdr:row>111</xdr:row>
          <xdr:rowOff>0</xdr:rowOff>
        </xdr:to>
        <xdr:sp macro="" textlink="">
          <xdr:nvSpPr>
            <xdr:cNvPr id="43041" name="Check Box 33" hidden="1">
              <a:extLst>
                <a:ext uri="{63B3BB69-23CF-44E3-9099-C40C66FF867C}">
                  <a14:compatExt spid="_x0000_s43041"/>
                </a:ext>
                <a:ext uri="{FF2B5EF4-FFF2-40B4-BE49-F238E27FC236}">
                  <a16:creationId xmlns:a16="http://schemas.microsoft.com/office/drawing/2014/main" id="{00000000-0008-0000-0400-00002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112</xdr:row>
          <xdr:rowOff>0</xdr:rowOff>
        </xdr:from>
        <xdr:to>
          <xdr:col>2</xdr:col>
          <xdr:colOff>7315</xdr:colOff>
          <xdr:row>113</xdr:row>
          <xdr:rowOff>0</xdr:rowOff>
        </xdr:to>
        <xdr:sp macro="" textlink="">
          <xdr:nvSpPr>
            <xdr:cNvPr id="43042" name="Check Box 34" hidden="1">
              <a:extLst>
                <a:ext uri="{63B3BB69-23CF-44E3-9099-C40C66FF867C}">
                  <a14:compatExt spid="_x0000_s43042"/>
                </a:ext>
                <a:ext uri="{FF2B5EF4-FFF2-40B4-BE49-F238E27FC236}">
                  <a16:creationId xmlns:a16="http://schemas.microsoft.com/office/drawing/2014/main" id="{00000000-0008-0000-0400-00002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114</xdr:row>
          <xdr:rowOff>0</xdr:rowOff>
        </xdr:from>
        <xdr:to>
          <xdr:col>2</xdr:col>
          <xdr:colOff>7315</xdr:colOff>
          <xdr:row>115</xdr:row>
          <xdr:rowOff>0</xdr:rowOff>
        </xdr:to>
        <xdr:sp macro="" textlink="">
          <xdr:nvSpPr>
            <xdr:cNvPr id="43043" name="Check Box 35" hidden="1">
              <a:extLst>
                <a:ext uri="{63B3BB69-23CF-44E3-9099-C40C66FF867C}">
                  <a14:compatExt spid="_x0000_s43043"/>
                </a:ext>
                <a:ext uri="{FF2B5EF4-FFF2-40B4-BE49-F238E27FC236}">
                  <a16:creationId xmlns:a16="http://schemas.microsoft.com/office/drawing/2014/main" id="{00000000-0008-0000-0400-00002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116</xdr:row>
          <xdr:rowOff>0</xdr:rowOff>
        </xdr:from>
        <xdr:to>
          <xdr:col>2</xdr:col>
          <xdr:colOff>7315</xdr:colOff>
          <xdr:row>117</xdr:row>
          <xdr:rowOff>0</xdr:rowOff>
        </xdr:to>
        <xdr:sp macro="" textlink="">
          <xdr:nvSpPr>
            <xdr:cNvPr id="43044" name="Check Box 36" hidden="1">
              <a:extLst>
                <a:ext uri="{63B3BB69-23CF-44E3-9099-C40C66FF867C}">
                  <a14:compatExt spid="_x0000_s43044"/>
                </a:ext>
                <a:ext uri="{FF2B5EF4-FFF2-40B4-BE49-F238E27FC236}">
                  <a16:creationId xmlns:a16="http://schemas.microsoft.com/office/drawing/2014/main" id="{00000000-0008-0000-0400-00002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2</xdr:col>
          <xdr:colOff>7315</xdr:colOff>
          <xdr:row>122</xdr:row>
          <xdr:rowOff>0</xdr:rowOff>
        </xdr:to>
        <xdr:sp macro="" textlink="">
          <xdr:nvSpPr>
            <xdr:cNvPr id="43045" name="Check Box 37" hidden="1">
              <a:extLst>
                <a:ext uri="{63B3BB69-23CF-44E3-9099-C40C66FF867C}">
                  <a14:compatExt spid="_x0000_s43045"/>
                </a:ext>
                <a:ext uri="{FF2B5EF4-FFF2-40B4-BE49-F238E27FC236}">
                  <a16:creationId xmlns:a16="http://schemas.microsoft.com/office/drawing/2014/main" id="{00000000-0008-0000-0400-00002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123</xdr:row>
          <xdr:rowOff>0</xdr:rowOff>
        </xdr:from>
        <xdr:to>
          <xdr:col>2</xdr:col>
          <xdr:colOff>7315</xdr:colOff>
          <xdr:row>124</xdr:row>
          <xdr:rowOff>0</xdr:rowOff>
        </xdr:to>
        <xdr:sp macro="" textlink="">
          <xdr:nvSpPr>
            <xdr:cNvPr id="43046" name="Check Box 38" hidden="1">
              <a:extLst>
                <a:ext uri="{63B3BB69-23CF-44E3-9099-C40C66FF867C}">
                  <a14:compatExt spid="_x0000_s43046"/>
                </a:ext>
                <a:ext uri="{FF2B5EF4-FFF2-40B4-BE49-F238E27FC236}">
                  <a16:creationId xmlns:a16="http://schemas.microsoft.com/office/drawing/2014/main" id="{00000000-0008-0000-0400-00002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125</xdr:row>
          <xdr:rowOff>0</xdr:rowOff>
        </xdr:from>
        <xdr:to>
          <xdr:col>2</xdr:col>
          <xdr:colOff>7315</xdr:colOff>
          <xdr:row>126</xdr:row>
          <xdr:rowOff>0</xdr:rowOff>
        </xdr:to>
        <xdr:sp macro="" textlink="">
          <xdr:nvSpPr>
            <xdr:cNvPr id="43047" name="Check Box 39" descr="3 Fahrstreifen" hidden="1">
              <a:extLst>
                <a:ext uri="{63B3BB69-23CF-44E3-9099-C40C66FF867C}">
                  <a14:compatExt spid="_x0000_s43047"/>
                </a:ext>
                <a:ext uri="{FF2B5EF4-FFF2-40B4-BE49-F238E27FC236}">
                  <a16:creationId xmlns:a16="http://schemas.microsoft.com/office/drawing/2014/main" id="{00000000-0008-0000-0400-00002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127</xdr:row>
          <xdr:rowOff>0</xdr:rowOff>
        </xdr:from>
        <xdr:to>
          <xdr:col>2</xdr:col>
          <xdr:colOff>7315</xdr:colOff>
          <xdr:row>128</xdr:row>
          <xdr:rowOff>0</xdr:rowOff>
        </xdr:to>
        <xdr:sp macro="" textlink="">
          <xdr:nvSpPr>
            <xdr:cNvPr id="43048" name="Check Box 40" hidden="1">
              <a:extLst>
                <a:ext uri="{63B3BB69-23CF-44E3-9099-C40C66FF867C}">
                  <a14:compatExt spid="_x0000_s43048"/>
                </a:ext>
                <a:ext uri="{FF2B5EF4-FFF2-40B4-BE49-F238E27FC236}">
                  <a16:creationId xmlns:a16="http://schemas.microsoft.com/office/drawing/2014/main" id="{00000000-0008-0000-0400-00002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129</xdr:row>
          <xdr:rowOff>0</xdr:rowOff>
        </xdr:from>
        <xdr:to>
          <xdr:col>2</xdr:col>
          <xdr:colOff>7315</xdr:colOff>
          <xdr:row>130</xdr:row>
          <xdr:rowOff>0</xdr:rowOff>
        </xdr:to>
        <xdr:sp macro="" textlink="">
          <xdr:nvSpPr>
            <xdr:cNvPr id="43049" name="Check Box 41" descr="3 Fahrstreifen" hidden="1">
              <a:extLst>
                <a:ext uri="{63B3BB69-23CF-44E3-9099-C40C66FF867C}">
                  <a14:compatExt spid="_x0000_s43049"/>
                </a:ext>
                <a:ext uri="{FF2B5EF4-FFF2-40B4-BE49-F238E27FC236}">
                  <a16:creationId xmlns:a16="http://schemas.microsoft.com/office/drawing/2014/main" id="{00000000-0008-0000-0400-00002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131</xdr:row>
          <xdr:rowOff>0</xdr:rowOff>
        </xdr:from>
        <xdr:to>
          <xdr:col>2</xdr:col>
          <xdr:colOff>7315</xdr:colOff>
          <xdr:row>132</xdr:row>
          <xdr:rowOff>0</xdr:rowOff>
        </xdr:to>
        <xdr:sp macro="" textlink="">
          <xdr:nvSpPr>
            <xdr:cNvPr id="43050" name="Check Box 42" hidden="1">
              <a:extLst>
                <a:ext uri="{63B3BB69-23CF-44E3-9099-C40C66FF867C}">
                  <a14:compatExt spid="_x0000_s43050"/>
                </a:ext>
                <a:ext uri="{FF2B5EF4-FFF2-40B4-BE49-F238E27FC236}">
                  <a16:creationId xmlns:a16="http://schemas.microsoft.com/office/drawing/2014/main" id="{00000000-0008-0000-0400-00002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133</xdr:row>
          <xdr:rowOff>0</xdr:rowOff>
        </xdr:from>
        <xdr:to>
          <xdr:col>2</xdr:col>
          <xdr:colOff>7315</xdr:colOff>
          <xdr:row>134</xdr:row>
          <xdr:rowOff>0</xdr:rowOff>
        </xdr:to>
        <xdr:sp macro="" textlink="">
          <xdr:nvSpPr>
            <xdr:cNvPr id="43051" name="Check Box 43" hidden="1">
              <a:extLst>
                <a:ext uri="{63B3BB69-23CF-44E3-9099-C40C66FF867C}">
                  <a14:compatExt spid="_x0000_s43051"/>
                </a:ext>
                <a:ext uri="{FF2B5EF4-FFF2-40B4-BE49-F238E27FC236}">
                  <a16:creationId xmlns:a16="http://schemas.microsoft.com/office/drawing/2014/main" id="{00000000-0008-0000-0400-00002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139</xdr:row>
          <xdr:rowOff>0</xdr:rowOff>
        </xdr:from>
        <xdr:to>
          <xdr:col>2</xdr:col>
          <xdr:colOff>7315</xdr:colOff>
          <xdr:row>140</xdr:row>
          <xdr:rowOff>0</xdr:rowOff>
        </xdr:to>
        <xdr:sp macro="" textlink="">
          <xdr:nvSpPr>
            <xdr:cNvPr id="43052" name="Check Box 44" hidden="1">
              <a:extLst>
                <a:ext uri="{63B3BB69-23CF-44E3-9099-C40C66FF867C}">
                  <a14:compatExt spid="_x0000_s43052"/>
                </a:ext>
                <a:ext uri="{FF2B5EF4-FFF2-40B4-BE49-F238E27FC236}">
                  <a16:creationId xmlns:a16="http://schemas.microsoft.com/office/drawing/2014/main" id="{00000000-0008-0000-0400-00002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142</xdr:row>
          <xdr:rowOff>0</xdr:rowOff>
        </xdr:from>
        <xdr:to>
          <xdr:col>2</xdr:col>
          <xdr:colOff>7315</xdr:colOff>
          <xdr:row>143</xdr:row>
          <xdr:rowOff>0</xdr:rowOff>
        </xdr:to>
        <xdr:sp macro="" textlink="">
          <xdr:nvSpPr>
            <xdr:cNvPr id="43053" name="Check Box 45" hidden="1">
              <a:extLst>
                <a:ext uri="{63B3BB69-23CF-44E3-9099-C40C66FF867C}">
                  <a14:compatExt spid="_x0000_s43053"/>
                </a:ext>
                <a:ext uri="{FF2B5EF4-FFF2-40B4-BE49-F238E27FC236}">
                  <a16:creationId xmlns:a16="http://schemas.microsoft.com/office/drawing/2014/main" id="{00000000-0008-0000-0400-00002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145</xdr:row>
          <xdr:rowOff>0</xdr:rowOff>
        </xdr:from>
        <xdr:to>
          <xdr:col>2</xdr:col>
          <xdr:colOff>7315</xdr:colOff>
          <xdr:row>146</xdr:row>
          <xdr:rowOff>0</xdr:rowOff>
        </xdr:to>
        <xdr:sp macro="" textlink="">
          <xdr:nvSpPr>
            <xdr:cNvPr id="43054" name="Check Box 46" hidden="1">
              <a:extLst>
                <a:ext uri="{63B3BB69-23CF-44E3-9099-C40C66FF867C}">
                  <a14:compatExt spid="_x0000_s43054"/>
                </a:ext>
                <a:ext uri="{FF2B5EF4-FFF2-40B4-BE49-F238E27FC236}">
                  <a16:creationId xmlns:a16="http://schemas.microsoft.com/office/drawing/2014/main" id="{00000000-0008-0000-0400-00002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147</xdr:row>
          <xdr:rowOff>0</xdr:rowOff>
        </xdr:from>
        <xdr:to>
          <xdr:col>2</xdr:col>
          <xdr:colOff>7315</xdr:colOff>
          <xdr:row>148</xdr:row>
          <xdr:rowOff>0</xdr:rowOff>
        </xdr:to>
        <xdr:sp macro="" textlink="">
          <xdr:nvSpPr>
            <xdr:cNvPr id="43055" name="Check Box 47" hidden="1">
              <a:extLst>
                <a:ext uri="{63B3BB69-23CF-44E3-9099-C40C66FF867C}">
                  <a14:compatExt spid="_x0000_s43055"/>
                </a:ext>
                <a:ext uri="{FF2B5EF4-FFF2-40B4-BE49-F238E27FC236}">
                  <a16:creationId xmlns:a16="http://schemas.microsoft.com/office/drawing/2014/main" id="{00000000-0008-0000-0400-00002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150</xdr:row>
          <xdr:rowOff>0</xdr:rowOff>
        </xdr:from>
        <xdr:to>
          <xdr:col>2</xdr:col>
          <xdr:colOff>7315</xdr:colOff>
          <xdr:row>151</xdr:row>
          <xdr:rowOff>0</xdr:rowOff>
        </xdr:to>
        <xdr:sp macro="" textlink="">
          <xdr:nvSpPr>
            <xdr:cNvPr id="43056" name="Check Box 48" hidden="1">
              <a:extLst>
                <a:ext uri="{63B3BB69-23CF-44E3-9099-C40C66FF867C}">
                  <a14:compatExt spid="_x0000_s43056"/>
                </a:ext>
                <a:ext uri="{FF2B5EF4-FFF2-40B4-BE49-F238E27FC236}">
                  <a16:creationId xmlns:a16="http://schemas.microsoft.com/office/drawing/2014/main" id="{00000000-0008-0000-0400-00003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152</xdr:row>
          <xdr:rowOff>0</xdr:rowOff>
        </xdr:from>
        <xdr:to>
          <xdr:col>2</xdr:col>
          <xdr:colOff>7315</xdr:colOff>
          <xdr:row>153</xdr:row>
          <xdr:rowOff>0</xdr:rowOff>
        </xdr:to>
        <xdr:sp macro="" textlink="">
          <xdr:nvSpPr>
            <xdr:cNvPr id="43057" name="Check Box 49" hidden="1">
              <a:extLst>
                <a:ext uri="{63B3BB69-23CF-44E3-9099-C40C66FF867C}">
                  <a14:compatExt spid="_x0000_s43057"/>
                </a:ext>
                <a:ext uri="{FF2B5EF4-FFF2-40B4-BE49-F238E27FC236}">
                  <a16:creationId xmlns:a16="http://schemas.microsoft.com/office/drawing/2014/main" id="{00000000-0008-0000-0400-00003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155</xdr:row>
          <xdr:rowOff>0</xdr:rowOff>
        </xdr:from>
        <xdr:to>
          <xdr:col>2</xdr:col>
          <xdr:colOff>7315</xdr:colOff>
          <xdr:row>156</xdr:row>
          <xdr:rowOff>7315</xdr:rowOff>
        </xdr:to>
        <xdr:sp macro="" textlink="">
          <xdr:nvSpPr>
            <xdr:cNvPr id="43058" name="Check Box 50" hidden="1">
              <a:extLst>
                <a:ext uri="{63B3BB69-23CF-44E3-9099-C40C66FF867C}">
                  <a14:compatExt spid="_x0000_s43058"/>
                </a:ext>
                <a:ext uri="{FF2B5EF4-FFF2-40B4-BE49-F238E27FC236}">
                  <a16:creationId xmlns:a16="http://schemas.microsoft.com/office/drawing/2014/main" id="{00000000-0008-0000-0400-00003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157</xdr:row>
          <xdr:rowOff>0</xdr:rowOff>
        </xdr:from>
        <xdr:to>
          <xdr:col>2</xdr:col>
          <xdr:colOff>7315</xdr:colOff>
          <xdr:row>158</xdr:row>
          <xdr:rowOff>0</xdr:rowOff>
        </xdr:to>
        <xdr:sp macro="" textlink="">
          <xdr:nvSpPr>
            <xdr:cNvPr id="43059" name="Check Box 51" hidden="1">
              <a:extLst>
                <a:ext uri="{63B3BB69-23CF-44E3-9099-C40C66FF867C}">
                  <a14:compatExt spid="_x0000_s43059"/>
                </a:ext>
                <a:ext uri="{FF2B5EF4-FFF2-40B4-BE49-F238E27FC236}">
                  <a16:creationId xmlns:a16="http://schemas.microsoft.com/office/drawing/2014/main" id="{00000000-0008-0000-0400-00003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162</xdr:row>
          <xdr:rowOff>0</xdr:rowOff>
        </xdr:from>
        <xdr:to>
          <xdr:col>2</xdr:col>
          <xdr:colOff>7315</xdr:colOff>
          <xdr:row>163</xdr:row>
          <xdr:rowOff>7315</xdr:rowOff>
        </xdr:to>
        <xdr:sp macro="" textlink="">
          <xdr:nvSpPr>
            <xdr:cNvPr id="43060" name="Check Box 52" hidden="1">
              <a:extLst>
                <a:ext uri="{63B3BB69-23CF-44E3-9099-C40C66FF867C}">
                  <a14:compatExt spid="_x0000_s43060"/>
                </a:ext>
                <a:ext uri="{FF2B5EF4-FFF2-40B4-BE49-F238E27FC236}">
                  <a16:creationId xmlns:a16="http://schemas.microsoft.com/office/drawing/2014/main" id="{00000000-0008-0000-0400-00003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164</xdr:row>
          <xdr:rowOff>0</xdr:rowOff>
        </xdr:from>
        <xdr:to>
          <xdr:col>2</xdr:col>
          <xdr:colOff>7315</xdr:colOff>
          <xdr:row>165</xdr:row>
          <xdr:rowOff>0</xdr:rowOff>
        </xdr:to>
        <xdr:sp macro="" textlink="">
          <xdr:nvSpPr>
            <xdr:cNvPr id="43061" name="Check Box 53" hidden="1">
              <a:extLst>
                <a:ext uri="{63B3BB69-23CF-44E3-9099-C40C66FF867C}">
                  <a14:compatExt spid="_x0000_s43061"/>
                </a:ext>
                <a:ext uri="{FF2B5EF4-FFF2-40B4-BE49-F238E27FC236}">
                  <a16:creationId xmlns:a16="http://schemas.microsoft.com/office/drawing/2014/main" id="{00000000-0008-0000-0400-00003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166</xdr:row>
          <xdr:rowOff>0</xdr:rowOff>
        </xdr:from>
        <xdr:to>
          <xdr:col>2</xdr:col>
          <xdr:colOff>7315</xdr:colOff>
          <xdr:row>167</xdr:row>
          <xdr:rowOff>0</xdr:rowOff>
        </xdr:to>
        <xdr:sp macro="" textlink="">
          <xdr:nvSpPr>
            <xdr:cNvPr id="43062" name="Check Box 54" hidden="1">
              <a:extLst>
                <a:ext uri="{63B3BB69-23CF-44E3-9099-C40C66FF867C}">
                  <a14:compatExt spid="_x0000_s43062"/>
                </a:ext>
                <a:ext uri="{FF2B5EF4-FFF2-40B4-BE49-F238E27FC236}">
                  <a16:creationId xmlns:a16="http://schemas.microsoft.com/office/drawing/2014/main" id="{00000000-0008-0000-0400-00003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168</xdr:row>
          <xdr:rowOff>0</xdr:rowOff>
        </xdr:from>
        <xdr:to>
          <xdr:col>2</xdr:col>
          <xdr:colOff>7315</xdr:colOff>
          <xdr:row>169</xdr:row>
          <xdr:rowOff>0</xdr:rowOff>
        </xdr:to>
        <xdr:sp macro="" textlink="">
          <xdr:nvSpPr>
            <xdr:cNvPr id="43063" name="Check Box 55" hidden="1">
              <a:extLst>
                <a:ext uri="{63B3BB69-23CF-44E3-9099-C40C66FF867C}">
                  <a14:compatExt spid="_x0000_s43063"/>
                </a:ext>
                <a:ext uri="{FF2B5EF4-FFF2-40B4-BE49-F238E27FC236}">
                  <a16:creationId xmlns:a16="http://schemas.microsoft.com/office/drawing/2014/main" id="{00000000-0008-0000-0400-00003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7315</xdr:colOff>
          <xdr:row>171</xdr:row>
          <xdr:rowOff>7315</xdr:rowOff>
        </xdr:to>
        <xdr:sp macro="" textlink="">
          <xdr:nvSpPr>
            <xdr:cNvPr id="43064" name="Check Box 56" hidden="1">
              <a:extLst>
                <a:ext uri="{63B3BB69-23CF-44E3-9099-C40C66FF867C}">
                  <a14:compatExt spid="_x0000_s43064"/>
                </a:ext>
                <a:ext uri="{FF2B5EF4-FFF2-40B4-BE49-F238E27FC236}">
                  <a16:creationId xmlns:a16="http://schemas.microsoft.com/office/drawing/2014/main" id="{00000000-0008-0000-0400-00003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173</xdr:row>
          <xdr:rowOff>0</xdr:rowOff>
        </xdr:from>
        <xdr:to>
          <xdr:col>2</xdr:col>
          <xdr:colOff>7315</xdr:colOff>
          <xdr:row>174</xdr:row>
          <xdr:rowOff>0</xdr:rowOff>
        </xdr:to>
        <xdr:sp macro="" textlink="">
          <xdr:nvSpPr>
            <xdr:cNvPr id="43065" name="Check Box 57" hidden="1">
              <a:extLst>
                <a:ext uri="{63B3BB69-23CF-44E3-9099-C40C66FF867C}">
                  <a14:compatExt spid="_x0000_s43065"/>
                </a:ext>
                <a:ext uri="{FF2B5EF4-FFF2-40B4-BE49-F238E27FC236}">
                  <a16:creationId xmlns:a16="http://schemas.microsoft.com/office/drawing/2014/main" id="{00000000-0008-0000-0400-00003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7315</xdr:colOff>
          <xdr:row>177</xdr:row>
          <xdr:rowOff>0</xdr:rowOff>
        </xdr:to>
        <xdr:sp macro="" textlink="">
          <xdr:nvSpPr>
            <xdr:cNvPr id="43066" name="Check Box 58" hidden="1">
              <a:extLst>
                <a:ext uri="{63B3BB69-23CF-44E3-9099-C40C66FF867C}">
                  <a14:compatExt spid="_x0000_s43066"/>
                </a:ext>
                <a:ext uri="{FF2B5EF4-FFF2-40B4-BE49-F238E27FC236}">
                  <a16:creationId xmlns:a16="http://schemas.microsoft.com/office/drawing/2014/main" id="{00000000-0008-0000-0400-00003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178</xdr:row>
          <xdr:rowOff>0</xdr:rowOff>
        </xdr:from>
        <xdr:to>
          <xdr:col>2</xdr:col>
          <xdr:colOff>7315</xdr:colOff>
          <xdr:row>179</xdr:row>
          <xdr:rowOff>0</xdr:rowOff>
        </xdr:to>
        <xdr:sp macro="" textlink="">
          <xdr:nvSpPr>
            <xdr:cNvPr id="43067" name="Check Box 59" hidden="1">
              <a:extLst>
                <a:ext uri="{63B3BB69-23CF-44E3-9099-C40C66FF867C}">
                  <a14:compatExt spid="_x0000_s43067"/>
                </a:ext>
                <a:ext uri="{FF2B5EF4-FFF2-40B4-BE49-F238E27FC236}">
                  <a16:creationId xmlns:a16="http://schemas.microsoft.com/office/drawing/2014/main" id="{00000000-0008-0000-0400-00003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181</xdr:row>
          <xdr:rowOff>0</xdr:rowOff>
        </xdr:from>
        <xdr:to>
          <xdr:col>2</xdr:col>
          <xdr:colOff>7315</xdr:colOff>
          <xdr:row>182</xdr:row>
          <xdr:rowOff>0</xdr:rowOff>
        </xdr:to>
        <xdr:sp macro="" textlink="">
          <xdr:nvSpPr>
            <xdr:cNvPr id="43068" name="Check Box 60" hidden="1">
              <a:extLst>
                <a:ext uri="{63B3BB69-23CF-44E3-9099-C40C66FF867C}">
                  <a14:compatExt spid="_x0000_s43068"/>
                </a:ext>
                <a:ext uri="{FF2B5EF4-FFF2-40B4-BE49-F238E27FC236}">
                  <a16:creationId xmlns:a16="http://schemas.microsoft.com/office/drawing/2014/main" id="{00000000-0008-0000-0400-00003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183</xdr:row>
          <xdr:rowOff>0</xdr:rowOff>
        </xdr:from>
        <xdr:to>
          <xdr:col>2</xdr:col>
          <xdr:colOff>7315</xdr:colOff>
          <xdr:row>184</xdr:row>
          <xdr:rowOff>7315</xdr:rowOff>
        </xdr:to>
        <xdr:sp macro="" textlink="">
          <xdr:nvSpPr>
            <xdr:cNvPr id="43069" name="Check Box 61" hidden="1">
              <a:extLst>
                <a:ext uri="{63B3BB69-23CF-44E3-9099-C40C66FF867C}">
                  <a14:compatExt spid="_x0000_s43069"/>
                </a:ext>
                <a:ext uri="{FF2B5EF4-FFF2-40B4-BE49-F238E27FC236}">
                  <a16:creationId xmlns:a16="http://schemas.microsoft.com/office/drawing/2014/main" id="{00000000-0008-0000-0400-00003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0</xdr:rowOff>
        </xdr:from>
        <xdr:to>
          <xdr:col>2</xdr:col>
          <xdr:colOff>7315</xdr:colOff>
          <xdr:row>189</xdr:row>
          <xdr:rowOff>7315</xdr:rowOff>
        </xdr:to>
        <xdr:sp macro="" textlink="">
          <xdr:nvSpPr>
            <xdr:cNvPr id="43070" name="Check Box 62" hidden="1">
              <a:extLst>
                <a:ext uri="{63B3BB69-23CF-44E3-9099-C40C66FF867C}">
                  <a14:compatExt spid="_x0000_s43070"/>
                </a:ext>
                <a:ext uri="{FF2B5EF4-FFF2-40B4-BE49-F238E27FC236}">
                  <a16:creationId xmlns:a16="http://schemas.microsoft.com/office/drawing/2014/main" id="{00000000-0008-0000-0400-00003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190</xdr:row>
          <xdr:rowOff>0</xdr:rowOff>
        </xdr:from>
        <xdr:to>
          <xdr:col>2</xdr:col>
          <xdr:colOff>7315</xdr:colOff>
          <xdr:row>191</xdr:row>
          <xdr:rowOff>7315</xdr:rowOff>
        </xdr:to>
        <xdr:sp macro="" textlink="">
          <xdr:nvSpPr>
            <xdr:cNvPr id="43071" name="Check Box 63" hidden="1">
              <a:extLst>
                <a:ext uri="{63B3BB69-23CF-44E3-9099-C40C66FF867C}">
                  <a14:compatExt spid="_x0000_s43071"/>
                </a:ext>
                <a:ext uri="{FF2B5EF4-FFF2-40B4-BE49-F238E27FC236}">
                  <a16:creationId xmlns:a16="http://schemas.microsoft.com/office/drawing/2014/main" id="{00000000-0008-0000-0400-00003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192</xdr:row>
          <xdr:rowOff>0</xdr:rowOff>
        </xdr:from>
        <xdr:to>
          <xdr:col>2</xdr:col>
          <xdr:colOff>7315</xdr:colOff>
          <xdr:row>193</xdr:row>
          <xdr:rowOff>0</xdr:rowOff>
        </xdr:to>
        <xdr:sp macro="" textlink="">
          <xdr:nvSpPr>
            <xdr:cNvPr id="43072" name="Check Box 64" hidden="1">
              <a:extLst>
                <a:ext uri="{63B3BB69-23CF-44E3-9099-C40C66FF867C}">
                  <a14:compatExt spid="_x0000_s43072"/>
                </a:ext>
                <a:ext uri="{FF2B5EF4-FFF2-40B4-BE49-F238E27FC236}">
                  <a16:creationId xmlns:a16="http://schemas.microsoft.com/office/drawing/2014/main" id="{00000000-0008-0000-0400-00004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2</xdr:col>
          <xdr:colOff>7315</xdr:colOff>
          <xdr:row>77</xdr:row>
          <xdr:rowOff>0</xdr:rowOff>
        </xdr:to>
        <xdr:sp macro="" textlink="">
          <xdr:nvSpPr>
            <xdr:cNvPr id="43073" name="Check Box 65" hidden="1">
              <a:extLst>
                <a:ext uri="{63B3BB69-23CF-44E3-9099-C40C66FF867C}">
                  <a14:compatExt spid="_x0000_s43073"/>
                </a:ext>
                <a:ext uri="{FF2B5EF4-FFF2-40B4-BE49-F238E27FC236}">
                  <a16:creationId xmlns:a16="http://schemas.microsoft.com/office/drawing/2014/main" id="{00000000-0008-0000-0400-00004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2</xdr:col>
          <xdr:colOff>7315</xdr:colOff>
          <xdr:row>96</xdr:row>
          <xdr:rowOff>0</xdr:rowOff>
        </xdr:to>
        <xdr:sp macro="" textlink="">
          <xdr:nvSpPr>
            <xdr:cNvPr id="43074" name="Check Box 66" hidden="1">
              <a:extLst>
                <a:ext uri="{63B3BB69-23CF-44E3-9099-C40C66FF867C}">
                  <a14:compatExt spid="_x0000_s43074"/>
                </a:ext>
                <a:ext uri="{FF2B5EF4-FFF2-40B4-BE49-F238E27FC236}">
                  <a16:creationId xmlns:a16="http://schemas.microsoft.com/office/drawing/2014/main" id="{00000000-0008-0000-0400-00004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82</xdr:row>
          <xdr:rowOff>0</xdr:rowOff>
        </xdr:from>
        <xdr:to>
          <xdr:col>2</xdr:col>
          <xdr:colOff>7315</xdr:colOff>
          <xdr:row>83</xdr:row>
          <xdr:rowOff>0</xdr:rowOff>
        </xdr:to>
        <xdr:sp macro="" textlink="">
          <xdr:nvSpPr>
            <xdr:cNvPr id="43075" name="Check Box 67" hidden="1">
              <a:extLst>
                <a:ext uri="{63B3BB69-23CF-44E3-9099-C40C66FF867C}">
                  <a14:compatExt spid="_x0000_s43075"/>
                </a:ext>
                <a:ext uri="{FF2B5EF4-FFF2-40B4-BE49-F238E27FC236}">
                  <a16:creationId xmlns:a16="http://schemas.microsoft.com/office/drawing/2014/main" id="{00000000-0008-0000-0400-00004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7315</xdr:colOff>
          <xdr:row>61</xdr:row>
          <xdr:rowOff>0</xdr:rowOff>
        </xdr:to>
        <xdr:sp macro="" textlink="">
          <xdr:nvSpPr>
            <xdr:cNvPr id="43076" name="Check Box 68" hidden="1">
              <a:extLst>
                <a:ext uri="{63B3BB69-23CF-44E3-9099-C40C66FF867C}">
                  <a14:compatExt spid="_x0000_s43076"/>
                </a:ext>
                <a:ext uri="{FF2B5EF4-FFF2-40B4-BE49-F238E27FC236}">
                  <a16:creationId xmlns:a16="http://schemas.microsoft.com/office/drawing/2014/main" id="{00000000-0008-0000-0400-00004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2</xdr:col>
          <xdr:colOff>7315</xdr:colOff>
          <xdr:row>79</xdr:row>
          <xdr:rowOff>0</xdr:rowOff>
        </xdr:to>
        <xdr:sp macro="" textlink="">
          <xdr:nvSpPr>
            <xdr:cNvPr id="43077" name="Check Box 69" hidden="1">
              <a:extLst>
                <a:ext uri="{63B3BB69-23CF-44E3-9099-C40C66FF867C}">
                  <a14:compatExt spid="_x0000_s43077"/>
                </a:ext>
                <a:ext uri="{FF2B5EF4-FFF2-40B4-BE49-F238E27FC236}">
                  <a16:creationId xmlns:a16="http://schemas.microsoft.com/office/drawing/2014/main" id="{00000000-0008-0000-0400-00004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7315</xdr:colOff>
          <xdr:row>75</xdr:row>
          <xdr:rowOff>0</xdr:rowOff>
        </xdr:to>
        <xdr:sp macro="" textlink="">
          <xdr:nvSpPr>
            <xdr:cNvPr id="43078" name="Check Box 70" hidden="1">
              <a:extLst>
                <a:ext uri="{63B3BB69-23CF-44E3-9099-C40C66FF867C}">
                  <a14:compatExt spid="_x0000_s43078"/>
                </a:ext>
                <a:ext uri="{FF2B5EF4-FFF2-40B4-BE49-F238E27FC236}">
                  <a16:creationId xmlns:a16="http://schemas.microsoft.com/office/drawing/2014/main" id="{00000000-0008-0000-0400-00004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7315</xdr:colOff>
          <xdr:row>14</xdr:row>
          <xdr:rowOff>0</xdr:rowOff>
        </xdr:to>
        <xdr:sp macro="" textlink="">
          <xdr:nvSpPr>
            <xdr:cNvPr id="43079" name="Check Box 71" hidden="1">
              <a:extLst>
                <a:ext uri="{63B3BB69-23CF-44E3-9099-C40C66FF867C}">
                  <a14:compatExt spid="_x0000_s43079"/>
                </a:ext>
                <a:ext uri="{FF2B5EF4-FFF2-40B4-BE49-F238E27FC236}">
                  <a16:creationId xmlns:a16="http://schemas.microsoft.com/office/drawing/2014/main" id="{00000000-0008-0000-0400-00004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7315</xdr:colOff>
          <xdr:row>13</xdr:row>
          <xdr:rowOff>7315</xdr:rowOff>
        </xdr:to>
        <xdr:sp macro="" textlink="">
          <xdr:nvSpPr>
            <xdr:cNvPr id="43080" name="Check Box 72" hidden="1">
              <a:extLst>
                <a:ext uri="{63B3BB69-23CF-44E3-9099-C40C66FF867C}">
                  <a14:compatExt spid="_x0000_s43080"/>
                </a:ext>
                <a:ext uri="{FF2B5EF4-FFF2-40B4-BE49-F238E27FC236}">
                  <a16:creationId xmlns:a16="http://schemas.microsoft.com/office/drawing/2014/main" id="{00000000-0008-0000-0400-00004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162</xdr:row>
          <xdr:rowOff>0</xdr:rowOff>
        </xdr:from>
        <xdr:to>
          <xdr:col>2</xdr:col>
          <xdr:colOff>7315</xdr:colOff>
          <xdr:row>163</xdr:row>
          <xdr:rowOff>7315</xdr:rowOff>
        </xdr:to>
        <xdr:sp macro="" textlink="">
          <xdr:nvSpPr>
            <xdr:cNvPr id="43083" name="Check Box 75" hidden="1">
              <a:extLst>
                <a:ext uri="{63B3BB69-23CF-44E3-9099-C40C66FF867C}">
                  <a14:compatExt spid="_x0000_s43083"/>
                </a:ext>
                <a:ext uri="{FF2B5EF4-FFF2-40B4-BE49-F238E27FC236}">
                  <a16:creationId xmlns:a16="http://schemas.microsoft.com/office/drawing/2014/main" id="{00000000-0008-0000-0400-00004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7315</xdr:colOff>
          <xdr:row>171</xdr:row>
          <xdr:rowOff>7315</xdr:rowOff>
        </xdr:to>
        <xdr:sp macro="" textlink="">
          <xdr:nvSpPr>
            <xdr:cNvPr id="43084" name="Check Box 76" hidden="1">
              <a:extLst>
                <a:ext uri="{63B3BB69-23CF-44E3-9099-C40C66FF867C}">
                  <a14:compatExt spid="_x0000_s43084"/>
                </a:ext>
                <a:ext uri="{FF2B5EF4-FFF2-40B4-BE49-F238E27FC236}">
                  <a16:creationId xmlns:a16="http://schemas.microsoft.com/office/drawing/2014/main" id="{00000000-0008-0000-0400-00004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7315</xdr:colOff>
          <xdr:row>171</xdr:row>
          <xdr:rowOff>7315</xdr:rowOff>
        </xdr:to>
        <xdr:sp macro="" textlink="">
          <xdr:nvSpPr>
            <xdr:cNvPr id="43085" name="Check Box 77" hidden="1">
              <a:extLst>
                <a:ext uri="{63B3BB69-23CF-44E3-9099-C40C66FF867C}">
                  <a14:compatExt spid="_x0000_s43085"/>
                </a:ext>
                <a:ext uri="{FF2B5EF4-FFF2-40B4-BE49-F238E27FC236}">
                  <a16:creationId xmlns:a16="http://schemas.microsoft.com/office/drawing/2014/main" id="{00000000-0008-0000-0400-00004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7315</xdr:colOff>
          <xdr:row>21</xdr:row>
          <xdr:rowOff>0</xdr:rowOff>
        </xdr:to>
        <xdr:sp macro="" textlink="">
          <xdr:nvSpPr>
            <xdr:cNvPr id="43086" name="Check Box 78" hidden="1">
              <a:extLst>
                <a:ext uri="{63B3BB69-23CF-44E3-9099-C40C66FF867C}">
                  <a14:compatExt spid="_x0000_s43086"/>
                </a:ext>
                <a:ext uri="{FF2B5EF4-FFF2-40B4-BE49-F238E27FC236}">
                  <a16:creationId xmlns:a16="http://schemas.microsoft.com/office/drawing/2014/main" id="{00000000-0008-0000-0400-00004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15</xdr:row>
          <xdr:rowOff>373075</xdr:rowOff>
        </xdr:from>
        <xdr:to>
          <xdr:col>2</xdr:col>
          <xdr:colOff>7315</xdr:colOff>
          <xdr:row>17</xdr:row>
          <xdr:rowOff>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05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7315</xdr:colOff>
          <xdr:row>19</xdr:row>
          <xdr:rowOff>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5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7315</xdr:colOff>
          <xdr:row>23</xdr:row>
          <xdr:rowOff>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5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7315</xdr:colOff>
          <xdr:row>25</xdr:row>
          <xdr:rowOff>0</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5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7315</xdr:colOff>
          <xdr:row>30</xdr:row>
          <xdr:rowOff>0</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05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7315</xdr:colOff>
          <xdr:row>32</xdr:row>
          <xdr:rowOff>0</xdr:rowOff>
        </xdr:to>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05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7315</xdr:colOff>
          <xdr:row>34</xdr:row>
          <xdr:rowOff>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5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7315</xdr:colOff>
          <xdr:row>36</xdr:row>
          <xdr:rowOff>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5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7315</xdr:colOff>
          <xdr:row>38</xdr:row>
          <xdr:rowOff>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5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7315</xdr:colOff>
          <xdr:row>42</xdr:row>
          <xdr:rowOff>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5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7315</xdr:colOff>
          <xdr:row>44</xdr:row>
          <xdr:rowOff>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5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7315</xdr:colOff>
          <xdr:row>46</xdr:row>
          <xdr:rowOff>0</xdr:rowOff>
        </xdr:to>
        <xdr:sp macro="" textlink="">
          <xdr:nvSpPr>
            <xdr:cNvPr id="50189" name="Check Box 13" descr="3 Fahrstreifen" hidden="1">
              <a:extLst>
                <a:ext uri="{63B3BB69-23CF-44E3-9099-C40C66FF867C}">
                  <a14:compatExt spid="_x0000_s50189"/>
                </a:ext>
                <a:ext uri="{FF2B5EF4-FFF2-40B4-BE49-F238E27FC236}">
                  <a16:creationId xmlns:a16="http://schemas.microsoft.com/office/drawing/2014/main" id="{00000000-0008-0000-05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7315</xdr:colOff>
          <xdr:row>48</xdr:row>
          <xdr:rowOff>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5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7315</xdr:colOff>
          <xdr:row>50</xdr:row>
          <xdr:rowOff>0</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05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7315</xdr:colOff>
          <xdr:row>52</xdr:row>
          <xdr:rowOff>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5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7315</xdr:colOff>
          <xdr:row>54</xdr:row>
          <xdr:rowOff>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5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7315</xdr:colOff>
          <xdr:row>63</xdr:row>
          <xdr:rowOff>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5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7315</xdr:colOff>
          <xdr:row>65</xdr:row>
          <xdr:rowOff>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5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7315</xdr:colOff>
          <xdr:row>67</xdr:row>
          <xdr:rowOff>21946</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5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7315</xdr:colOff>
          <xdr:row>69</xdr:row>
          <xdr:rowOff>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5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7315</xdr:colOff>
          <xdr:row>71</xdr:row>
          <xdr:rowOff>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5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2</xdr:col>
          <xdr:colOff>7315</xdr:colOff>
          <xdr:row>73</xdr:row>
          <xdr:rowOff>0</xdr:rowOff>
        </xdr:to>
        <xdr:sp macro="" textlink="">
          <xdr:nvSpPr>
            <xdr:cNvPr id="50199" name="Check Box 23" descr="3 Fahrstreifen" hidden="1">
              <a:extLst>
                <a:ext uri="{63B3BB69-23CF-44E3-9099-C40C66FF867C}">
                  <a14:compatExt spid="_x0000_s50199"/>
                </a:ext>
                <a:ext uri="{FF2B5EF4-FFF2-40B4-BE49-F238E27FC236}">
                  <a16:creationId xmlns:a16="http://schemas.microsoft.com/office/drawing/2014/main" id="{00000000-0008-0000-05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2</xdr:col>
          <xdr:colOff>7315</xdr:colOff>
          <xdr:row>81</xdr:row>
          <xdr:rowOff>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5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2</xdr:col>
          <xdr:colOff>7315</xdr:colOff>
          <xdr:row>85</xdr:row>
          <xdr:rowOff>0</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05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7315</xdr:colOff>
          <xdr:row>87</xdr:row>
          <xdr:rowOff>0</xdr:rowOff>
        </xdr:to>
        <xdr:sp macro="" textlink="">
          <xdr:nvSpPr>
            <xdr:cNvPr id="50202" name="Check Box 26" hidden="1">
              <a:extLst>
                <a:ext uri="{63B3BB69-23CF-44E3-9099-C40C66FF867C}">
                  <a14:compatExt spid="_x0000_s50202"/>
                </a:ext>
                <a:ext uri="{FF2B5EF4-FFF2-40B4-BE49-F238E27FC236}">
                  <a16:creationId xmlns:a16="http://schemas.microsoft.com/office/drawing/2014/main" id="{00000000-0008-0000-0500-00001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7315</xdr:colOff>
          <xdr:row>89</xdr:row>
          <xdr:rowOff>0</xdr:rowOff>
        </xdr:to>
        <xdr:sp macro="" textlink="">
          <xdr:nvSpPr>
            <xdr:cNvPr id="50203" name="Check Box 27" hidden="1">
              <a:extLst>
                <a:ext uri="{63B3BB69-23CF-44E3-9099-C40C66FF867C}">
                  <a14:compatExt spid="_x0000_s50203"/>
                </a:ext>
                <a:ext uri="{FF2B5EF4-FFF2-40B4-BE49-F238E27FC236}">
                  <a16:creationId xmlns:a16="http://schemas.microsoft.com/office/drawing/2014/main" id="{00000000-0008-0000-0500-00001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99</xdr:row>
          <xdr:rowOff>0</xdr:rowOff>
        </xdr:from>
        <xdr:to>
          <xdr:col>2</xdr:col>
          <xdr:colOff>7315</xdr:colOff>
          <xdr:row>100</xdr:row>
          <xdr:rowOff>0</xdr:rowOff>
        </xdr:to>
        <xdr:sp macro="" textlink="">
          <xdr:nvSpPr>
            <xdr:cNvPr id="50204" name="Check Box 28" hidden="1">
              <a:extLst>
                <a:ext uri="{63B3BB69-23CF-44E3-9099-C40C66FF867C}">
                  <a14:compatExt spid="_x0000_s50204"/>
                </a:ext>
                <a:ext uri="{FF2B5EF4-FFF2-40B4-BE49-F238E27FC236}">
                  <a16:creationId xmlns:a16="http://schemas.microsoft.com/office/drawing/2014/main" id="{00000000-0008-0000-0500-00001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7315</xdr:colOff>
          <xdr:row>104</xdr:row>
          <xdr:rowOff>0</xdr:rowOff>
        </xdr:to>
        <xdr:sp macro="" textlink="">
          <xdr:nvSpPr>
            <xdr:cNvPr id="50205" name="Check Box 29" hidden="1">
              <a:extLst>
                <a:ext uri="{63B3BB69-23CF-44E3-9099-C40C66FF867C}">
                  <a14:compatExt spid="_x0000_s50205"/>
                </a:ext>
                <a:ext uri="{FF2B5EF4-FFF2-40B4-BE49-F238E27FC236}">
                  <a16:creationId xmlns:a16="http://schemas.microsoft.com/office/drawing/2014/main" id="{00000000-0008-0000-0500-00001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7315</xdr:colOff>
          <xdr:row>102</xdr:row>
          <xdr:rowOff>0</xdr:rowOff>
        </xdr:to>
        <xdr:sp macro="" textlink="">
          <xdr:nvSpPr>
            <xdr:cNvPr id="50206" name="Check Box 30" descr="3 Fahrstreifen" hidden="1">
              <a:extLst>
                <a:ext uri="{63B3BB69-23CF-44E3-9099-C40C66FF867C}">
                  <a14:compatExt spid="_x0000_s50206"/>
                </a:ext>
                <a:ext uri="{FF2B5EF4-FFF2-40B4-BE49-F238E27FC236}">
                  <a16:creationId xmlns:a16="http://schemas.microsoft.com/office/drawing/2014/main" id="{00000000-0008-0000-0500-00001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7315</xdr:colOff>
          <xdr:row>106</xdr:row>
          <xdr:rowOff>0</xdr:rowOff>
        </xdr:to>
        <xdr:sp macro="" textlink="">
          <xdr:nvSpPr>
            <xdr:cNvPr id="50207" name="Check Box 31" descr="3 Fahrstreifen" hidden="1">
              <a:extLst>
                <a:ext uri="{63B3BB69-23CF-44E3-9099-C40C66FF867C}">
                  <a14:compatExt spid="_x0000_s50207"/>
                </a:ext>
                <a:ext uri="{FF2B5EF4-FFF2-40B4-BE49-F238E27FC236}">
                  <a16:creationId xmlns:a16="http://schemas.microsoft.com/office/drawing/2014/main" id="{00000000-0008-0000-0500-00001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7315</xdr:colOff>
          <xdr:row>108</xdr:row>
          <xdr:rowOff>7315</xdr:rowOff>
        </xdr:to>
        <xdr:sp macro="" textlink="">
          <xdr:nvSpPr>
            <xdr:cNvPr id="50208" name="Check Box 32" hidden="1">
              <a:extLst>
                <a:ext uri="{63B3BB69-23CF-44E3-9099-C40C66FF867C}">
                  <a14:compatExt spid="_x0000_s50208"/>
                </a:ext>
                <a:ext uri="{FF2B5EF4-FFF2-40B4-BE49-F238E27FC236}">
                  <a16:creationId xmlns:a16="http://schemas.microsoft.com/office/drawing/2014/main" id="{00000000-0008-0000-0500-00002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114</xdr:row>
          <xdr:rowOff>0</xdr:rowOff>
        </xdr:from>
        <xdr:to>
          <xdr:col>2</xdr:col>
          <xdr:colOff>7315</xdr:colOff>
          <xdr:row>115</xdr:row>
          <xdr:rowOff>0</xdr:rowOff>
        </xdr:to>
        <xdr:sp macro="" textlink="">
          <xdr:nvSpPr>
            <xdr:cNvPr id="50209" name="Check Box 33" hidden="1">
              <a:extLst>
                <a:ext uri="{63B3BB69-23CF-44E3-9099-C40C66FF867C}">
                  <a14:compatExt spid="_x0000_s50209"/>
                </a:ext>
                <a:ext uri="{FF2B5EF4-FFF2-40B4-BE49-F238E27FC236}">
                  <a16:creationId xmlns:a16="http://schemas.microsoft.com/office/drawing/2014/main" id="{00000000-0008-0000-0500-00002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116</xdr:row>
          <xdr:rowOff>0</xdr:rowOff>
        </xdr:from>
        <xdr:to>
          <xdr:col>2</xdr:col>
          <xdr:colOff>7315</xdr:colOff>
          <xdr:row>117</xdr:row>
          <xdr:rowOff>0</xdr:rowOff>
        </xdr:to>
        <xdr:sp macro="" textlink="">
          <xdr:nvSpPr>
            <xdr:cNvPr id="50210" name="Check Box 34" hidden="1">
              <a:extLst>
                <a:ext uri="{63B3BB69-23CF-44E3-9099-C40C66FF867C}">
                  <a14:compatExt spid="_x0000_s50210"/>
                </a:ext>
                <a:ext uri="{FF2B5EF4-FFF2-40B4-BE49-F238E27FC236}">
                  <a16:creationId xmlns:a16="http://schemas.microsoft.com/office/drawing/2014/main" id="{00000000-0008-0000-0500-00002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118</xdr:row>
          <xdr:rowOff>0</xdr:rowOff>
        </xdr:from>
        <xdr:to>
          <xdr:col>2</xdr:col>
          <xdr:colOff>7315</xdr:colOff>
          <xdr:row>119</xdr:row>
          <xdr:rowOff>0</xdr:rowOff>
        </xdr:to>
        <xdr:sp macro="" textlink="">
          <xdr:nvSpPr>
            <xdr:cNvPr id="50211" name="Check Box 35" hidden="1">
              <a:extLst>
                <a:ext uri="{63B3BB69-23CF-44E3-9099-C40C66FF867C}">
                  <a14:compatExt spid="_x0000_s50211"/>
                </a:ext>
                <a:ext uri="{FF2B5EF4-FFF2-40B4-BE49-F238E27FC236}">
                  <a16:creationId xmlns:a16="http://schemas.microsoft.com/office/drawing/2014/main" id="{00000000-0008-0000-0500-00002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120</xdr:row>
          <xdr:rowOff>0</xdr:rowOff>
        </xdr:from>
        <xdr:to>
          <xdr:col>2</xdr:col>
          <xdr:colOff>7315</xdr:colOff>
          <xdr:row>121</xdr:row>
          <xdr:rowOff>0</xdr:rowOff>
        </xdr:to>
        <xdr:sp macro="" textlink="">
          <xdr:nvSpPr>
            <xdr:cNvPr id="50212" name="Check Box 36" hidden="1">
              <a:extLst>
                <a:ext uri="{63B3BB69-23CF-44E3-9099-C40C66FF867C}">
                  <a14:compatExt spid="_x0000_s50212"/>
                </a:ext>
                <a:ext uri="{FF2B5EF4-FFF2-40B4-BE49-F238E27FC236}">
                  <a16:creationId xmlns:a16="http://schemas.microsoft.com/office/drawing/2014/main" id="{00000000-0008-0000-0500-00002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125</xdr:row>
          <xdr:rowOff>0</xdr:rowOff>
        </xdr:from>
        <xdr:to>
          <xdr:col>2</xdr:col>
          <xdr:colOff>7315</xdr:colOff>
          <xdr:row>126</xdr:row>
          <xdr:rowOff>0</xdr:rowOff>
        </xdr:to>
        <xdr:sp macro="" textlink="">
          <xdr:nvSpPr>
            <xdr:cNvPr id="50213" name="Check Box 37" hidden="1">
              <a:extLst>
                <a:ext uri="{63B3BB69-23CF-44E3-9099-C40C66FF867C}">
                  <a14:compatExt spid="_x0000_s50213"/>
                </a:ext>
                <a:ext uri="{FF2B5EF4-FFF2-40B4-BE49-F238E27FC236}">
                  <a16:creationId xmlns:a16="http://schemas.microsoft.com/office/drawing/2014/main" id="{00000000-0008-0000-0500-00002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127</xdr:row>
          <xdr:rowOff>0</xdr:rowOff>
        </xdr:from>
        <xdr:to>
          <xdr:col>2</xdr:col>
          <xdr:colOff>7315</xdr:colOff>
          <xdr:row>128</xdr:row>
          <xdr:rowOff>0</xdr:rowOff>
        </xdr:to>
        <xdr:sp macro="" textlink="">
          <xdr:nvSpPr>
            <xdr:cNvPr id="50214" name="Check Box 38" hidden="1">
              <a:extLst>
                <a:ext uri="{63B3BB69-23CF-44E3-9099-C40C66FF867C}">
                  <a14:compatExt spid="_x0000_s50214"/>
                </a:ext>
                <a:ext uri="{FF2B5EF4-FFF2-40B4-BE49-F238E27FC236}">
                  <a16:creationId xmlns:a16="http://schemas.microsoft.com/office/drawing/2014/main" id="{00000000-0008-0000-0500-00002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129</xdr:row>
          <xdr:rowOff>0</xdr:rowOff>
        </xdr:from>
        <xdr:to>
          <xdr:col>2</xdr:col>
          <xdr:colOff>7315</xdr:colOff>
          <xdr:row>130</xdr:row>
          <xdr:rowOff>0</xdr:rowOff>
        </xdr:to>
        <xdr:sp macro="" textlink="">
          <xdr:nvSpPr>
            <xdr:cNvPr id="50215" name="Check Box 39" descr="3 Fahrstreifen" hidden="1">
              <a:extLst>
                <a:ext uri="{63B3BB69-23CF-44E3-9099-C40C66FF867C}">
                  <a14:compatExt spid="_x0000_s50215"/>
                </a:ext>
                <a:ext uri="{FF2B5EF4-FFF2-40B4-BE49-F238E27FC236}">
                  <a16:creationId xmlns:a16="http://schemas.microsoft.com/office/drawing/2014/main" id="{00000000-0008-0000-0500-00002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131</xdr:row>
          <xdr:rowOff>0</xdr:rowOff>
        </xdr:from>
        <xdr:to>
          <xdr:col>2</xdr:col>
          <xdr:colOff>7315</xdr:colOff>
          <xdr:row>132</xdr:row>
          <xdr:rowOff>0</xdr:rowOff>
        </xdr:to>
        <xdr:sp macro="" textlink="">
          <xdr:nvSpPr>
            <xdr:cNvPr id="50216" name="Check Box 40" hidden="1">
              <a:extLst>
                <a:ext uri="{63B3BB69-23CF-44E3-9099-C40C66FF867C}">
                  <a14:compatExt spid="_x0000_s50216"/>
                </a:ext>
                <a:ext uri="{FF2B5EF4-FFF2-40B4-BE49-F238E27FC236}">
                  <a16:creationId xmlns:a16="http://schemas.microsoft.com/office/drawing/2014/main" id="{00000000-0008-0000-0500-00002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133</xdr:row>
          <xdr:rowOff>0</xdr:rowOff>
        </xdr:from>
        <xdr:to>
          <xdr:col>2</xdr:col>
          <xdr:colOff>7315</xdr:colOff>
          <xdr:row>134</xdr:row>
          <xdr:rowOff>0</xdr:rowOff>
        </xdr:to>
        <xdr:sp macro="" textlink="">
          <xdr:nvSpPr>
            <xdr:cNvPr id="50217" name="Check Box 41" descr="3 Fahrstreifen" hidden="1">
              <a:extLst>
                <a:ext uri="{63B3BB69-23CF-44E3-9099-C40C66FF867C}">
                  <a14:compatExt spid="_x0000_s50217"/>
                </a:ext>
                <a:ext uri="{FF2B5EF4-FFF2-40B4-BE49-F238E27FC236}">
                  <a16:creationId xmlns:a16="http://schemas.microsoft.com/office/drawing/2014/main" id="{00000000-0008-0000-0500-00002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135</xdr:row>
          <xdr:rowOff>0</xdr:rowOff>
        </xdr:from>
        <xdr:to>
          <xdr:col>2</xdr:col>
          <xdr:colOff>7315</xdr:colOff>
          <xdr:row>136</xdr:row>
          <xdr:rowOff>0</xdr:rowOff>
        </xdr:to>
        <xdr:sp macro="" textlink="">
          <xdr:nvSpPr>
            <xdr:cNvPr id="50218" name="Check Box 42" hidden="1">
              <a:extLst>
                <a:ext uri="{63B3BB69-23CF-44E3-9099-C40C66FF867C}">
                  <a14:compatExt spid="_x0000_s50218"/>
                </a:ext>
                <a:ext uri="{FF2B5EF4-FFF2-40B4-BE49-F238E27FC236}">
                  <a16:creationId xmlns:a16="http://schemas.microsoft.com/office/drawing/2014/main" id="{00000000-0008-0000-0500-00002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137</xdr:row>
          <xdr:rowOff>0</xdr:rowOff>
        </xdr:from>
        <xdr:to>
          <xdr:col>2</xdr:col>
          <xdr:colOff>7315</xdr:colOff>
          <xdr:row>138</xdr:row>
          <xdr:rowOff>0</xdr:rowOff>
        </xdr:to>
        <xdr:sp macro="" textlink="">
          <xdr:nvSpPr>
            <xdr:cNvPr id="50219" name="Check Box 43" hidden="1">
              <a:extLst>
                <a:ext uri="{63B3BB69-23CF-44E3-9099-C40C66FF867C}">
                  <a14:compatExt spid="_x0000_s50219"/>
                </a:ext>
                <a:ext uri="{FF2B5EF4-FFF2-40B4-BE49-F238E27FC236}">
                  <a16:creationId xmlns:a16="http://schemas.microsoft.com/office/drawing/2014/main" id="{00000000-0008-0000-0500-00002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143</xdr:row>
          <xdr:rowOff>0</xdr:rowOff>
        </xdr:from>
        <xdr:to>
          <xdr:col>2</xdr:col>
          <xdr:colOff>7315</xdr:colOff>
          <xdr:row>144</xdr:row>
          <xdr:rowOff>0</xdr:rowOff>
        </xdr:to>
        <xdr:sp macro="" textlink="">
          <xdr:nvSpPr>
            <xdr:cNvPr id="50220" name="Check Box 44" hidden="1">
              <a:extLst>
                <a:ext uri="{63B3BB69-23CF-44E3-9099-C40C66FF867C}">
                  <a14:compatExt spid="_x0000_s50220"/>
                </a:ext>
                <a:ext uri="{FF2B5EF4-FFF2-40B4-BE49-F238E27FC236}">
                  <a16:creationId xmlns:a16="http://schemas.microsoft.com/office/drawing/2014/main" id="{00000000-0008-0000-0500-00002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146</xdr:row>
          <xdr:rowOff>0</xdr:rowOff>
        </xdr:from>
        <xdr:to>
          <xdr:col>2</xdr:col>
          <xdr:colOff>7315</xdr:colOff>
          <xdr:row>147</xdr:row>
          <xdr:rowOff>0</xdr:rowOff>
        </xdr:to>
        <xdr:sp macro="" textlink="">
          <xdr:nvSpPr>
            <xdr:cNvPr id="50221" name="Check Box 45" hidden="1">
              <a:extLst>
                <a:ext uri="{63B3BB69-23CF-44E3-9099-C40C66FF867C}">
                  <a14:compatExt spid="_x0000_s50221"/>
                </a:ext>
                <a:ext uri="{FF2B5EF4-FFF2-40B4-BE49-F238E27FC236}">
                  <a16:creationId xmlns:a16="http://schemas.microsoft.com/office/drawing/2014/main" id="{00000000-0008-0000-0500-00002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149</xdr:row>
          <xdr:rowOff>0</xdr:rowOff>
        </xdr:from>
        <xdr:to>
          <xdr:col>2</xdr:col>
          <xdr:colOff>7315</xdr:colOff>
          <xdr:row>150</xdr:row>
          <xdr:rowOff>0</xdr:rowOff>
        </xdr:to>
        <xdr:sp macro="" textlink="">
          <xdr:nvSpPr>
            <xdr:cNvPr id="50222" name="Check Box 46" hidden="1">
              <a:extLst>
                <a:ext uri="{63B3BB69-23CF-44E3-9099-C40C66FF867C}">
                  <a14:compatExt spid="_x0000_s50222"/>
                </a:ext>
                <a:ext uri="{FF2B5EF4-FFF2-40B4-BE49-F238E27FC236}">
                  <a16:creationId xmlns:a16="http://schemas.microsoft.com/office/drawing/2014/main" id="{00000000-0008-0000-0500-00002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151</xdr:row>
          <xdr:rowOff>0</xdr:rowOff>
        </xdr:from>
        <xdr:to>
          <xdr:col>2</xdr:col>
          <xdr:colOff>7315</xdr:colOff>
          <xdr:row>152</xdr:row>
          <xdr:rowOff>0</xdr:rowOff>
        </xdr:to>
        <xdr:sp macro="" textlink="">
          <xdr:nvSpPr>
            <xdr:cNvPr id="50223" name="Check Box 47" hidden="1">
              <a:extLst>
                <a:ext uri="{63B3BB69-23CF-44E3-9099-C40C66FF867C}">
                  <a14:compatExt spid="_x0000_s50223"/>
                </a:ext>
                <a:ext uri="{FF2B5EF4-FFF2-40B4-BE49-F238E27FC236}">
                  <a16:creationId xmlns:a16="http://schemas.microsoft.com/office/drawing/2014/main" id="{00000000-0008-0000-0500-00002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154</xdr:row>
          <xdr:rowOff>0</xdr:rowOff>
        </xdr:from>
        <xdr:to>
          <xdr:col>2</xdr:col>
          <xdr:colOff>7315</xdr:colOff>
          <xdr:row>155</xdr:row>
          <xdr:rowOff>0</xdr:rowOff>
        </xdr:to>
        <xdr:sp macro="" textlink="">
          <xdr:nvSpPr>
            <xdr:cNvPr id="50224" name="Check Box 48" hidden="1">
              <a:extLst>
                <a:ext uri="{63B3BB69-23CF-44E3-9099-C40C66FF867C}">
                  <a14:compatExt spid="_x0000_s50224"/>
                </a:ext>
                <a:ext uri="{FF2B5EF4-FFF2-40B4-BE49-F238E27FC236}">
                  <a16:creationId xmlns:a16="http://schemas.microsoft.com/office/drawing/2014/main" id="{00000000-0008-0000-0500-00003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156</xdr:row>
          <xdr:rowOff>0</xdr:rowOff>
        </xdr:from>
        <xdr:to>
          <xdr:col>2</xdr:col>
          <xdr:colOff>7315</xdr:colOff>
          <xdr:row>157</xdr:row>
          <xdr:rowOff>0</xdr:rowOff>
        </xdr:to>
        <xdr:sp macro="" textlink="">
          <xdr:nvSpPr>
            <xdr:cNvPr id="50225" name="Check Box 49" hidden="1">
              <a:extLst>
                <a:ext uri="{63B3BB69-23CF-44E3-9099-C40C66FF867C}">
                  <a14:compatExt spid="_x0000_s50225"/>
                </a:ext>
                <a:ext uri="{FF2B5EF4-FFF2-40B4-BE49-F238E27FC236}">
                  <a16:creationId xmlns:a16="http://schemas.microsoft.com/office/drawing/2014/main" id="{00000000-0008-0000-0500-00003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159</xdr:row>
          <xdr:rowOff>0</xdr:rowOff>
        </xdr:from>
        <xdr:to>
          <xdr:col>2</xdr:col>
          <xdr:colOff>7315</xdr:colOff>
          <xdr:row>160</xdr:row>
          <xdr:rowOff>7315</xdr:rowOff>
        </xdr:to>
        <xdr:sp macro="" textlink="">
          <xdr:nvSpPr>
            <xdr:cNvPr id="50226" name="Check Box 50" hidden="1">
              <a:extLst>
                <a:ext uri="{63B3BB69-23CF-44E3-9099-C40C66FF867C}">
                  <a14:compatExt spid="_x0000_s50226"/>
                </a:ext>
                <a:ext uri="{FF2B5EF4-FFF2-40B4-BE49-F238E27FC236}">
                  <a16:creationId xmlns:a16="http://schemas.microsoft.com/office/drawing/2014/main" id="{00000000-0008-0000-0500-00003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161</xdr:row>
          <xdr:rowOff>0</xdr:rowOff>
        </xdr:from>
        <xdr:to>
          <xdr:col>2</xdr:col>
          <xdr:colOff>7315</xdr:colOff>
          <xdr:row>162</xdr:row>
          <xdr:rowOff>0</xdr:rowOff>
        </xdr:to>
        <xdr:sp macro="" textlink="">
          <xdr:nvSpPr>
            <xdr:cNvPr id="50227" name="Check Box 51" hidden="1">
              <a:extLst>
                <a:ext uri="{63B3BB69-23CF-44E3-9099-C40C66FF867C}">
                  <a14:compatExt spid="_x0000_s50227"/>
                </a:ext>
                <a:ext uri="{FF2B5EF4-FFF2-40B4-BE49-F238E27FC236}">
                  <a16:creationId xmlns:a16="http://schemas.microsoft.com/office/drawing/2014/main" id="{00000000-0008-0000-0500-00003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168</xdr:row>
          <xdr:rowOff>0</xdr:rowOff>
        </xdr:from>
        <xdr:to>
          <xdr:col>2</xdr:col>
          <xdr:colOff>7315</xdr:colOff>
          <xdr:row>169</xdr:row>
          <xdr:rowOff>7315</xdr:rowOff>
        </xdr:to>
        <xdr:sp macro="" textlink="">
          <xdr:nvSpPr>
            <xdr:cNvPr id="50228" name="Check Box 52" hidden="1">
              <a:extLst>
                <a:ext uri="{63B3BB69-23CF-44E3-9099-C40C66FF867C}">
                  <a14:compatExt spid="_x0000_s50228"/>
                </a:ext>
                <a:ext uri="{FF2B5EF4-FFF2-40B4-BE49-F238E27FC236}">
                  <a16:creationId xmlns:a16="http://schemas.microsoft.com/office/drawing/2014/main" id="{00000000-0008-0000-0500-00003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170</xdr:row>
          <xdr:rowOff>0</xdr:rowOff>
        </xdr:from>
        <xdr:to>
          <xdr:col>2</xdr:col>
          <xdr:colOff>7315</xdr:colOff>
          <xdr:row>171</xdr:row>
          <xdr:rowOff>0</xdr:rowOff>
        </xdr:to>
        <xdr:sp macro="" textlink="">
          <xdr:nvSpPr>
            <xdr:cNvPr id="50229" name="Check Box 53" hidden="1">
              <a:extLst>
                <a:ext uri="{63B3BB69-23CF-44E3-9099-C40C66FF867C}">
                  <a14:compatExt spid="_x0000_s50229"/>
                </a:ext>
                <a:ext uri="{FF2B5EF4-FFF2-40B4-BE49-F238E27FC236}">
                  <a16:creationId xmlns:a16="http://schemas.microsoft.com/office/drawing/2014/main" id="{00000000-0008-0000-0500-00003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172</xdr:row>
          <xdr:rowOff>0</xdr:rowOff>
        </xdr:from>
        <xdr:to>
          <xdr:col>2</xdr:col>
          <xdr:colOff>7315</xdr:colOff>
          <xdr:row>173</xdr:row>
          <xdr:rowOff>0</xdr:rowOff>
        </xdr:to>
        <xdr:sp macro="" textlink="">
          <xdr:nvSpPr>
            <xdr:cNvPr id="50230" name="Check Box 54" hidden="1">
              <a:extLst>
                <a:ext uri="{63B3BB69-23CF-44E3-9099-C40C66FF867C}">
                  <a14:compatExt spid="_x0000_s50230"/>
                </a:ext>
                <a:ext uri="{FF2B5EF4-FFF2-40B4-BE49-F238E27FC236}">
                  <a16:creationId xmlns:a16="http://schemas.microsoft.com/office/drawing/2014/main" id="{00000000-0008-0000-0500-00003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174</xdr:row>
          <xdr:rowOff>0</xdr:rowOff>
        </xdr:from>
        <xdr:to>
          <xdr:col>2</xdr:col>
          <xdr:colOff>7315</xdr:colOff>
          <xdr:row>175</xdr:row>
          <xdr:rowOff>0</xdr:rowOff>
        </xdr:to>
        <xdr:sp macro="" textlink="">
          <xdr:nvSpPr>
            <xdr:cNvPr id="50231" name="Check Box 55" hidden="1">
              <a:extLst>
                <a:ext uri="{63B3BB69-23CF-44E3-9099-C40C66FF867C}">
                  <a14:compatExt spid="_x0000_s50231"/>
                </a:ext>
                <a:ext uri="{FF2B5EF4-FFF2-40B4-BE49-F238E27FC236}">
                  <a16:creationId xmlns:a16="http://schemas.microsoft.com/office/drawing/2014/main" id="{00000000-0008-0000-0500-00003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7315</xdr:colOff>
          <xdr:row>177</xdr:row>
          <xdr:rowOff>7315</xdr:rowOff>
        </xdr:to>
        <xdr:sp macro="" textlink="">
          <xdr:nvSpPr>
            <xdr:cNvPr id="50232" name="Check Box 56" hidden="1">
              <a:extLst>
                <a:ext uri="{63B3BB69-23CF-44E3-9099-C40C66FF867C}">
                  <a14:compatExt spid="_x0000_s50232"/>
                </a:ext>
                <a:ext uri="{FF2B5EF4-FFF2-40B4-BE49-F238E27FC236}">
                  <a16:creationId xmlns:a16="http://schemas.microsoft.com/office/drawing/2014/main" id="{00000000-0008-0000-0500-00003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179</xdr:row>
          <xdr:rowOff>0</xdr:rowOff>
        </xdr:from>
        <xdr:to>
          <xdr:col>2</xdr:col>
          <xdr:colOff>7315</xdr:colOff>
          <xdr:row>180</xdr:row>
          <xdr:rowOff>0</xdr:rowOff>
        </xdr:to>
        <xdr:sp macro="" textlink="">
          <xdr:nvSpPr>
            <xdr:cNvPr id="50233" name="Check Box 57" hidden="1">
              <a:extLst>
                <a:ext uri="{63B3BB69-23CF-44E3-9099-C40C66FF867C}">
                  <a14:compatExt spid="_x0000_s50233"/>
                </a:ext>
                <a:ext uri="{FF2B5EF4-FFF2-40B4-BE49-F238E27FC236}">
                  <a16:creationId xmlns:a16="http://schemas.microsoft.com/office/drawing/2014/main" id="{00000000-0008-0000-0500-00003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7315</xdr:colOff>
          <xdr:row>183</xdr:row>
          <xdr:rowOff>0</xdr:rowOff>
        </xdr:to>
        <xdr:sp macro="" textlink="">
          <xdr:nvSpPr>
            <xdr:cNvPr id="50234" name="Check Box 58" hidden="1">
              <a:extLst>
                <a:ext uri="{63B3BB69-23CF-44E3-9099-C40C66FF867C}">
                  <a14:compatExt spid="_x0000_s50234"/>
                </a:ext>
                <a:ext uri="{FF2B5EF4-FFF2-40B4-BE49-F238E27FC236}">
                  <a16:creationId xmlns:a16="http://schemas.microsoft.com/office/drawing/2014/main" id="{00000000-0008-0000-0500-00003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7315</xdr:colOff>
          <xdr:row>185</xdr:row>
          <xdr:rowOff>0</xdr:rowOff>
        </xdr:to>
        <xdr:sp macro="" textlink="">
          <xdr:nvSpPr>
            <xdr:cNvPr id="50235" name="Check Box 59" hidden="1">
              <a:extLst>
                <a:ext uri="{63B3BB69-23CF-44E3-9099-C40C66FF867C}">
                  <a14:compatExt spid="_x0000_s50235"/>
                </a:ext>
                <a:ext uri="{FF2B5EF4-FFF2-40B4-BE49-F238E27FC236}">
                  <a16:creationId xmlns:a16="http://schemas.microsoft.com/office/drawing/2014/main" id="{00000000-0008-0000-0500-00003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7315</xdr:colOff>
          <xdr:row>188</xdr:row>
          <xdr:rowOff>0</xdr:rowOff>
        </xdr:to>
        <xdr:sp macro="" textlink="">
          <xdr:nvSpPr>
            <xdr:cNvPr id="50236" name="Check Box 60" hidden="1">
              <a:extLst>
                <a:ext uri="{63B3BB69-23CF-44E3-9099-C40C66FF867C}">
                  <a14:compatExt spid="_x0000_s50236"/>
                </a:ext>
                <a:ext uri="{FF2B5EF4-FFF2-40B4-BE49-F238E27FC236}">
                  <a16:creationId xmlns:a16="http://schemas.microsoft.com/office/drawing/2014/main" id="{00000000-0008-0000-0500-00003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xdr:row>
          <xdr:rowOff>0</xdr:rowOff>
        </xdr:from>
        <xdr:to>
          <xdr:col>2</xdr:col>
          <xdr:colOff>7315</xdr:colOff>
          <xdr:row>190</xdr:row>
          <xdr:rowOff>7315</xdr:rowOff>
        </xdr:to>
        <xdr:sp macro="" textlink="">
          <xdr:nvSpPr>
            <xdr:cNvPr id="50237" name="Check Box 61" hidden="1">
              <a:extLst>
                <a:ext uri="{63B3BB69-23CF-44E3-9099-C40C66FF867C}">
                  <a14:compatExt spid="_x0000_s50237"/>
                </a:ext>
                <a:ext uri="{FF2B5EF4-FFF2-40B4-BE49-F238E27FC236}">
                  <a16:creationId xmlns:a16="http://schemas.microsoft.com/office/drawing/2014/main" id="{00000000-0008-0000-0500-00003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194</xdr:row>
          <xdr:rowOff>0</xdr:rowOff>
        </xdr:from>
        <xdr:to>
          <xdr:col>2</xdr:col>
          <xdr:colOff>7315</xdr:colOff>
          <xdr:row>195</xdr:row>
          <xdr:rowOff>7315</xdr:rowOff>
        </xdr:to>
        <xdr:sp macro="" textlink="">
          <xdr:nvSpPr>
            <xdr:cNvPr id="50238" name="Check Box 62" hidden="1">
              <a:extLst>
                <a:ext uri="{63B3BB69-23CF-44E3-9099-C40C66FF867C}">
                  <a14:compatExt spid="_x0000_s50238"/>
                </a:ext>
                <a:ext uri="{FF2B5EF4-FFF2-40B4-BE49-F238E27FC236}">
                  <a16:creationId xmlns:a16="http://schemas.microsoft.com/office/drawing/2014/main" id="{00000000-0008-0000-0500-00003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196</xdr:row>
          <xdr:rowOff>0</xdr:rowOff>
        </xdr:from>
        <xdr:to>
          <xdr:col>2</xdr:col>
          <xdr:colOff>7315</xdr:colOff>
          <xdr:row>197</xdr:row>
          <xdr:rowOff>7315</xdr:rowOff>
        </xdr:to>
        <xdr:sp macro="" textlink="">
          <xdr:nvSpPr>
            <xdr:cNvPr id="50239" name="Check Box 63" hidden="1">
              <a:extLst>
                <a:ext uri="{63B3BB69-23CF-44E3-9099-C40C66FF867C}">
                  <a14:compatExt spid="_x0000_s50239"/>
                </a:ext>
                <a:ext uri="{FF2B5EF4-FFF2-40B4-BE49-F238E27FC236}">
                  <a16:creationId xmlns:a16="http://schemas.microsoft.com/office/drawing/2014/main" id="{00000000-0008-0000-0500-00003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198</xdr:row>
          <xdr:rowOff>0</xdr:rowOff>
        </xdr:from>
        <xdr:to>
          <xdr:col>2</xdr:col>
          <xdr:colOff>7315</xdr:colOff>
          <xdr:row>199</xdr:row>
          <xdr:rowOff>0</xdr:rowOff>
        </xdr:to>
        <xdr:sp macro="" textlink="">
          <xdr:nvSpPr>
            <xdr:cNvPr id="50240" name="Check Box 64" hidden="1">
              <a:extLst>
                <a:ext uri="{63B3BB69-23CF-44E3-9099-C40C66FF867C}">
                  <a14:compatExt spid="_x0000_s50240"/>
                </a:ext>
                <a:ext uri="{FF2B5EF4-FFF2-40B4-BE49-F238E27FC236}">
                  <a16:creationId xmlns:a16="http://schemas.microsoft.com/office/drawing/2014/main" id="{00000000-0008-0000-0500-00004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2</xdr:col>
          <xdr:colOff>7315</xdr:colOff>
          <xdr:row>77</xdr:row>
          <xdr:rowOff>0</xdr:rowOff>
        </xdr:to>
        <xdr:sp macro="" textlink="">
          <xdr:nvSpPr>
            <xdr:cNvPr id="50241" name="Check Box 65" hidden="1">
              <a:extLst>
                <a:ext uri="{63B3BB69-23CF-44E3-9099-C40C66FF867C}">
                  <a14:compatExt spid="_x0000_s50241"/>
                </a:ext>
                <a:ext uri="{FF2B5EF4-FFF2-40B4-BE49-F238E27FC236}">
                  <a16:creationId xmlns:a16="http://schemas.microsoft.com/office/drawing/2014/main" id="{00000000-0008-0000-0500-00004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7315</xdr:colOff>
          <xdr:row>98</xdr:row>
          <xdr:rowOff>0</xdr:rowOff>
        </xdr:to>
        <xdr:sp macro="" textlink="">
          <xdr:nvSpPr>
            <xdr:cNvPr id="50242" name="Check Box 66" hidden="1">
              <a:extLst>
                <a:ext uri="{63B3BB69-23CF-44E3-9099-C40C66FF867C}">
                  <a14:compatExt spid="_x0000_s50242"/>
                </a:ext>
                <a:ext uri="{FF2B5EF4-FFF2-40B4-BE49-F238E27FC236}">
                  <a16:creationId xmlns:a16="http://schemas.microsoft.com/office/drawing/2014/main" id="{00000000-0008-0000-0500-00004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82</xdr:row>
          <xdr:rowOff>0</xdr:rowOff>
        </xdr:from>
        <xdr:to>
          <xdr:col>2</xdr:col>
          <xdr:colOff>7315</xdr:colOff>
          <xdr:row>83</xdr:row>
          <xdr:rowOff>0</xdr:rowOff>
        </xdr:to>
        <xdr:sp macro="" textlink="">
          <xdr:nvSpPr>
            <xdr:cNvPr id="50243" name="Check Box 67" hidden="1">
              <a:extLst>
                <a:ext uri="{63B3BB69-23CF-44E3-9099-C40C66FF867C}">
                  <a14:compatExt spid="_x0000_s50243"/>
                </a:ext>
                <a:ext uri="{FF2B5EF4-FFF2-40B4-BE49-F238E27FC236}">
                  <a16:creationId xmlns:a16="http://schemas.microsoft.com/office/drawing/2014/main" id="{00000000-0008-0000-0500-00004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7315</xdr:colOff>
          <xdr:row>61</xdr:row>
          <xdr:rowOff>0</xdr:rowOff>
        </xdr:to>
        <xdr:sp macro="" textlink="">
          <xdr:nvSpPr>
            <xdr:cNvPr id="50244" name="Check Box 68" hidden="1">
              <a:extLst>
                <a:ext uri="{63B3BB69-23CF-44E3-9099-C40C66FF867C}">
                  <a14:compatExt spid="_x0000_s50244"/>
                </a:ext>
                <a:ext uri="{FF2B5EF4-FFF2-40B4-BE49-F238E27FC236}">
                  <a16:creationId xmlns:a16="http://schemas.microsoft.com/office/drawing/2014/main" id="{00000000-0008-0000-0500-00004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2</xdr:col>
          <xdr:colOff>7315</xdr:colOff>
          <xdr:row>79</xdr:row>
          <xdr:rowOff>0</xdr:rowOff>
        </xdr:to>
        <xdr:sp macro="" textlink="">
          <xdr:nvSpPr>
            <xdr:cNvPr id="50245" name="Check Box 69" hidden="1">
              <a:extLst>
                <a:ext uri="{63B3BB69-23CF-44E3-9099-C40C66FF867C}">
                  <a14:compatExt spid="_x0000_s50245"/>
                </a:ext>
                <a:ext uri="{FF2B5EF4-FFF2-40B4-BE49-F238E27FC236}">
                  <a16:creationId xmlns:a16="http://schemas.microsoft.com/office/drawing/2014/main" id="{00000000-0008-0000-0500-00004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7315</xdr:colOff>
          <xdr:row>75</xdr:row>
          <xdr:rowOff>0</xdr:rowOff>
        </xdr:to>
        <xdr:sp macro="" textlink="">
          <xdr:nvSpPr>
            <xdr:cNvPr id="50246" name="Check Box 70" hidden="1">
              <a:extLst>
                <a:ext uri="{63B3BB69-23CF-44E3-9099-C40C66FF867C}">
                  <a14:compatExt spid="_x0000_s50246"/>
                </a:ext>
                <a:ext uri="{FF2B5EF4-FFF2-40B4-BE49-F238E27FC236}">
                  <a16:creationId xmlns:a16="http://schemas.microsoft.com/office/drawing/2014/main" id="{00000000-0008-0000-0500-00004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7315</xdr:colOff>
          <xdr:row>14</xdr:row>
          <xdr:rowOff>0</xdr:rowOff>
        </xdr:to>
        <xdr:sp macro="" textlink="">
          <xdr:nvSpPr>
            <xdr:cNvPr id="50247" name="Check Box 71" hidden="1">
              <a:extLst>
                <a:ext uri="{63B3BB69-23CF-44E3-9099-C40C66FF867C}">
                  <a14:compatExt spid="_x0000_s50247"/>
                </a:ext>
                <a:ext uri="{FF2B5EF4-FFF2-40B4-BE49-F238E27FC236}">
                  <a16:creationId xmlns:a16="http://schemas.microsoft.com/office/drawing/2014/main" id="{00000000-0008-0000-0500-00004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7315</xdr:colOff>
          <xdr:row>13</xdr:row>
          <xdr:rowOff>7315</xdr:rowOff>
        </xdr:to>
        <xdr:sp macro="" textlink="">
          <xdr:nvSpPr>
            <xdr:cNvPr id="50248" name="Check Box 72" hidden="1">
              <a:extLst>
                <a:ext uri="{63B3BB69-23CF-44E3-9099-C40C66FF867C}">
                  <a14:compatExt spid="_x0000_s50248"/>
                </a:ext>
                <a:ext uri="{FF2B5EF4-FFF2-40B4-BE49-F238E27FC236}">
                  <a16:creationId xmlns:a16="http://schemas.microsoft.com/office/drawing/2014/main" id="{00000000-0008-0000-0500-00004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168</xdr:row>
          <xdr:rowOff>0</xdr:rowOff>
        </xdr:from>
        <xdr:to>
          <xdr:col>2</xdr:col>
          <xdr:colOff>7315</xdr:colOff>
          <xdr:row>169</xdr:row>
          <xdr:rowOff>7315</xdr:rowOff>
        </xdr:to>
        <xdr:sp macro="" textlink="">
          <xdr:nvSpPr>
            <xdr:cNvPr id="50249" name="Check Box 73" hidden="1">
              <a:extLst>
                <a:ext uri="{63B3BB69-23CF-44E3-9099-C40C66FF867C}">
                  <a14:compatExt spid="_x0000_s50249"/>
                </a:ext>
                <a:ext uri="{FF2B5EF4-FFF2-40B4-BE49-F238E27FC236}">
                  <a16:creationId xmlns:a16="http://schemas.microsoft.com/office/drawing/2014/main" id="{00000000-0008-0000-0500-00004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7315</xdr:colOff>
          <xdr:row>177</xdr:row>
          <xdr:rowOff>7315</xdr:rowOff>
        </xdr:to>
        <xdr:sp macro="" textlink="">
          <xdr:nvSpPr>
            <xdr:cNvPr id="50250" name="Check Box 74" hidden="1">
              <a:extLst>
                <a:ext uri="{63B3BB69-23CF-44E3-9099-C40C66FF867C}">
                  <a14:compatExt spid="_x0000_s50250"/>
                </a:ext>
                <a:ext uri="{FF2B5EF4-FFF2-40B4-BE49-F238E27FC236}">
                  <a16:creationId xmlns:a16="http://schemas.microsoft.com/office/drawing/2014/main" id="{00000000-0008-0000-0500-00004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176</xdr:row>
          <xdr:rowOff>0</xdr:rowOff>
        </xdr:from>
        <xdr:to>
          <xdr:col>2</xdr:col>
          <xdr:colOff>7315</xdr:colOff>
          <xdr:row>177</xdr:row>
          <xdr:rowOff>7315</xdr:rowOff>
        </xdr:to>
        <xdr:sp macro="" textlink="">
          <xdr:nvSpPr>
            <xdr:cNvPr id="50251" name="Check Box 75" hidden="1">
              <a:extLst>
                <a:ext uri="{63B3BB69-23CF-44E3-9099-C40C66FF867C}">
                  <a14:compatExt spid="_x0000_s50251"/>
                </a:ext>
                <a:ext uri="{FF2B5EF4-FFF2-40B4-BE49-F238E27FC236}">
                  <a16:creationId xmlns:a16="http://schemas.microsoft.com/office/drawing/2014/main" id="{00000000-0008-0000-0500-00004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7315</xdr:colOff>
          <xdr:row>21</xdr:row>
          <xdr:rowOff>0</xdr:rowOff>
        </xdr:to>
        <xdr:sp macro="" textlink="">
          <xdr:nvSpPr>
            <xdr:cNvPr id="50252" name="Check Box 76" hidden="1">
              <a:extLst>
                <a:ext uri="{63B3BB69-23CF-44E3-9099-C40C66FF867C}">
                  <a14:compatExt spid="_x0000_s50252"/>
                </a:ext>
                <a:ext uri="{FF2B5EF4-FFF2-40B4-BE49-F238E27FC236}">
                  <a16:creationId xmlns:a16="http://schemas.microsoft.com/office/drawing/2014/main" id="{00000000-0008-0000-0500-00004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7315</xdr:colOff>
          <xdr:row>14</xdr:row>
          <xdr:rowOff>7315</xdr:rowOff>
        </xdr:to>
        <xdr:sp macro="" textlink="">
          <xdr:nvSpPr>
            <xdr:cNvPr id="12611" name="Check Box 323" hidden="1">
              <a:extLst>
                <a:ext uri="{63B3BB69-23CF-44E3-9099-C40C66FF867C}">
                  <a14:compatExt spid="_x0000_s12611"/>
                </a:ext>
                <a:ext uri="{FF2B5EF4-FFF2-40B4-BE49-F238E27FC236}">
                  <a16:creationId xmlns:a16="http://schemas.microsoft.com/office/drawing/2014/main" id="{00000000-0008-0000-0600-00004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21946</xdr:rowOff>
        </xdr:from>
        <xdr:to>
          <xdr:col>2</xdr:col>
          <xdr:colOff>7315</xdr:colOff>
          <xdr:row>16</xdr:row>
          <xdr:rowOff>7315</xdr:rowOff>
        </xdr:to>
        <xdr:sp macro="" textlink="">
          <xdr:nvSpPr>
            <xdr:cNvPr id="12612" name="Check Box 324" hidden="1">
              <a:extLst>
                <a:ext uri="{63B3BB69-23CF-44E3-9099-C40C66FF867C}">
                  <a14:compatExt spid="_x0000_s12612"/>
                </a:ext>
                <a:ext uri="{FF2B5EF4-FFF2-40B4-BE49-F238E27FC236}">
                  <a16:creationId xmlns:a16="http://schemas.microsoft.com/office/drawing/2014/main" id="{00000000-0008-0000-0600-00004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7315</xdr:colOff>
          <xdr:row>18</xdr:row>
          <xdr:rowOff>0</xdr:rowOff>
        </xdr:to>
        <xdr:sp macro="" textlink="">
          <xdr:nvSpPr>
            <xdr:cNvPr id="12613" name="Check Box 325" hidden="1">
              <a:extLst>
                <a:ext uri="{63B3BB69-23CF-44E3-9099-C40C66FF867C}">
                  <a14:compatExt spid="_x0000_s12613"/>
                </a:ext>
                <a:ext uri="{FF2B5EF4-FFF2-40B4-BE49-F238E27FC236}">
                  <a16:creationId xmlns:a16="http://schemas.microsoft.com/office/drawing/2014/main" id="{00000000-0008-0000-0600-00004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7315</xdr:colOff>
          <xdr:row>20</xdr:row>
          <xdr:rowOff>0</xdr:rowOff>
        </xdr:to>
        <xdr:sp macro="" textlink="">
          <xdr:nvSpPr>
            <xdr:cNvPr id="12614" name="Check Box 326" hidden="1">
              <a:extLst>
                <a:ext uri="{63B3BB69-23CF-44E3-9099-C40C66FF867C}">
                  <a14:compatExt spid="_x0000_s12614"/>
                </a:ext>
                <a:ext uri="{FF2B5EF4-FFF2-40B4-BE49-F238E27FC236}">
                  <a16:creationId xmlns:a16="http://schemas.microsoft.com/office/drawing/2014/main" id="{00000000-0008-0000-0600-00004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7315</xdr:colOff>
          <xdr:row>22</xdr:row>
          <xdr:rowOff>0</xdr:rowOff>
        </xdr:to>
        <xdr:sp macro="" textlink="">
          <xdr:nvSpPr>
            <xdr:cNvPr id="12615" name="Check Box 327" hidden="1">
              <a:extLst>
                <a:ext uri="{63B3BB69-23CF-44E3-9099-C40C66FF867C}">
                  <a14:compatExt spid="_x0000_s12615"/>
                </a:ext>
                <a:ext uri="{FF2B5EF4-FFF2-40B4-BE49-F238E27FC236}">
                  <a16:creationId xmlns:a16="http://schemas.microsoft.com/office/drawing/2014/main" id="{00000000-0008-0000-0600-00004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7315</xdr:colOff>
          <xdr:row>27</xdr:row>
          <xdr:rowOff>0</xdr:rowOff>
        </xdr:to>
        <xdr:sp macro="" textlink="">
          <xdr:nvSpPr>
            <xdr:cNvPr id="12618" name="Check Box 330" hidden="1">
              <a:extLst>
                <a:ext uri="{63B3BB69-23CF-44E3-9099-C40C66FF867C}">
                  <a14:compatExt spid="_x0000_s12618"/>
                </a:ext>
                <a:ext uri="{FF2B5EF4-FFF2-40B4-BE49-F238E27FC236}">
                  <a16:creationId xmlns:a16="http://schemas.microsoft.com/office/drawing/2014/main" id="{00000000-0008-0000-0600-00004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7315</xdr:colOff>
          <xdr:row>29</xdr:row>
          <xdr:rowOff>7315</xdr:rowOff>
        </xdr:to>
        <xdr:sp macro="" textlink="">
          <xdr:nvSpPr>
            <xdr:cNvPr id="12619" name="Check Box 331" hidden="1">
              <a:extLst>
                <a:ext uri="{63B3BB69-23CF-44E3-9099-C40C66FF867C}">
                  <a14:compatExt spid="_x0000_s12619"/>
                </a:ext>
                <a:ext uri="{FF2B5EF4-FFF2-40B4-BE49-F238E27FC236}">
                  <a16:creationId xmlns:a16="http://schemas.microsoft.com/office/drawing/2014/main" id="{00000000-0008-0000-0600-00004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21946</xdr:rowOff>
        </xdr:from>
        <xdr:to>
          <xdr:col>2</xdr:col>
          <xdr:colOff>7315</xdr:colOff>
          <xdr:row>31</xdr:row>
          <xdr:rowOff>7315</xdr:rowOff>
        </xdr:to>
        <xdr:sp macro="" textlink="">
          <xdr:nvSpPr>
            <xdr:cNvPr id="12620" name="Check Box 332" hidden="1">
              <a:extLst>
                <a:ext uri="{63B3BB69-23CF-44E3-9099-C40C66FF867C}">
                  <a14:compatExt spid="_x0000_s12620"/>
                </a:ext>
                <a:ext uri="{FF2B5EF4-FFF2-40B4-BE49-F238E27FC236}">
                  <a16:creationId xmlns:a16="http://schemas.microsoft.com/office/drawing/2014/main" id="{00000000-0008-0000-0600-00004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7315</xdr:colOff>
          <xdr:row>33</xdr:row>
          <xdr:rowOff>7315</xdr:rowOff>
        </xdr:to>
        <xdr:sp macro="" textlink="">
          <xdr:nvSpPr>
            <xdr:cNvPr id="12621" name="Check Box 333" hidden="1">
              <a:extLst>
                <a:ext uri="{63B3BB69-23CF-44E3-9099-C40C66FF867C}">
                  <a14:compatExt spid="_x0000_s12621"/>
                </a:ext>
                <a:ext uri="{FF2B5EF4-FFF2-40B4-BE49-F238E27FC236}">
                  <a16:creationId xmlns:a16="http://schemas.microsoft.com/office/drawing/2014/main" id="{00000000-0008-0000-0600-00004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7315</xdr:colOff>
          <xdr:row>35</xdr:row>
          <xdr:rowOff>7315</xdr:rowOff>
        </xdr:to>
        <xdr:sp macro="" textlink="">
          <xdr:nvSpPr>
            <xdr:cNvPr id="12622" name="Check Box 334" hidden="1">
              <a:extLst>
                <a:ext uri="{63B3BB69-23CF-44E3-9099-C40C66FF867C}">
                  <a14:compatExt spid="_x0000_s12622"/>
                </a:ext>
                <a:ext uri="{FF2B5EF4-FFF2-40B4-BE49-F238E27FC236}">
                  <a16:creationId xmlns:a16="http://schemas.microsoft.com/office/drawing/2014/main" id="{00000000-0008-0000-0600-00004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21946</xdr:colOff>
          <xdr:row>45</xdr:row>
          <xdr:rowOff>7315</xdr:rowOff>
        </xdr:to>
        <xdr:sp macro="" textlink="">
          <xdr:nvSpPr>
            <xdr:cNvPr id="12625" name="Check Box 337" hidden="1">
              <a:extLst>
                <a:ext uri="{63B3BB69-23CF-44E3-9099-C40C66FF867C}">
                  <a14:compatExt spid="_x0000_s12625"/>
                </a:ext>
                <a:ext uri="{FF2B5EF4-FFF2-40B4-BE49-F238E27FC236}">
                  <a16:creationId xmlns:a16="http://schemas.microsoft.com/office/drawing/2014/main" id="{00000000-0008-0000-0600-00005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7315</xdr:colOff>
          <xdr:row>37</xdr:row>
          <xdr:rowOff>0</xdr:rowOff>
        </xdr:to>
        <xdr:sp macro="" textlink="">
          <xdr:nvSpPr>
            <xdr:cNvPr id="12626" name="Check Box 338" hidden="1">
              <a:extLst>
                <a:ext uri="{63B3BB69-23CF-44E3-9099-C40C66FF867C}">
                  <a14:compatExt spid="_x0000_s12626"/>
                </a:ext>
                <a:ext uri="{FF2B5EF4-FFF2-40B4-BE49-F238E27FC236}">
                  <a16:creationId xmlns:a16="http://schemas.microsoft.com/office/drawing/2014/main" id="{00000000-0008-0000-0600-00005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7315</xdr:colOff>
          <xdr:row>50</xdr:row>
          <xdr:rowOff>7315</xdr:rowOff>
        </xdr:to>
        <xdr:sp macro="" textlink="">
          <xdr:nvSpPr>
            <xdr:cNvPr id="12645" name="Check Box 357" hidden="1">
              <a:extLst>
                <a:ext uri="{63B3BB69-23CF-44E3-9099-C40C66FF867C}">
                  <a14:compatExt spid="_x0000_s12645"/>
                </a:ext>
                <a:ext uri="{FF2B5EF4-FFF2-40B4-BE49-F238E27FC236}">
                  <a16:creationId xmlns:a16="http://schemas.microsoft.com/office/drawing/2014/main" id="{00000000-0008-0000-0600-00006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21946</xdr:rowOff>
        </xdr:from>
        <xdr:to>
          <xdr:col>2</xdr:col>
          <xdr:colOff>7315</xdr:colOff>
          <xdr:row>52</xdr:row>
          <xdr:rowOff>7315</xdr:rowOff>
        </xdr:to>
        <xdr:sp macro="" textlink="">
          <xdr:nvSpPr>
            <xdr:cNvPr id="12646" name="Check Box 358" hidden="1">
              <a:extLst>
                <a:ext uri="{63B3BB69-23CF-44E3-9099-C40C66FF867C}">
                  <a14:compatExt spid="_x0000_s12646"/>
                </a:ext>
                <a:ext uri="{FF2B5EF4-FFF2-40B4-BE49-F238E27FC236}">
                  <a16:creationId xmlns:a16="http://schemas.microsoft.com/office/drawing/2014/main" id="{00000000-0008-0000-0600-00006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7315</xdr:colOff>
          <xdr:row>54</xdr:row>
          <xdr:rowOff>7315</xdr:rowOff>
        </xdr:to>
        <xdr:sp macro="" textlink="">
          <xdr:nvSpPr>
            <xdr:cNvPr id="12647" name="Check Box 359" hidden="1">
              <a:extLst>
                <a:ext uri="{63B3BB69-23CF-44E3-9099-C40C66FF867C}">
                  <a14:compatExt spid="_x0000_s12647"/>
                </a:ext>
                <a:ext uri="{FF2B5EF4-FFF2-40B4-BE49-F238E27FC236}">
                  <a16:creationId xmlns:a16="http://schemas.microsoft.com/office/drawing/2014/main" id="{00000000-0008-0000-0600-00006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21946</xdr:colOff>
          <xdr:row>56</xdr:row>
          <xdr:rowOff>7315</xdr:rowOff>
        </xdr:to>
        <xdr:sp macro="" textlink="">
          <xdr:nvSpPr>
            <xdr:cNvPr id="12648" name="Check Box 360" hidden="1">
              <a:extLst>
                <a:ext uri="{63B3BB69-23CF-44E3-9099-C40C66FF867C}">
                  <a14:compatExt spid="_x0000_s12648"/>
                </a:ext>
                <a:ext uri="{FF2B5EF4-FFF2-40B4-BE49-F238E27FC236}">
                  <a16:creationId xmlns:a16="http://schemas.microsoft.com/office/drawing/2014/main" id="{00000000-0008-0000-0600-00006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7315</xdr:colOff>
          <xdr:row>58</xdr:row>
          <xdr:rowOff>7315</xdr:rowOff>
        </xdr:to>
        <xdr:sp macro="" textlink="">
          <xdr:nvSpPr>
            <xdr:cNvPr id="12649" name="Check Box 361" hidden="1">
              <a:extLst>
                <a:ext uri="{63B3BB69-23CF-44E3-9099-C40C66FF867C}">
                  <a14:compatExt spid="_x0000_s12649"/>
                </a:ext>
                <a:ext uri="{FF2B5EF4-FFF2-40B4-BE49-F238E27FC236}">
                  <a16:creationId xmlns:a16="http://schemas.microsoft.com/office/drawing/2014/main" id="{00000000-0008-0000-0600-00006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7315</xdr:colOff>
          <xdr:row>74</xdr:row>
          <xdr:rowOff>0</xdr:rowOff>
        </xdr:to>
        <xdr:sp macro="" textlink="">
          <xdr:nvSpPr>
            <xdr:cNvPr id="12653" name="Check Box 365" hidden="1">
              <a:extLst>
                <a:ext uri="{63B3BB69-23CF-44E3-9099-C40C66FF867C}">
                  <a14:compatExt spid="_x0000_s12653"/>
                </a:ext>
                <a:ext uri="{FF2B5EF4-FFF2-40B4-BE49-F238E27FC236}">
                  <a16:creationId xmlns:a16="http://schemas.microsoft.com/office/drawing/2014/main" id="{00000000-0008-0000-0600-00006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7315</xdr:colOff>
          <xdr:row>72</xdr:row>
          <xdr:rowOff>0</xdr:rowOff>
        </xdr:to>
        <xdr:sp macro="" textlink="">
          <xdr:nvSpPr>
            <xdr:cNvPr id="12657" name="Check Box 369" hidden="1">
              <a:extLst>
                <a:ext uri="{63B3BB69-23CF-44E3-9099-C40C66FF867C}">
                  <a14:compatExt spid="_x0000_s12657"/>
                </a:ext>
                <a:ext uri="{FF2B5EF4-FFF2-40B4-BE49-F238E27FC236}">
                  <a16:creationId xmlns:a16="http://schemas.microsoft.com/office/drawing/2014/main" id="{00000000-0008-0000-0600-00007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21946</xdr:rowOff>
        </xdr:from>
        <xdr:to>
          <xdr:col>2</xdr:col>
          <xdr:colOff>7315</xdr:colOff>
          <xdr:row>60</xdr:row>
          <xdr:rowOff>7315</xdr:rowOff>
        </xdr:to>
        <xdr:sp macro="" textlink="">
          <xdr:nvSpPr>
            <xdr:cNvPr id="12658" name="Check Box 370" hidden="1">
              <a:extLst>
                <a:ext uri="{63B3BB69-23CF-44E3-9099-C40C66FF867C}">
                  <a14:compatExt spid="_x0000_s12658"/>
                </a:ext>
                <a:ext uri="{FF2B5EF4-FFF2-40B4-BE49-F238E27FC236}">
                  <a16:creationId xmlns:a16="http://schemas.microsoft.com/office/drawing/2014/main" id="{00000000-0008-0000-0600-00007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82</xdr:row>
          <xdr:rowOff>0</xdr:rowOff>
        </xdr:from>
        <xdr:to>
          <xdr:col>2</xdr:col>
          <xdr:colOff>7315</xdr:colOff>
          <xdr:row>83</xdr:row>
          <xdr:rowOff>7315</xdr:rowOff>
        </xdr:to>
        <xdr:sp macro="" textlink="">
          <xdr:nvSpPr>
            <xdr:cNvPr id="12659" name="Check Box 371" hidden="1">
              <a:extLst>
                <a:ext uri="{63B3BB69-23CF-44E3-9099-C40C66FF867C}">
                  <a14:compatExt spid="_x0000_s12659"/>
                </a:ext>
                <a:ext uri="{FF2B5EF4-FFF2-40B4-BE49-F238E27FC236}">
                  <a16:creationId xmlns:a16="http://schemas.microsoft.com/office/drawing/2014/main" id="{00000000-0008-0000-0600-00007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21946</xdr:rowOff>
        </xdr:from>
        <xdr:to>
          <xdr:col>2</xdr:col>
          <xdr:colOff>7315</xdr:colOff>
          <xdr:row>85</xdr:row>
          <xdr:rowOff>0</xdr:rowOff>
        </xdr:to>
        <xdr:sp macro="" textlink="">
          <xdr:nvSpPr>
            <xdr:cNvPr id="12660" name="Check Box 372" hidden="1">
              <a:extLst>
                <a:ext uri="{63B3BB69-23CF-44E3-9099-C40C66FF867C}">
                  <a14:compatExt spid="_x0000_s12660"/>
                </a:ext>
                <a:ext uri="{FF2B5EF4-FFF2-40B4-BE49-F238E27FC236}">
                  <a16:creationId xmlns:a16="http://schemas.microsoft.com/office/drawing/2014/main" id="{00000000-0008-0000-0600-00007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2</xdr:col>
          <xdr:colOff>7315</xdr:colOff>
          <xdr:row>91</xdr:row>
          <xdr:rowOff>7315</xdr:rowOff>
        </xdr:to>
        <xdr:sp macro="" textlink="">
          <xdr:nvSpPr>
            <xdr:cNvPr id="12661" name="Check Box 373" hidden="1">
              <a:extLst>
                <a:ext uri="{63B3BB69-23CF-44E3-9099-C40C66FF867C}">
                  <a14:compatExt spid="_x0000_s12661"/>
                </a:ext>
                <a:ext uri="{FF2B5EF4-FFF2-40B4-BE49-F238E27FC236}">
                  <a16:creationId xmlns:a16="http://schemas.microsoft.com/office/drawing/2014/main" id="{00000000-0008-0000-0600-00007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2</xdr:col>
          <xdr:colOff>7315</xdr:colOff>
          <xdr:row>96</xdr:row>
          <xdr:rowOff>7315</xdr:rowOff>
        </xdr:to>
        <xdr:sp macro="" textlink="">
          <xdr:nvSpPr>
            <xdr:cNvPr id="12669" name="Check Box 381" hidden="1">
              <a:extLst>
                <a:ext uri="{63B3BB69-23CF-44E3-9099-C40C66FF867C}">
                  <a14:compatExt spid="_x0000_s12669"/>
                </a:ext>
                <a:ext uri="{FF2B5EF4-FFF2-40B4-BE49-F238E27FC236}">
                  <a16:creationId xmlns:a16="http://schemas.microsoft.com/office/drawing/2014/main" id="{00000000-0008-0000-0600-00007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7315</xdr:colOff>
          <xdr:row>98</xdr:row>
          <xdr:rowOff>7315</xdr:rowOff>
        </xdr:to>
        <xdr:sp macro="" textlink="">
          <xdr:nvSpPr>
            <xdr:cNvPr id="12670" name="Check Box 382" hidden="1">
              <a:extLst>
                <a:ext uri="{63B3BB69-23CF-44E3-9099-C40C66FF867C}">
                  <a14:compatExt spid="_x0000_s12670"/>
                </a:ext>
                <a:ext uri="{FF2B5EF4-FFF2-40B4-BE49-F238E27FC236}">
                  <a16:creationId xmlns:a16="http://schemas.microsoft.com/office/drawing/2014/main" id="{00000000-0008-0000-0600-00007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99</xdr:row>
          <xdr:rowOff>0</xdr:rowOff>
        </xdr:from>
        <xdr:to>
          <xdr:col>2</xdr:col>
          <xdr:colOff>7315</xdr:colOff>
          <xdr:row>100</xdr:row>
          <xdr:rowOff>7315</xdr:rowOff>
        </xdr:to>
        <xdr:sp macro="" textlink="">
          <xdr:nvSpPr>
            <xdr:cNvPr id="12671" name="Check Box 383" hidden="1">
              <a:extLst>
                <a:ext uri="{63B3BB69-23CF-44E3-9099-C40C66FF867C}">
                  <a14:compatExt spid="_x0000_s12671"/>
                </a:ext>
                <a:ext uri="{FF2B5EF4-FFF2-40B4-BE49-F238E27FC236}">
                  <a16:creationId xmlns:a16="http://schemas.microsoft.com/office/drawing/2014/main" id="{00000000-0008-0000-0600-00007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7315</xdr:colOff>
          <xdr:row>102</xdr:row>
          <xdr:rowOff>0</xdr:rowOff>
        </xdr:to>
        <xdr:sp macro="" textlink="">
          <xdr:nvSpPr>
            <xdr:cNvPr id="12678" name="Check Box 390" hidden="1">
              <a:extLst>
                <a:ext uri="{63B3BB69-23CF-44E3-9099-C40C66FF867C}">
                  <a14:compatExt spid="_x0000_s12678"/>
                </a:ext>
                <a:ext uri="{FF2B5EF4-FFF2-40B4-BE49-F238E27FC236}">
                  <a16:creationId xmlns:a16="http://schemas.microsoft.com/office/drawing/2014/main" id="{00000000-0008-0000-0600-00008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7315</xdr:colOff>
          <xdr:row>104</xdr:row>
          <xdr:rowOff>7315</xdr:rowOff>
        </xdr:to>
        <xdr:sp macro="" textlink="">
          <xdr:nvSpPr>
            <xdr:cNvPr id="12679" name="Check Box 391" hidden="1">
              <a:extLst>
                <a:ext uri="{63B3BB69-23CF-44E3-9099-C40C66FF867C}">
                  <a14:compatExt spid="_x0000_s12679"/>
                </a:ext>
                <a:ext uri="{FF2B5EF4-FFF2-40B4-BE49-F238E27FC236}">
                  <a16:creationId xmlns:a16="http://schemas.microsoft.com/office/drawing/2014/main" id="{00000000-0008-0000-0600-00008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7315</xdr:colOff>
          <xdr:row>109</xdr:row>
          <xdr:rowOff>7315</xdr:rowOff>
        </xdr:to>
        <xdr:sp macro="" textlink="">
          <xdr:nvSpPr>
            <xdr:cNvPr id="12680" name="Check Box 392" hidden="1">
              <a:extLst>
                <a:ext uri="{63B3BB69-23CF-44E3-9099-C40C66FF867C}">
                  <a14:compatExt spid="_x0000_s12680"/>
                </a:ext>
                <a:ext uri="{FF2B5EF4-FFF2-40B4-BE49-F238E27FC236}">
                  <a16:creationId xmlns:a16="http://schemas.microsoft.com/office/drawing/2014/main" id="{00000000-0008-0000-0600-00008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2</xdr:col>
          <xdr:colOff>7315</xdr:colOff>
          <xdr:row>111</xdr:row>
          <xdr:rowOff>0</xdr:rowOff>
        </xdr:to>
        <xdr:sp macro="" textlink="">
          <xdr:nvSpPr>
            <xdr:cNvPr id="12681" name="Check Box 393" hidden="1">
              <a:extLst>
                <a:ext uri="{63B3BB69-23CF-44E3-9099-C40C66FF867C}">
                  <a14:compatExt spid="_x0000_s12681"/>
                </a:ext>
                <a:ext uri="{FF2B5EF4-FFF2-40B4-BE49-F238E27FC236}">
                  <a16:creationId xmlns:a16="http://schemas.microsoft.com/office/drawing/2014/main" id="{00000000-0008-0000-0600-00008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112</xdr:row>
          <xdr:rowOff>0</xdr:rowOff>
        </xdr:from>
        <xdr:to>
          <xdr:col>2</xdr:col>
          <xdr:colOff>7315</xdr:colOff>
          <xdr:row>113</xdr:row>
          <xdr:rowOff>7315</xdr:rowOff>
        </xdr:to>
        <xdr:sp macro="" textlink="">
          <xdr:nvSpPr>
            <xdr:cNvPr id="12682" name="Check Box 394" hidden="1">
              <a:extLst>
                <a:ext uri="{63B3BB69-23CF-44E3-9099-C40C66FF867C}">
                  <a14:compatExt spid="_x0000_s12682"/>
                </a:ext>
                <a:ext uri="{FF2B5EF4-FFF2-40B4-BE49-F238E27FC236}">
                  <a16:creationId xmlns:a16="http://schemas.microsoft.com/office/drawing/2014/main" id="{00000000-0008-0000-0600-00008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2</xdr:col>
          <xdr:colOff>7315</xdr:colOff>
          <xdr:row>118</xdr:row>
          <xdr:rowOff>7315</xdr:rowOff>
        </xdr:to>
        <xdr:sp macro="" textlink="">
          <xdr:nvSpPr>
            <xdr:cNvPr id="12690" name="Check Box 402" hidden="1">
              <a:extLst>
                <a:ext uri="{63B3BB69-23CF-44E3-9099-C40C66FF867C}">
                  <a14:compatExt spid="_x0000_s12690"/>
                </a:ext>
                <a:ext uri="{FF2B5EF4-FFF2-40B4-BE49-F238E27FC236}">
                  <a16:creationId xmlns:a16="http://schemas.microsoft.com/office/drawing/2014/main" id="{00000000-0008-0000-0600-00009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0</xdr:rowOff>
        </xdr:from>
        <xdr:to>
          <xdr:col>2</xdr:col>
          <xdr:colOff>7315</xdr:colOff>
          <xdr:row>120</xdr:row>
          <xdr:rowOff>0</xdr:rowOff>
        </xdr:to>
        <xdr:sp macro="" textlink="">
          <xdr:nvSpPr>
            <xdr:cNvPr id="12691" name="Check Box 403" hidden="1">
              <a:extLst>
                <a:ext uri="{63B3BB69-23CF-44E3-9099-C40C66FF867C}">
                  <a14:compatExt spid="_x0000_s12691"/>
                </a:ext>
                <a:ext uri="{FF2B5EF4-FFF2-40B4-BE49-F238E27FC236}">
                  <a16:creationId xmlns:a16="http://schemas.microsoft.com/office/drawing/2014/main" id="{00000000-0008-0000-0600-00009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2</xdr:col>
          <xdr:colOff>7315</xdr:colOff>
          <xdr:row>122</xdr:row>
          <xdr:rowOff>7315</xdr:rowOff>
        </xdr:to>
        <xdr:sp macro="" textlink="">
          <xdr:nvSpPr>
            <xdr:cNvPr id="12692" name="Check Box 404" hidden="1">
              <a:extLst>
                <a:ext uri="{63B3BB69-23CF-44E3-9099-C40C66FF867C}">
                  <a14:compatExt spid="_x0000_s12692"/>
                </a:ext>
                <a:ext uri="{FF2B5EF4-FFF2-40B4-BE49-F238E27FC236}">
                  <a16:creationId xmlns:a16="http://schemas.microsoft.com/office/drawing/2014/main" id="{00000000-0008-0000-0600-00009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214</xdr:row>
          <xdr:rowOff>0</xdr:rowOff>
        </xdr:from>
        <xdr:to>
          <xdr:col>2</xdr:col>
          <xdr:colOff>7315</xdr:colOff>
          <xdr:row>215</xdr:row>
          <xdr:rowOff>0</xdr:rowOff>
        </xdr:to>
        <xdr:sp macro="" textlink="">
          <xdr:nvSpPr>
            <xdr:cNvPr id="12695" name="Check Box 407" descr="3 Fahrstreifen" hidden="1">
              <a:extLst>
                <a:ext uri="{63B3BB69-23CF-44E3-9099-C40C66FF867C}">
                  <a14:compatExt spid="_x0000_s12695"/>
                </a:ext>
                <a:ext uri="{FF2B5EF4-FFF2-40B4-BE49-F238E27FC236}">
                  <a16:creationId xmlns:a16="http://schemas.microsoft.com/office/drawing/2014/main" id="{00000000-0008-0000-0600-00009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7315</xdr:colOff>
          <xdr:row>217</xdr:row>
          <xdr:rowOff>7315</xdr:rowOff>
        </xdr:to>
        <xdr:sp macro="" textlink="">
          <xdr:nvSpPr>
            <xdr:cNvPr id="12696" name="Check Box 408" descr="3 Fahrstreifen" hidden="1">
              <a:extLst>
                <a:ext uri="{63B3BB69-23CF-44E3-9099-C40C66FF867C}">
                  <a14:compatExt spid="_x0000_s12696"/>
                </a:ext>
                <a:ext uri="{FF2B5EF4-FFF2-40B4-BE49-F238E27FC236}">
                  <a16:creationId xmlns:a16="http://schemas.microsoft.com/office/drawing/2014/main" id="{00000000-0008-0000-0600-00009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129</xdr:row>
          <xdr:rowOff>0</xdr:rowOff>
        </xdr:from>
        <xdr:to>
          <xdr:col>2</xdr:col>
          <xdr:colOff>7315</xdr:colOff>
          <xdr:row>130</xdr:row>
          <xdr:rowOff>7315</xdr:rowOff>
        </xdr:to>
        <xdr:sp macro="" textlink="">
          <xdr:nvSpPr>
            <xdr:cNvPr id="12700" name="Check Box 412" hidden="1">
              <a:extLst>
                <a:ext uri="{63B3BB69-23CF-44E3-9099-C40C66FF867C}">
                  <a14:compatExt spid="_x0000_s12700"/>
                </a:ext>
                <a:ext uri="{FF2B5EF4-FFF2-40B4-BE49-F238E27FC236}">
                  <a16:creationId xmlns:a16="http://schemas.microsoft.com/office/drawing/2014/main" id="{00000000-0008-0000-0600-00009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7315</xdr:colOff>
          <xdr:row>127</xdr:row>
          <xdr:rowOff>7315</xdr:rowOff>
        </xdr:to>
        <xdr:sp macro="" textlink="">
          <xdr:nvSpPr>
            <xdr:cNvPr id="12703" name="Check Box 415" hidden="1">
              <a:extLst>
                <a:ext uri="{63B3BB69-23CF-44E3-9099-C40C66FF867C}">
                  <a14:compatExt spid="_x0000_s12703"/>
                </a:ext>
                <a:ext uri="{FF2B5EF4-FFF2-40B4-BE49-F238E27FC236}">
                  <a16:creationId xmlns:a16="http://schemas.microsoft.com/office/drawing/2014/main" id="{00000000-0008-0000-0600-00009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143</xdr:row>
          <xdr:rowOff>190195</xdr:rowOff>
        </xdr:from>
        <xdr:to>
          <xdr:col>2</xdr:col>
          <xdr:colOff>7315</xdr:colOff>
          <xdr:row>145</xdr:row>
          <xdr:rowOff>7315</xdr:rowOff>
        </xdr:to>
        <xdr:sp macro="" textlink="">
          <xdr:nvSpPr>
            <xdr:cNvPr id="12704" name="Check Box 416" hidden="1">
              <a:extLst>
                <a:ext uri="{63B3BB69-23CF-44E3-9099-C40C66FF867C}">
                  <a14:compatExt spid="_x0000_s12704"/>
                </a:ext>
                <a:ext uri="{FF2B5EF4-FFF2-40B4-BE49-F238E27FC236}">
                  <a16:creationId xmlns:a16="http://schemas.microsoft.com/office/drawing/2014/main" id="{00000000-0008-0000-0600-0000A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146</xdr:row>
          <xdr:rowOff>0</xdr:rowOff>
        </xdr:from>
        <xdr:to>
          <xdr:col>2</xdr:col>
          <xdr:colOff>7315</xdr:colOff>
          <xdr:row>147</xdr:row>
          <xdr:rowOff>7315</xdr:rowOff>
        </xdr:to>
        <xdr:sp macro="" textlink="">
          <xdr:nvSpPr>
            <xdr:cNvPr id="12706" name="Check Box 418" hidden="1">
              <a:extLst>
                <a:ext uri="{63B3BB69-23CF-44E3-9099-C40C66FF867C}">
                  <a14:compatExt spid="_x0000_s12706"/>
                </a:ext>
                <a:ext uri="{FF2B5EF4-FFF2-40B4-BE49-F238E27FC236}">
                  <a16:creationId xmlns:a16="http://schemas.microsoft.com/office/drawing/2014/main" id="{00000000-0008-0000-0600-0000A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203</xdr:row>
          <xdr:rowOff>190195</xdr:rowOff>
        </xdr:from>
        <xdr:to>
          <xdr:col>2</xdr:col>
          <xdr:colOff>7315</xdr:colOff>
          <xdr:row>204</xdr:row>
          <xdr:rowOff>190195</xdr:rowOff>
        </xdr:to>
        <xdr:sp macro="" textlink="">
          <xdr:nvSpPr>
            <xdr:cNvPr id="12716" name="Check Box 428" descr="3 Fahrstreifen" hidden="1">
              <a:extLst>
                <a:ext uri="{63B3BB69-23CF-44E3-9099-C40C66FF867C}">
                  <a14:compatExt spid="_x0000_s12716"/>
                </a:ext>
                <a:ext uri="{FF2B5EF4-FFF2-40B4-BE49-F238E27FC236}">
                  <a16:creationId xmlns:a16="http://schemas.microsoft.com/office/drawing/2014/main" id="{00000000-0008-0000-0600-0000A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207</xdr:row>
          <xdr:rowOff>0</xdr:rowOff>
        </xdr:from>
        <xdr:to>
          <xdr:col>2</xdr:col>
          <xdr:colOff>7315</xdr:colOff>
          <xdr:row>208</xdr:row>
          <xdr:rowOff>7315</xdr:rowOff>
        </xdr:to>
        <xdr:sp macro="" textlink="">
          <xdr:nvSpPr>
            <xdr:cNvPr id="12773" name="Check Box 485" descr="3 Fahrstreifen" hidden="1">
              <a:extLst>
                <a:ext uri="{63B3BB69-23CF-44E3-9099-C40C66FF867C}">
                  <a14:compatExt spid="_x0000_s12773"/>
                </a:ext>
                <a:ext uri="{FF2B5EF4-FFF2-40B4-BE49-F238E27FC236}">
                  <a16:creationId xmlns:a16="http://schemas.microsoft.com/office/drawing/2014/main" id="{00000000-0008-0000-0600-0000E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209</xdr:row>
          <xdr:rowOff>0</xdr:rowOff>
        </xdr:from>
        <xdr:to>
          <xdr:col>2</xdr:col>
          <xdr:colOff>7315</xdr:colOff>
          <xdr:row>210</xdr:row>
          <xdr:rowOff>21946</xdr:rowOff>
        </xdr:to>
        <xdr:sp macro="" textlink="">
          <xdr:nvSpPr>
            <xdr:cNvPr id="12774" name="Check Box 486" descr="3 Fahrstreifen" hidden="1">
              <a:extLst>
                <a:ext uri="{63B3BB69-23CF-44E3-9099-C40C66FF867C}">
                  <a14:compatExt spid="_x0000_s12774"/>
                </a:ext>
                <a:ext uri="{FF2B5EF4-FFF2-40B4-BE49-F238E27FC236}">
                  <a16:creationId xmlns:a16="http://schemas.microsoft.com/office/drawing/2014/main" id="{00000000-0008-0000-0600-0000E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151</xdr:row>
          <xdr:rowOff>0</xdr:rowOff>
        </xdr:from>
        <xdr:to>
          <xdr:col>2</xdr:col>
          <xdr:colOff>7315</xdr:colOff>
          <xdr:row>152</xdr:row>
          <xdr:rowOff>7315</xdr:rowOff>
        </xdr:to>
        <xdr:sp macro="" textlink="">
          <xdr:nvSpPr>
            <xdr:cNvPr id="12775" name="Check Box 487" hidden="1">
              <a:extLst>
                <a:ext uri="{63B3BB69-23CF-44E3-9099-C40C66FF867C}">
                  <a14:compatExt spid="_x0000_s12775"/>
                </a:ext>
                <a:ext uri="{FF2B5EF4-FFF2-40B4-BE49-F238E27FC236}">
                  <a16:creationId xmlns:a16="http://schemas.microsoft.com/office/drawing/2014/main" id="{00000000-0008-0000-0600-0000E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131</xdr:row>
          <xdr:rowOff>0</xdr:rowOff>
        </xdr:from>
        <xdr:to>
          <xdr:col>4</xdr:col>
          <xdr:colOff>0</xdr:colOff>
          <xdr:row>132</xdr:row>
          <xdr:rowOff>21946</xdr:rowOff>
        </xdr:to>
        <xdr:sp macro="" textlink="">
          <xdr:nvSpPr>
            <xdr:cNvPr id="12776" name="Check Box 488" hidden="1">
              <a:extLst>
                <a:ext uri="{63B3BB69-23CF-44E3-9099-C40C66FF867C}">
                  <a14:compatExt spid="_x0000_s12776"/>
                </a:ext>
                <a:ext uri="{FF2B5EF4-FFF2-40B4-BE49-F238E27FC236}">
                  <a16:creationId xmlns:a16="http://schemas.microsoft.com/office/drawing/2014/main" id="{00000000-0008-0000-0600-0000E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153</xdr:row>
          <xdr:rowOff>0</xdr:rowOff>
        </xdr:from>
        <xdr:to>
          <xdr:col>4</xdr:col>
          <xdr:colOff>0</xdr:colOff>
          <xdr:row>154</xdr:row>
          <xdr:rowOff>0</xdr:rowOff>
        </xdr:to>
        <xdr:sp macro="" textlink="">
          <xdr:nvSpPr>
            <xdr:cNvPr id="12779" name="Check Box 491" hidden="1">
              <a:extLst>
                <a:ext uri="{63B3BB69-23CF-44E3-9099-C40C66FF867C}">
                  <a14:compatExt spid="_x0000_s12779"/>
                </a:ext>
                <a:ext uri="{FF2B5EF4-FFF2-40B4-BE49-F238E27FC236}">
                  <a16:creationId xmlns:a16="http://schemas.microsoft.com/office/drawing/2014/main" id="{00000000-0008-0000-0600-0000E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155</xdr:row>
          <xdr:rowOff>0</xdr:rowOff>
        </xdr:from>
        <xdr:to>
          <xdr:col>4</xdr:col>
          <xdr:colOff>0</xdr:colOff>
          <xdr:row>156</xdr:row>
          <xdr:rowOff>0</xdr:rowOff>
        </xdr:to>
        <xdr:sp macro="" textlink="">
          <xdr:nvSpPr>
            <xdr:cNvPr id="12780" name="Check Box 492" hidden="1">
              <a:extLst>
                <a:ext uri="{63B3BB69-23CF-44E3-9099-C40C66FF867C}">
                  <a14:compatExt spid="_x0000_s12780"/>
                </a:ext>
                <a:ext uri="{FF2B5EF4-FFF2-40B4-BE49-F238E27FC236}">
                  <a16:creationId xmlns:a16="http://schemas.microsoft.com/office/drawing/2014/main" id="{00000000-0008-0000-0600-0000E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0</xdr:rowOff>
        </xdr:from>
        <xdr:to>
          <xdr:col>2</xdr:col>
          <xdr:colOff>7315</xdr:colOff>
          <xdr:row>78</xdr:row>
          <xdr:rowOff>7315</xdr:rowOff>
        </xdr:to>
        <xdr:sp macro="" textlink="">
          <xdr:nvSpPr>
            <xdr:cNvPr id="12781" name="Check Box 493" hidden="1">
              <a:extLst>
                <a:ext uri="{63B3BB69-23CF-44E3-9099-C40C66FF867C}">
                  <a14:compatExt spid="_x0000_s12781"/>
                </a:ext>
                <a:ext uri="{FF2B5EF4-FFF2-40B4-BE49-F238E27FC236}">
                  <a16:creationId xmlns:a16="http://schemas.microsoft.com/office/drawing/2014/main" id="{00000000-0008-0000-0600-0000E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201</xdr:row>
          <xdr:rowOff>0</xdr:rowOff>
        </xdr:from>
        <xdr:to>
          <xdr:col>2</xdr:col>
          <xdr:colOff>7315</xdr:colOff>
          <xdr:row>202</xdr:row>
          <xdr:rowOff>7315</xdr:rowOff>
        </xdr:to>
        <xdr:sp macro="" textlink="">
          <xdr:nvSpPr>
            <xdr:cNvPr id="12782" name="Check Box 494" hidden="1">
              <a:extLst>
                <a:ext uri="{63B3BB69-23CF-44E3-9099-C40C66FF867C}">
                  <a14:compatExt spid="_x0000_s12782"/>
                </a:ext>
                <a:ext uri="{FF2B5EF4-FFF2-40B4-BE49-F238E27FC236}">
                  <a16:creationId xmlns:a16="http://schemas.microsoft.com/office/drawing/2014/main" id="{00000000-0008-0000-0600-0000E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7315</xdr:colOff>
          <xdr:row>186</xdr:row>
          <xdr:rowOff>7315</xdr:rowOff>
        </xdr:to>
        <xdr:sp macro="" textlink="">
          <xdr:nvSpPr>
            <xdr:cNvPr id="12783" name="Check Box 495" hidden="1">
              <a:extLst>
                <a:ext uri="{63B3BB69-23CF-44E3-9099-C40C66FF867C}">
                  <a14:compatExt spid="_x0000_s12783"/>
                </a:ext>
                <a:ext uri="{FF2B5EF4-FFF2-40B4-BE49-F238E27FC236}">
                  <a16:creationId xmlns:a16="http://schemas.microsoft.com/office/drawing/2014/main" id="{00000000-0008-0000-0600-0000E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7315</xdr:colOff>
          <xdr:row>70</xdr:row>
          <xdr:rowOff>0</xdr:rowOff>
        </xdr:to>
        <xdr:sp macro="" textlink="">
          <xdr:nvSpPr>
            <xdr:cNvPr id="12784" name="Check Box 496" hidden="1">
              <a:extLst>
                <a:ext uri="{63B3BB69-23CF-44E3-9099-C40C66FF867C}">
                  <a14:compatExt spid="_x0000_s12784"/>
                </a:ext>
                <a:ext uri="{FF2B5EF4-FFF2-40B4-BE49-F238E27FC236}">
                  <a16:creationId xmlns:a16="http://schemas.microsoft.com/office/drawing/2014/main" id="{00000000-0008-0000-0600-0000F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7315</xdr:colOff>
          <xdr:row>68</xdr:row>
          <xdr:rowOff>0</xdr:rowOff>
        </xdr:to>
        <xdr:sp macro="" textlink="">
          <xdr:nvSpPr>
            <xdr:cNvPr id="12785" name="Check Box 497" hidden="1">
              <a:extLst>
                <a:ext uri="{63B3BB69-23CF-44E3-9099-C40C66FF867C}">
                  <a14:compatExt spid="_x0000_s12785"/>
                </a:ext>
                <a:ext uri="{FF2B5EF4-FFF2-40B4-BE49-F238E27FC236}">
                  <a16:creationId xmlns:a16="http://schemas.microsoft.com/office/drawing/2014/main" id="{00000000-0008-0000-0600-0000F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7315</xdr:colOff>
          <xdr:row>66</xdr:row>
          <xdr:rowOff>0</xdr:rowOff>
        </xdr:to>
        <xdr:sp macro="" textlink="">
          <xdr:nvSpPr>
            <xdr:cNvPr id="12786" name="Check Box 498" hidden="1">
              <a:extLst>
                <a:ext uri="{63B3BB69-23CF-44E3-9099-C40C66FF867C}">
                  <a14:compatExt spid="_x0000_s12786"/>
                </a:ext>
                <a:ext uri="{FF2B5EF4-FFF2-40B4-BE49-F238E27FC236}">
                  <a16:creationId xmlns:a16="http://schemas.microsoft.com/office/drawing/2014/main" id="{00000000-0008-0000-0600-0000F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7315</xdr:colOff>
          <xdr:row>64</xdr:row>
          <xdr:rowOff>0</xdr:rowOff>
        </xdr:to>
        <xdr:sp macro="" textlink="">
          <xdr:nvSpPr>
            <xdr:cNvPr id="12787" name="Check Box 499" hidden="1">
              <a:extLst>
                <a:ext uri="{63B3BB69-23CF-44E3-9099-C40C66FF867C}">
                  <a14:compatExt spid="_x0000_s12787"/>
                </a:ext>
                <a:ext uri="{FF2B5EF4-FFF2-40B4-BE49-F238E27FC236}">
                  <a16:creationId xmlns:a16="http://schemas.microsoft.com/office/drawing/2014/main" id="{00000000-0008-0000-0600-0000F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7315</xdr:colOff>
          <xdr:row>62</xdr:row>
          <xdr:rowOff>0</xdr:rowOff>
        </xdr:to>
        <xdr:sp macro="" textlink="">
          <xdr:nvSpPr>
            <xdr:cNvPr id="12788" name="Check Box 500" hidden="1">
              <a:extLst>
                <a:ext uri="{63B3BB69-23CF-44E3-9099-C40C66FF867C}">
                  <a14:compatExt spid="_x0000_s12788"/>
                </a:ext>
                <a:ext uri="{FF2B5EF4-FFF2-40B4-BE49-F238E27FC236}">
                  <a16:creationId xmlns:a16="http://schemas.microsoft.com/office/drawing/2014/main" id="{00000000-0008-0000-0600-0000F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7315</xdr:colOff>
          <xdr:row>76</xdr:row>
          <xdr:rowOff>0</xdr:rowOff>
        </xdr:to>
        <xdr:sp macro="" textlink="">
          <xdr:nvSpPr>
            <xdr:cNvPr id="12789" name="Check Box 501" hidden="1">
              <a:extLst>
                <a:ext uri="{63B3BB69-23CF-44E3-9099-C40C66FF867C}">
                  <a14:compatExt spid="_x0000_s12789"/>
                </a:ext>
                <a:ext uri="{FF2B5EF4-FFF2-40B4-BE49-F238E27FC236}">
                  <a16:creationId xmlns:a16="http://schemas.microsoft.com/office/drawing/2014/main" id="{00000000-0008-0000-0600-0000F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7315</xdr:colOff>
          <xdr:row>41</xdr:row>
          <xdr:rowOff>0</xdr:rowOff>
        </xdr:to>
        <xdr:sp macro="" textlink="">
          <xdr:nvSpPr>
            <xdr:cNvPr id="12790" name="Check Box 502" hidden="1">
              <a:extLst>
                <a:ext uri="{63B3BB69-23CF-44E3-9099-C40C66FF867C}">
                  <a14:compatExt spid="_x0000_s12790"/>
                </a:ext>
                <a:ext uri="{FF2B5EF4-FFF2-40B4-BE49-F238E27FC236}">
                  <a16:creationId xmlns:a16="http://schemas.microsoft.com/office/drawing/2014/main" id="{00000000-0008-0000-0600-0000F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7315</xdr:colOff>
          <xdr:row>39</xdr:row>
          <xdr:rowOff>0</xdr:rowOff>
        </xdr:to>
        <xdr:sp macro="" textlink="">
          <xdr:nvSpPr>
            <xdr:cNvPr id="12791" name="Check Box 503" hidden="1">
              <a:extLst>
                <a:ext uri="{63B3BB69-23CF-44E3-9099-C40C66FF867C}">
                  <a14:compatExt spid="_x0000_s12791"/>
                </a:ext>
                <a:ext uri="{FF2B5EF4-FFF2-40B4-BE49-F238E27FC236}">
                  <a16:creationId xmlns:a16="http://schemas.microsoft.com/office/drawing/2014/main" id="{00000000-0008-0000-0600-0000F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7315</xdr:colOff>
          <xdr:row>43</xdr:row>
          <xdr:rowOff>0</xdr:rowOff>
        </xdr:to>
        <xdr:sp macro="" textlink="">
          <xdr:nvSpPr>
            <xdr:cNvPr id="12792" name="Check Box 504" hidden="1">
              <a:extLst>
                <a:ext uri="{63B3BB69-23CF-44E3-9099-C40C66FF867C}">
                  <a14:compatExt spid="_x0000_s12792"/>
                </a:ext>
                <a:ext uri="{FF2B5EF4-FFF2-40B4-BE49-F238E27FC236}">
                  <a16:creationId xmlns:a16="http://schemas.microsoft.com/office/drawing/2014/main" id="{00000000-0008-0000-0600-0000F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7315</xdr:colOff>
          <xdr:row>89</xdr:row>
          <xdr:rowOff>7315</xdr:rowOff>
        </xdr:to>
        <xdr:sp macro="" textlink="">
          <xdr:nvSpPr>
            <xdr:cNvPr id="12793" name="Check Box 505" hidden="1">
              <a:extLst>
                <a:ext uri="{63B3BB69-23CF-44E3-9099-C40C66FF867C}">
                  <a14:compatExt spid="_x0000_s12793"/>
                </a:ext>
                <a:ext uri="{FF2B5EF4-FFF2-40B4-BE49-F238E27FC236}">
                  <a16:creationId xmlns:a16="http://schemas.microsoft.com/office/drawing/2014/main" id="{00000000-0008-0000-0600-0000F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7315</xdr:colOff>
          <xdr:row>87</xdr:row>
          <xdr:rowOff>7315</xdr:rowOff>
        </xdr:to>
        <xdr:sp macro="" textlink="">
          <xdr:nvSpPr>
            <xdr:cNvPr id="12794" name="Check Box 506" hidden="1">
              <a:extLst>
                <a:ext uri="{63B3BB69-23CF-44E3-9099-C40C66FF867C}">
                  <a14:compatExt spid="_x0000_s12794"/>
                </a:ext>
                <a:ext uri="{FF2B5EF4-FFF2-40B4-BE49-F238E27FC236}">
                  <a16:creationId xmlns:a16="http://schemas.microsoft.com/office/drawing/2014/main" id="{00000000-0008-0000-0600-0000F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2</xdr:col>
          <xdr:colOff>21946</xdr:colOff>
          <xdr:row>85</xdr:row>
          <xdr:rowOff>7315</xdr:rowOff>
        </xdr:to>
        <xdr:sp macro="" textlink="">
          <xdr:nvSpPr>
            <xdr:cNvPr id="12798" name="Check Box 510" hidden="1">
              <a:extLst>
                <a:ext uri="{63B3BB69-23CF-44E3-9099-C40C66FF867C}">
                  <a14:compatExt spid="_x0000_s12798"/>
                </a:ext>
                <a:ext uri="{FF2B5EF4-FFF2-40B4-BE49-F238E27FC236}">
                  <a16:creationId xmlns:a16="http://schemas.microsoft.com/office/drawing/2014/main" id="{00000000-0008-0000-0600-0000F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21946</xdr:colOff>
          <xdr:row>87</xdr:row>
          <xdr:rowOff>7315</xdr:rowOff>
        </xdr:to>
        <xdr:sp macro="" textlink="">
          <xdr:nvSpPr>
            <xdr:cNvPr id="12799" name="Check Box 511" hidden="1">
              <a:extLst>
                <a:ext uri="{63B3BB69-23CF-44E3-9099-C40C66FF867C}">
                  <a14:compatExt spid="_x0000_s12799"/>
                </a:ext>
                <a:ext uri="{FF2B5EF4-FFF2-40B4-BE49-F238E27FC236}">
                  <a16:creationId xmlns:a16="http://schemas.microsoft.com/office/drawing/2014/main" id="{00000000-0008-0000-0600-0000F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7315</xdr:colOff>
          <xdr:row>89</xdr:row>
          <xdr:rowOff>7315</xdr:rowOff>
        </xdr:to>
        <xdr:sp macro="" textlink="">
          <xdr:nvSpPr>
            <xdr:cNvPr id="12800" name="Check Box 512" hidden="1">
              <a:extLst>
                <a:ext uri="{63B3BB69-23CF-44E3-9099-C40C66FF867C}">
                  <a14:compatExt spid="_x0000_s12800"/>
                </a:ext>
                <a:ext uri="{FF2B5EF4-FFF2-40B4-BE49-F238E27FC236}">
                  <a16:creationId xmlns:a16="http://schemas.microsoft.com/office/drawing/2014/main" id="{00000000-0008-0000-0600-00000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21946</xdr:colOff>
          <xdr:row>89</xdr:row>
          <xdr:rowOff>7315</xdr:rowOff>
        </xdr:to>
        <xdr:sp macro="" textlink="">
          <xdr:nvSpPr>
            <xdr:cNvPr id="12801" name="Check Box 513" hidden="1">
              <a:extLst>
                <a:ext uri="{63B3BB69-23CF-44E3-9099-C40C66FF867C}">
                  <a14:compatExt spid="_x0000_s12801"/>
                </a:ext>
                <a:ext uri="{FF2B5EF4-FFF2-40B4-BE49-F238E27FC236}">
                  <a16:creationId xmlns:a16="http://schemas.microsoft.com/office/drawing/2014/main" id="{00000000-0008-0000-0600-00000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2</xdr:col>
          <xdr:colOff>7315</xdr:colOff>
          <xdr:row>91</xdr:row>
          <xdr:rowOff>7315</xdr:rowOff>
        </xdr:to>
        <xdr:sp macro="" textlink="">
          <xdr:nvSpPr>
            <xdr:cNvPr id="12802" name="Check Box 514" hidden="1">
              <a:extLst>
                <a:ext uri="{63B3BB69-23CF-44E3-9099-C40C66FF867C}">
                  <a14:compatExt spid="_x0000_s12802"/>
                </a:ext>
                <a:ext uri="{FF2B5EF4-FFF2-40B4-BE49-F238E27FC236}">
                  <a16:creationId xmlns:a16="http://schemas.microsoft.com/office/drawing/2014/main" id="{00000000-0008-0000-0600-00000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2</xdr:col>
          <xdr:colOff>7315</xdr:colOff>
          <xdr:row>91</xdr:row>
          <xdr:rowOff>7315</xdr:rowOff>
        </xdr:to>
        <xdr:sp macro="" textlink="">
          <xdr:nvSpPr>
            <xdr:cNvPr id="12803" name="Check Box 515" hidden="1">
              <a:extLst>
                <a:ext uri="{63B3BB69-23CF-44E3-9099-C40C66FF867C}">
                  <a14:compatExt spid="_x0000_s12803"/>
                </a:ext>
                <a:ext uri="{FF2B5EF4-FFF2-40B4-BE49-F238E27FC236}">
                  <a16:creationId xmlns:a16="http://schemas.microsoft.com/office/drawing/2014/main" id="{00000000-0008-0000-0600-00000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2</xdr:col>
          <xdr:colOff>21946</xdr:colOff>
          <xdr:row>91</xdr:row>
          <xdr:rowOff>7315</xdr:rowOff>
        </xdr:to>
        <xdr:sp macro="" textlink="">
          <xdr:nvSpPr>
            <xdr:cNvPr id="12804" name="Check Box 516" hidden="1">
              <a:extLst>
                <a:ext uri="{63B3BB69-23CF-44E3-9099-C40C66FF867C}">
                  <a14:compatExt spid="_x0000_s12804"/>
                </a:ext>
                <a:ext uri="{FF2B5EF4-FFF2-40B4-BE49-F238E27FC236}">
                  <a16:creationId xmlns:a16="http://schemas.microsoft.com/office/drawing/2014/main" id="{00000000-0008-0000-0600-00000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7315</xdr:colOff>
          <xdr:row>104</xdr:row>
          <xdr:rowOff>7315</xdr:rowOff>
        </xdr:to>
        <xdr:sp macro="" textlink="">
          <xdr:nvSpPr>
            <xdr:cNvPr id="12807" name="Check Box 519" hidden="1">
              <a:extLst>
                <a:ext uri="{63B3BB69-23CF-44E3-9099-C40C66FF867C}">
                  <a14:compatExt spid="_x0000_s12807"/>
                </a:ext>
                <a:ext uri="{FF2B5EF4-FFF2-40B4-BE49-F238E27FC236}">
                  <a16:creationId xmlns:a16="http://schemas.microsoft.com/office/drawing/2014/main" id="{00000000-0008-0000-0600-00000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21946</xdr:colOff>
          <xdr:row>104</xdr:row>
          <xdr:rowOff>7315</xdr:rowOff>
        </xdr:to>
        <xdr:sp macro="" textlink="">
          <xdr:nvSpPr>
            <xdr:cNvPr id="12808" name="Check Box 520" hidden="1">
              <a:extLst>
                <a:ext uri="{63B3BB69-23CF-44E3-9099-C40C66FF867C}">
                  <a14:compatExt spid="_x0000_s12808"/>
                </a:ext>
                <a:ext uri="{FF2B5EF4-FFF2-40B4-BE49-F238E27FC236}">
                  <a16:creationId xmlns:a16="http://schemas.microsoft.com/office/drawing/2014/main" id="{00000000-0008-0000-0600-00000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2</xdr:col>
          <xdr:colOff>7315</xdr:colOff>
          <xdr:row>122</xdr:row>
          <xdr:rowOff>7315</xdr:rowOff>
        </xdr:to>
        <xdr:sp macro="" textlink="">
          <xdr:nvSpPr>
            <xdr:cNvPr id="12809" name="Check Box 521" hidden="1">
              <a:extLst>
                <a:ext uri="{63B3BB69-23CF-44E3-9099-C40C66FF867C}">
                  <a14:compatExt spid="_x0000_s12809"/>
                </a:ext>
                <a:ext uri="{FF2B5EF4-FFF2-40B4-BE49-F238E27FC236}">
                  <a16:creationId xmlns:a16="http://schemas.microsoft.com/office/drawing/2014/main" id="{00000000-0008-0000-0600-00000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7315</xdr:colOff>
          <xdr:row>217</xdr:row>
          <xdr:rowOff>7315</xdr:rowOff>
        </xdr:to>
        <xdr:sp macro="" textlink="">
          <xdr:nvSpPr>
            <xdr:cNvPr id="12816" name="Check Box 528" descr="3 Fahrstreifen" hidden="1">
              <a:extLst>
                <a:ext uri="{63B3BB69-23CF-44E3-9099-C40C66FF867C}">
                  <a14:compatExt spid="_x0000_s12816"/>
                </a:ext>
                <a:ext uri="{FF2B5EF4-FFF2-40B4-BE49-F238E27FC236}">
                  <a16:creationId xmlns:a16="http://schemas.microsoft.com/office/drawing/2014/main" id="{00000000-0008-0000-0600-00001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132</xdr:row>
          <xdr:rowOff>321869</xdr:rowOff>
        </xdr:from>
        <xdr:to>
          <xdr:col>4</xdr:col>
          <xdr:colOff>0</xdr:colOff>
          <xdr:row>134</xdr:row>
          <xdr:rowOff>0</xdr:rowOff>
        </xdr:to>
        <xdr:sp macro="" textlink="">
          <xdr:nvSpPr>
            <xdr:cNvPr id="12817" name="Check Box 529" hidden="1">
              <a:extLst>
                <a:ext uri="{63B3BB69-23CF-44E3-9099-C40C66FF867C}">
                  <a14:compatExt spid="_x0000_s12817"/>
                </a:ext>
                <a:ext uri="{FF2B5EF4-FFF2-40B4-BE49-F238E27FC236}">
                  <a16:creationId xmlns:a16="http://schemas.microsoft.com/office/drawing/2014/main" id="{00000000-0008-0000-0600-00001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7315</xdr:colOff>
          <xdr:row>14</xdr:row>
          <xdr:rowOff>7315</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7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21946</xdr:rowOff>
        </xdr:from>
        <xdr:to>
          <xdr:col>2</xdr:col>
          <xdr:colOff>7315</xdr:colOff>
          <xdr:row>16</xdr:row>
          <xdr:rowOff>7315</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7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7315</xdr:colOff>
          <xdr:row>18</xdr:row>
          <xdr:rowOff>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7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7315</xdr:colOff>
          <xdr:row>23</xdr:row>
          <xdr:rowOff>0</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0700-00000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7315</xdr:colOff>
          <xdr:row>25</xdr:row>
          <xdr:rowOff>7315</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0700-00000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21946</xdr:rowOff>
        </xdr:from>
        <xdr:to>
          <xdr:col>2</xdr:col>
          <xdr:colOff>7315</xdr:colOff>
          <xdr:row>27</xdr:row>
          <xdr:rowOff>7315</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700-00000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7315</xdr:colOff>
          <xdr:row>32</xdr:row>
          <xdr:rowOff>7315</xdr:rowOff>
        </xdr:to>
        <xdr:sp macro="" textlink="">
          <xdr:nvSpPr>
            <xdr:cNvPr id="46093" name="Check Box 13" hidden="1">
              <a:extLst>
                <a:ext uri="{63B3BB69-23CF-44E3-9099-C40C66FF867C}">
                  <a14:compatExt spid="_x0000_s46093"/>
                </a:ext>
                <a:ext uri="{FF2B5EF4-FFF2-40B4-BE49-F238E27FC236}">
                  <a16:creationId xmlns:a16="http://schemas.microsoft.com/office/drawing/2014/main" id="{00000000-0008-0000-0700-00000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21946</xdr:rowOff>
        </xdr:from>
        <xdr:to>
          <xdr:col>2</xdr:col>
          <xdr:colOff>7315</xdr:colOff>
          <xdr:row>34</xdr:row>
          <xdr:rowOff>7315</xdr:rowOff>
        </xdr:to>
        <xdr:sp macro="" textlink="">
          <xdr:nvSpPr>
            <xdr:cNvPr id="46094" name="Check Box 14" hidden="1">
              <a:extLst>
                <a:ext uri="{63B3BB69-23CF-44E3-9099-C40C66FF867C}">
                  <a14:compatExt spid="_x0000_s46094"/>
                </a:ext>
                <a:ext uri="{FF2B5EF4-FFF2-40B4-BE49-F238E27FC236}">
                  <a16:creationId xmlns:a16="http://schemas.microsoft.com/office/drawing/2014/main" id="{00000000-0008-0000-0700-00000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7315</xdr:colOff>
          <xdr:row>36</xdr:row>
          <xdr:rowOff>7315</xdr:rowOff>
        </xdr:to>
        <xdr:sp macro="" textlink="">
          <xdr:nvSpPr>
            <xdr:cNvPr id="46095" name="Check Box 15" hidden="1">
              <a:extLst>
                <a:ext uri="{63B3BB69-23CF-44E3-9099-C40C66FF867C}">
                  <a14:compatExt spid="_x0000_s46095"/>
                </a:ext>
                <a:ext uri="{FF2B5EF4-FFF2-40B4-BE49-F238E27FC236}">
                  <a16:creationId xmlns:a16="http://schemas.microsoft.com/office/drawing/2014/main" id="{00000000-0008-0000-0700-00000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7315</xdr:colOff>
          <xdr:row>41</xdr:row>
          <xdr:rowOff>7315</xdr:rowOff>
        </xdr:to>
        <xdr:sp macro="" textlink="">
          <xdr:nvSpPr>
            <xdr:cNvPr id="46101" name="Check Box 21" hidden="1">
              <a:extLst>
                <a:ext uri="{63B3BB69-23CF-44E3-9099-C40C66FF867C}">
                  <a14:compatExt spid="_x0000_s46101"/>
                </a:ext>
                <a:ext uri="{FF2B5EF4-FFF2-40B4-BE49-F238E27FC236}">
                  <a16:creationId xmlns:a16="http://schemas.microsoft.com/office/drawing/2014/main" id="{00000000-0008-0000-0700-00001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21946</xdr:rowOff>
        </xdr:from>
        <xdr:to>
          <xdr:col>2</xdr:col>
          <xdr:colOff>7315</xdr:colOff>
          <xdr:row>43</xdr:row>
          <xdr:rowOff>0</xdr:rowOff>
        </xdr:to>
        <xdr:sp macro="" textlink="">
          <xdr:nvSpPr>
            <xdr:cNvPr id="46102" name="Check Box 22" hidden="1">
              <a:extLst>
                <a:ext uri="{63B3BB69-23CF-44E3-9099-C40C66FF867C}">
                  <a14:compatExt spid="_x0000_s46102"/>
                </a:ext>
                <a:ext uri="{FF2B5EF4-FFF2-40B4-BE49-F238E27FC236}">
                  <a16:creationId xmlns:a16="http://schemas.microsoft.com/office/drawing/2014/main" id="{00000000-0008-0000-0700-00001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7315</xdr:colOff>
          <xdr:row>50</xdr:row>
          <xdr:rowOff>7315</xdr:rowOff>
        </xdr:to>
        <xdr:sp macro="" textlink="">
          <xdr:nvSpPr>
            <xdr:cNvPr id="46104" name="Check Box 24" hidden="1">
              <a:extLst>
                <a:ext uri="{63B3BB69-23CF-44E3-9099-C40C66FF867C}">
                  <a14:compatExt spid="_x0000_s46104"/>
                </a:ext>
                <a:ext uri="{FF2B5EF4-FFF2-40B4-BE49-F238E27FC236}">
                  <a16:creationId xmlns:a16="http://schemas.microsoft.com/office/drawing/2014/main" id="{00000000-0008-0000-0700-00001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7315</xdr:colOff>
          <xdr:row>52</xdr:row>
          <xdr:rowOff>7315</xdr:rowOff>
        </xdr:to>
        <xdr:sp macro="" textlink="">
          <xdr:nvSpPr>
            <xdr:cNvPr id="46105" name="Check Box 25" hidden="1">
              <a:extLst>
                <a:ext uri="{63B3BB69-23CF-44E3-9099-C40C66FF867C}">
                  <a14:compatExt spid="_x0000_s46105"/>
                </a:ext>
                <a:ext uri="{FF2B5EF4-FFF2-40B4-BE49-F238E27FC236}">
                  <a16:creationId xmlns:a16="http://schemas.microsoft.com/office/drawing/2014/main" id="{00000000-0008-0000-0700-00001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7315</xdr:colOff>
          <xdr:row>54</xdr:row>
          <xdr:rowOff>7315</xdr:rowOff>
        </xdr:to>
        <xdr:sp macro="" textlink="">
          <xdr:nvSpPr>
            <xdr:cNvPr id="46106" name="Check Box 26" hidden="1">
              <a:extLst>
                <a:ext uri="{63B3BB69-23CF-44E3-9099-C40C66FF867C}">
                  <a14:compatExt spid="_x0000_s46106"/>
                </a:ext>
                <a:ext uri="{FF2B5EF4-FFF2-40B4-BE49-F238E27FC236}">
                  <a16:creationId xmlns:a16="http://schemas.microsoft.com/office/drawing/2014/main" id="{00000000-0008-0000-0700-00001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7315</xdr:colOff>
          <xdr:row>59</xdr:row>
          <xdr:rowOff>7315</xdr:rowOff>
        </xdr:to>
        <xdr:sp macro="" textlink="">
          <xdr:nvSpPr>
            <xdr:cNvPr id="46109" name="Check Box 29" hidden="1">
              <a:extLst>
                <a:ext uri="{63B3BB69-23CF-44E3-9099-C40C66FF867C}">
                  <a14:compatExt spid="_x0000_s46109"/>
                </a:ext>
                <a:ext uri="{FF2B5EF4-FFF2-40B4-BE49-F238E27FC236}">
                  <a16:creationId xmlns:a16="http://schemas.microsoft.com/office/drawing/2014/main" id="{00000000-0008-0000-0700-00001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7315</xdr:colOff>
          <xdr:row>61</xdr:row>
          <xdr:rowOff>0</xdr:rowOff>
        </xdr:to>
        <xdr:sp macro="" textlink="">
          <xdr:nvSpPr>
            <xdr:cNvPr id="46110" name="Check Box 30" hidden="1">
              <a:extLst>
                <a:ext uri="{63B3BB69-23CF-44E3-9099-C40C66FF867C}">
                  <a14:compatExt spid="_x0000_s46110"/>
                </a:ext>
                <a:ext uri="{FF2B5EF4-FFF2-40B4-BE49-F238E27FC236}">
                  <a16:creationId xmlns:a16="http://schemas.microsoft.com/office/drawing/2014/main" id="{00000000-0008-0000-0700-00001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7315</xdr:colOff>
          <xdr:row>63</xdr:row>
          <xdr:rowOff>7315</xdr:rowOff>
        </xdr:to>
        <xdr:sp macro="" textlink="">
          <xdr:nvSpPr>
            <xdr:cNvPr id="46111" name="Check Box 31" hidden="1">
              <a:extLst>
                <a:ext uri="{63B3BB69-23CF-44E3-9099-C40C66FF867C}">
                  <a14:compatExt spid="_x0000_s46111"/>
                </a:ext>
                <a:ext uri="{FF2B5EF4-FFF2-40B4-BE49-F238E27FC236}">
                  <a16:creationId xmlns:a16="http://schemas.microsoft.com/office/drawing/2014/main" id="{00000000-0008-0000-0700-00001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7315</xdr:colOff>
          <xdr:row>68</xdr:row>
          <xdr:rowOff>7315</xdr:rowOff>
        </xdr:to>
        <xdr:sp macro="" textlink="">
          <xdr:nvSpPr>
            <xdr:cNvPr id="46112" name="Check Box 32" hidden="1">
              <a:extLst>
                <a:ext uri="{63B3BB69-23CF-44E3-9099-C40C66FF867C}">
                  <a14:compatExt spid="_x0000_s46112"/>
                </a:ext>
                <a:ext uri="{FF2B5EF4-FFF2-40B4-BE49-F238E27FC236}">
                  <a16:creationId xmlns:a16="http://schemas.microsoft.com/office/drawing/2014/main" id="{00000000-0008-0000-0700-00002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7315</xdr:colOff>
          <xdr:row>70</xdr:row>
          <xdr:rowOff>0</xdr:rowOff>
        </xdr:to>
        <xdr:sp macro="" textlink="">
          <xdr:nvSpPr>
            <xdr:cNvPr id="46113" name="Check Box 33" hidden="1">
              <a:extLst>
                <a:ext uri="{63B3BB69-23CF-44E3-9099-C40C66FF867C}">
                  <a14:compatExt spid="_x0000_s46113"/>
                </a:ext>
                <a:ext uri="{FF2B5EF4-FFF2-40B4-BE49-F238E27FC236}">
                  <a16:creationId xmlns:a16="http://schemas.microsoft.com/office/drawing/2014/main" id="{00000000-0008-0000-0700-00002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7315</xdr:colOff>
          <xdr:row>72</xdr:row>
          <xdr:rowOff>7315</xdr:rowOff>
        </xdr:to>
        <xdr:sp macro="" textlink="">
          <xdr:nvSpPr>
            <xdr:cNvPr id="46114" name="Check Box 34" hidden="1">
              <a:extLst>
                <a:ext uri="{63B3BB69-23CF-44E3-9099-C40C66FF867C}">
                  <a14:compatExt spid="_x0000_s46114"/>
                </a:ext>
                <a:ext uri="{FF2B5EF4-FFF2-40B4-BE49-F238E27FC236}">
                  <a16:creationId xmlns:a16="http://schemas.microsoft.com/office/drawing/2014/main" id="{00000000-0008-0000-0700-00002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2</xdr:col>
          <xdr:colOff>7315</xdr:colOff>
          <xdr:row>114</xdr:row>
          <xdr:rowOff>0</xdr:rowOff>
        </xdr:to>
        <xdr:sp macro="" textlink="">
          <xdr:nvSpPr>
            <xdr:cNvPr id="46115" name="Check Box 35" descr="3 Fahrstreifen" hidden="1">
              <a:extLst>
                <a:ext uri="{63B3BB69-23CF-44E3-9099-C40C66FF867C}">
                  <a14:compatExt spid="_x0000_s46115"/>
                </a:ext>
                <a:ext uri="{FF2B5EF4-FFF2-40B4-BE49-F238E27FC236}">
                  <a16:creationId xmlns:a16="http://schemas.microsoft.com/office/drawing/2014/main" id="{00000000-0008-0000-0700-00002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2</xdr:col>
          <xdr:colOff>7315</xdr:colOff>
          <xdr:row>118</xdr:row>
          <xdr:rowOff>7315</xdr:rowOff>
        </xdr:to>
        <xdr:sp macro="" textlink="">
          <xdr:nvSpPr>
            <xdr:cNvPr id="46116" name="Check Box 36" descr="3 Fahrstreifen" hidden="1">
              <a:extLst>
                <a:ext uri="{63B3BB69-23CF-44E3-9099-C40C66FF867C}">
                  <a14:compatExt spid="_x0000_s46116"/>
                </a:ext>
                <a:ext uri="{FF2B5EF4-FFF2-40B4-BE49-F238E27FC236}">
                  <a16:creationId xmlns:a16="http://schemas.microsoft.com/office/drawing/2014/main" id="{00000000-0008-0000-0700-00002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2</xdr:col>
          <xdr:colOff>7315</xdr:colOff>
          <xdr:row>79</xdr:row>
          <xdr:rowOff>7315</xdr:rowOff>
        </xdr:to>
        <xdr:sp macro="" textlink="">
          <xdr:nvSpPr>
            <xdr:cNvPr id="46117" name="Check Box 37" hidden="1">
              <a:extLst>
                <a:ext uri="{63B3BB69-23CF-44E3-9099-C40C66FF867C}">
                  <a14:compatExt spid="_x0000_s46117"/>
                </a:ext>
                <a:ext uri="{FF2B5EF4-FFF2-40B4-BE49-F238E27FC236}">
                  <a16:creationId xmlns:a16="http://schemas.microsoft.com/office/drawing/2014/main" id="{00000000-0008-0000-0700-00002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2</xdr:col>
          <xdr:colOff>7315</xdr:colOff>
          <xdr:row>77</xdr:row>
          <xdr:rowOff>7315</xdr:rowOff>
        </xdr:to>
        <xdr:sp macro="" textlink="">
          <xdr:nvSpPr>
            <xdr:cNvPr id="46118" name="Check Box 38" hidden="1">
              <a:extLst>
                <a:ext uri="{63B3BB69-23CF-44E3-9099-C40C66FF867C}">
                  <a14:compatExt spid="_x0000_s46118"/>
                </a:ext>
                <a:ext uri="{FF2B5EF4-FFF2-40B4-BE49-F238E27FC236}">
                  <a16:creationId xmlns:a16="http://schemas.microsoft.com/office/drawing/2014/main" id="{00000000-0008-0000-0700-00002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2</xdr:col>
          <xdr:colOff>7315</xdr:colOff>
          <xdr:row>81</xdr:row>
          <xdr:rowOff>7315</xdr:rowOff>
        </xdr:to>
        <xdr:sp macro="" textlink="">
          <xdr:nvSpPr>
            <xdr:cNvPr id="46119" name="Check Box 39" hidden="1">
              <a:extLst>
                <a:ext uri="{63B3BB69-23CF-44E3-9099-C40C66FF867C}">
                  <a14:compatExt spid="_x0000_s46119"/>
                </a:ext>
                <a:ext uri="{FF2B5EF4-FFF2-40B4-BE49-F238E27FC236}">
                  <a16:creationId xmlns:a16="http://schemas.microsoft.com/office/drawing/2014/main" id="{00000000-0008-0000-0700-00002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82</xdr:row>
          <xdr:rowOff>0</xdr:rowOff>
        </xdr:from>
        <xdr:to>
          <xdr:col>2</xdr:col>
          <xdr:colOff>7315</xdr:colOff>
          <xdr:row>83</xdr:row>
          <xdr:rowOff>7315</xdr:rowOff>
        </xdr:to>
        <xdr:sp macro="" textlink="">
          <xdr:nvSpPr>
            <xdr:cNvPr id="46120" name="Check Box 40" hidden="1">
              <a:extLst>
                <a:ext uri="{63B3BB69-23CF-44E3-9099-C40C66FF867C}">
                  <a14:compatExt spid="_x0000_s46120"/>
                </a:ext>
                <a:ext uri="{FF2B5EF4-FFF2-40B4-BE49-F238E27FC236}">
                  <a16:creationId xmlns:a16="http://schemas.microsoft.com/office/drawing/2014/main" id="{00000000-0008-0000-0700-00002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2</xdr:col>
          <xdr:colOff>7315</xdr:colOff>
          <xdr:row>109</xdr:row>
          <xdr:rowOff>7315</xdr:rowOff>
        </xdr:to>
        <xdr:sp macro="" textlink="">
          <xdr:nvSpPr>
            <xdr:cNvPr id="46123" name="Check Box 43" descr="3 Fahrstreifen" hidden="1">
              <a:extLst>
                <a:ext uri="{63B3BB69-23CF-44E3-9099-C40C66FF867C}">
                  <a14:compatExt spid="_x0000_s46123"/>
                </a:ext>
                <a:ext uri="{FF2B5EF4-FFF2-40B4-BE49-F238E27FC236}">
                  <a16:creationId xmlns:a16="http://schemas.microsoft.com/office/drawing/2014/main" id="{00000000-0008-0000-0700-00002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2</xdr:col>
          <xdr:colOff>7315</xdr:colOff>
          <xdr:row>85</xdr:row>
          <xdr:rowOff>7315</xdr:rowOff>
        </xdr:to>
        <xdr:sp macro="" textlink="">
          <xdr:nvSpPr>
            <xdr:cNvPr id="46124" name="Check Box 44" hidden="1">
              <a:extLst>
                <a:ext uri="{63B3BB69-23CF-44E3-9099-C40C66FF867C}">
                  <a14:compatExt spid="_x0000_s46124"/>
                </a:ext>
                <a:ext uri="{FF2B5EF4-FFF2-40B4-BE49-F238E27FC236}">
                  <a16:creationId xmlns:a16="http://schemas.microsoft.com/office/drawing/2014/main" id="{00000000-0008-0000-0700-00002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7315</xdr:colOff>
          <xdr:row>107</xdr:row>
          <xdr:rowOff>7315</xdr:rowOff>
        </xdr:to>
        <xdr:sp macro="" textlink="">
          <xdr:nvSpPr>
            <xdr:cNvPr id="46130" name="Check Box 50" hidden="1">
              <a:extLst>
                <a:ext uri="{63B3BB69-23CF-44E3-9099-C40C66FF867C}">
                  <a14:compatExt spid="_x0000_s46130"/>
                </a:ext>
                <a:ext uri="{FF2B5EF4-FFF2-40B4-BE49-F238E27FC236}">
                  <a16:creationId xmlns:a16="http://schemas.microsoft.com/office/drawing/2014/main" id="{00000000-0008-0000-0700-00003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2</xdr:col>
          <xdr:colOff>7315</xdr:colOff>
          <xdr:row>105</xdr:row>
          <xdr:rowOff>7315</xdr:rowOff>
        </xdr:to>
        <xdr:sp macro="" textlink="">
          <xdr:nvSpPr>
            <xdr:cNvPr id="46131" name="Check Box 51" hidden="1">
              <a:extLst>
                <a:ext uri="{63B3BB69-23CF-44E3-9099-C40C66FF867C}">
                  <a14:compatExt spid="_x0000_s46131"/>
                </a:ext>
                <a:ext uri="{FF2B5EF4-FFF2-40B4-BE49-F238E27FC236}">
                  <a16:creationId xmlns:a16="http://schemas.microsoft.com/office/drawing/2014/main" id="{00000000-0008-0000-0700-00003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7315</xdr:colOff>
          <xdr:row>45</xdr:row>
          <xdr:rowOff>7315</xdr:rowOff>
        </xdr:to>
        <xdr:sp macro="" textlink="">
          <xdr:nvSpPr>
            <xdr:cNvPr id="46142" name="Check Box 62" hidden="1">
              <a:extLst>
                <a:ext uri="{63B3BB69-23CF-44E3-9099-C40C66FF867C}">
                  <a14:compatExt spid="_x0000_s46142"/>
                </a:ext>
                <a:ext uri="{FF2B5EF4-FFF2-40B4-BE49-F238E27FC236}">
                  <a16:creationId xmlns:a16="http://schemas.microsoft.com/office/drawing/2014/main" id="{00000000-0008-0000-0700-00003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21946</xdr:colOff>
          <xdr:row>43</xdr:row>
          <xdr:rowOff>7315</xdr:rowOff>
        </xdr:to>
        <xdr:sp macro="" textlink="">
          <xdr:nvSpPr>
            <xdr:cNvPr id="46143" name="Check Box 63" hidden="1">
              <a:extLst>
                <a:ext uri="{63B3BB69-23CF-44E3-9099-C40C66FF867C}">
                  <a14:compatExt spid="_x0000_s46143"/>
                </a:ext>
                <a:ext uri="{FF2B5EF4-FFF2-40B4-BE49-F238E27FC236}">
                  <a16:creationId xmlns:a16="http://schemas.microsoft.com/office/drawing/2014/main" id="{00000000-0008-0000-0700-00003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21946</xdr:colOff>
          <xdr:row>45</xdr:row>
          <xdr:rowOff>7315</xdr:rowOff>
        </xdr:to>
        <xdr:sp macro="" textlink="">
          <xdr:nvSpPr>
            <xdr:cNvPr id="46144" name="Check Box 64" hidden="1">
              <a:extLst>
                <a:ext uri="{63B3BB69-23CF-44E3-9099-C40C66FF867C}">
                  <a14:compatExt spid="_x0000_s46144"/>
                </a:ext>
                <a:ext uri="{FF2B5EF4-FFF2-40B4-BE49-F238E27FC236}">
                  <a16:creationId xmlns:a16="http://schemas.microsoft.com/office/drawing/2014/main" id="{00000000-0008-0000-0700-00004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7315</xdr:colOff>
          <xdr:row>72</xdr:row>
          <xdr:rowOff>7315</xdr:rowOff>
        </xdr:to>
        <xdr:sp macro="" textlink="">
          <xdr:nvSpPr>
            <xdr:cNvPr id="46152" name="Check Box 72" hidden="1">
              <a:extLst>
                <a:ext uri="{63B3BB69-23CF-44E3-9099-C40C66FF867C}">
                  <a14:compatExt spid="_x0000_s46152"/>
                </a:ext>
                <a:ext uri="{FF2B5EF4-FFF2-40B4-BE49-F238E27FC236}">
                  <a16:creationId xmlns:a16="http://schemas.microsoft.com/office/drawing/2014/main" id="{00000000-0008-0000-0700-00004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115</xdr:row>
          <xdr:rowOff>0</xdr:rowOff>
        </xdr:from>
        <xdr:to>
          <xdr:col>2</xdr:col>
          <xdr:colOff>7315</xdr:colOff>
          <xdr:row>116</xdr:row>
          <xdr:rowOff>7315</xdr:rowOff>
        </xdr:to>
        <xdr:sp macro="" textlink="">
          <xdr:nvSpPr>
            <xdr:cNvPr id="46165" name="Check Box 85" descr="3 Fahrstreifen" hidden="1">
              <a:extLst>
                <a:ext uri="{63B3BB69-23CF-44E3-9099-C40C66FF867C}">
                  <a14:compatExt spid="_x0000_s46165"/>
                </a:ext>
                <a:ext uri="{FF2B5EF4-FFF2-40B4-BE49-F238E27FC236}">
                  <a16:creationId xmlns:a16="http://schemas.microsoft.com/office/drawing/2014/main" id="{00000000-0008-0000-0700-00005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124</xdr:row>
          <xdr:rowOff>0</xdr:rowOff>
        </xdr:from>
        <xdr:to>
          <xdr:col>2</xdr:col>
          <xdr:colOff>7315</xdr:colOff>
          <xdr:row>125</xdr:row>
          <xdr:rowOff>7315</xdr:rowOff>
        </xdr:to>
        <xdr:sp macro="" textlink="">
          <xdr:nvSpPr>
            <xdr:cNvPr id="46169" name="Check Box 89" descr="3 Fahrstreifen" hidden="1">
              <a:extLst>
                <a:ext uri="{63B3BB69-23CF-44E3-9099-C40C66FF867C}">
                  <a14:compatExt spid="_x0000_s46169"/>
                </a:ext>
                <a:ext uri="{FF2B5EF4-FFF2-40B4-BE49-F238E27FC236}">
                  <a16:creationId xmlns:a16="http://schemas.microsoft.com/office/drawing/2014/main" id="{00000000-0008-0000-0700-00005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122</xdr:row>
          <xdr:rowOff>0</xdr:rowOff>
        </xdr:from>
        <xdr:to>
          <xdr:col>2</xdr:col>
          <xdr:colOff>7315</xdr:colOff>
          <xdr:row>123</xdr:row>
          <xdr:rowOff>7315</xdr:rowOff>
        </xdr:to>
        <xdr:sp macro="" textlink="">
          <xdr:nvSpPr>
            <xdr:cNvPr id="46170" name="Check Box 90" hidden="1">
              <a:extLst>
                <a:ext uri="{63B3BB69-23CF-44E3-9099-C40C66FF867C}">
                  <a14:compatExt spid="_x0000_s46170"/>
                </a:ext>
                <a:ext uri="{FF2B5EF4-FFF2-40B4-BE49-F238E27FC236}">
                  <a16:creationId xmlns:a16="http://schemas.microsoft.com/office/drawing/2014/main" id="{00000000-0008-0000-0700-00005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120</xdr:row>
          <xdr:rowOff>0</xdr:rowOff>
        </xdr:from>
        <xdr:to>
          <xdr:col>2</xdr:col>
          <xdr:colOff>7315</xdr:colOff>
          <xdr:row>121</xdr:row>
          <xdr:rowOff>7315</xdr:rowOff>
        </xdr:to>
        <xdr:sp macro="" textlink="">
          <xdr:nvSpPr>
            <xdr:cNvPr id="46171" name="Check Box 91" hidden="1">
              <a:extLst>
                <a:ext uri="{63B3BB69-23CF-44E3-9099-C40C66FF867C}">
                  <a14:compatExt spid="_x0000_s46171"/>
                </a:ext>
                <a:ext uri="{FF2B5EF4-FFF2-40B4-BE49-F238E27FC236}">
                  <a16:creationId xmlns:a16="http://schemas.microsoft.com/office/drawing/2014/main" id="{00000000-0008-0000-0700-00005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0</xdr:rowOff>
        </xdr:from>
        <xdr:to>
          <xdr:col>5</xdr:col>
          <xdr:colOff>36576</xdr:colOff>
          <xdr:row>87</xdr:row>
          <xdr:rowOff>0</xdr:rowOff>
        </xdr:to>
        <xdr:sp macro="" textlink="">
          <xdr:nvSpPr>
            <xdr:cNvPr id="46188" name="Check Box 108" hidden="1">
              <a:extLst>
                <a:ext uri="{63B3BB69-23CF-44E3-9099-C40C66FF867C}">
                  <a14:compatExt spid="_x0000_s46188"/>
                </a:ext>
                <a:ext uri="{FF2B5EF4-FFF2-40B4-BE49-F238E27FC236}">
                  <a16:creationId xmlns:a16="http://schemas.microsoft.com/office/drawing/2014/main" id="{00000000-0008-0000-0700-00006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5</xdr:col>
          <xdr:colOff>36576</xdr:colOff>
          <xdr:row>88</xdr:row>
          <xdr:rowOff>0</xdr:rowOff>
        </xdr:to>
        <xdr:sp macro="" textlink="">
          <xdr:nvSpPr>
            <xdr:cNvPr id="46189" name="Check Box 109" hidden="1">
              <a:extLst>
                <a:ext uri="{63B3BB69-23CF-44E3-9099-C40C66FF867C}">
                  <a14:compatExt spid="_x0000_s46189"/>
                </a:ext>
                <a:ext uri="{FF2B5EF4-FFF2-40B4-BE49-F238E27FC236}">
                  <a16:creationId xmlns:a16="http://schemas.microsoft.com/office/drawing/2014/main" id="{00000000-0008-0000-0700-00006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5</xdr:col>
          <xdr:colOff>36576</xdr:colOff>
          <xdr:row>95</xdr:row>
          <xdr:rowOff>0</xdr:rowOff>
        </xdr:to>
        <xdr:sp macro="" textlink="">
          <xdr:nvSpPr>
            <xdr:cNvPr id="46190" name="Check Box 110" hidden="1">
              <a:extLst>
                <a:ext uri="{63B3BB69-23CF-44E3-9099-C40C66FF867C}">
                  <a14:compatExt spid="_x0000_s46190"/>
                </a:ext>
                <a:ext uri="{FF2B5EF4-FFF2-40B4-BE49-F238E27FC236}">
                  <a16:creationId xmlns:a16="http://schemas.microsoft.com/office/drawing/2014/main" id="{00000000-0008-0000-0700-00006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0</xdr:rowOff>
        </xdr:from>
        <xdr:to>
          <xdr:col>5</xdr:col>
          <xdr:colOff>36576</xdr:colOff>
          <xdr:row>97</xdr:row>
          <xdr:rowOff>0</xdr:rowOff>
        </xdr:to>
        <xdr:sp macro="" textlink="">
          <xdr:nvSpPr>
            <xdr:cNvPr id="46191" name="Check Box 111" hidden="1">
              <a:extLst>
                <a:ext uri="{63B3BB69-23CF-44E3-9099-C40C66FF867C}">
                  <a14:compatExt spid="_x0000_s46191"/>
                </a:ext>
                <a:ext uri="{FF2B5EF4-FFF2-40B4-BE49-F238E27FC236}">
                  <a16:creationId xmlns:a16="http://schemas.microsoft.com/office/drawing/2014/main" id="{00000000-0008-0000-0700-00006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0</xdr:rowOff>
        </xdr:from>
        <xdr:to>
          <xdr:col>5</xdr:col>
          <xdr:colOff>36576</xdr:colOff>
          <xdr:row>98</xdr:row>
          <xdr:rowOff>0</xdr:rowOff>
        </xdr:to>
        <xdr:sp macro="" textlink="">
          <xdr:nvSpPr>
            <xdr:cNvPr id="46192" name="Check Box 112" hidden="1">
              <a:extLst>
                <a:ext uri="{63B3BB69-23CF-44E3-9099-C40C66FF867C}">
                  <a14:compatExt spid="_x0000_s46192"/>
                </a:ext>
                <a:ext uri="{FF2B5EF4-FFF2-40B4-BE49-F238E27FC236}">
                  <a16:creationId xmlns:a16="http://schemas.microsoft.com/office/drawing/2014/main" id="{00000000-0008-0000-0700-00007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5</xdr:col>
          <xdr:colOff>36576</xdr:colOff>
          <xdr:row>99</xdr:row>
          <xdr:rowOff>0</xdr:rowOff>
        </xdr:to>
        <xdr:sp macro="" textlink="">
          <xdr:nvSpPr>
            <xdr:cNvPr id="46193" name="Check Box 113" hidden="1">
              <a:extLst>
                <a:ext uri="{63B3BB69-23CF-44E3-9099-C40C66FF867C}">
                  <a14:compatExt spid="_x0000_s46193"/>
                </a:ext>
                <a:ext uri="{FF2B5EF4-FFF2-40B4-BE49-F238E27FC236}">
                  <a16:creationId xmlns:a16="http://schemas.microsoft.com/office/drawing/2014/main" id="{00000000-0008-0000-0700-00007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100</xdr:row>
          <xdr:rowOff>0</xdr:rowOff>
        </xdr:from>
        <xdr:to>
          <xdr:col>5</xdr:col>
          <xdr:colOff>36576</xdr:colOff>
          <xdr:row>101</xdr:row>
          <xdr:rowOff>0</xdr:rowOff>
        </xdr:to>
        <xdr:sp macro="" textlink="">
          <xdr:nvSpPr>
            <xdr:cNvPr id="46194" name="Check Box 114" hidden="1">
              <a:extLst>
                <a:ext uri="{63B3BB69-23CF-44E3-9099-C40C66FF867C}">
                  <a14:compatExt spid="_x0000_s46194"/>
                </a:ext>
                <a:ext uri="{FF2B5EF4-FFF2-40B4-BE49-F238E27FC236}">
                  <a16:creationId xmlns:a16="http://schemas.microsoft.com/office/drawing/2014/main" id="{00000000-0008-0000-0700-00007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0</xdr:rowOff>
        </xdr:from>
        <xdr:to>
          <xdr:col>5</xdr:col>
          <xdr:colOff>36576</xdr:colOff>
          <xdr:row>103</xdr:row>
          <xdr:rowOff>0</xdr:rowOff>
        </xdr:to>
        <xdr:sp macro="" textlink="">
          <xdr:nvSpPr>
            <xdr:cNvPr id="46195" name="Check Box 115" hidden="1">
              <a:extLst>
                <a:ext uri="{63B3BB69-23CF-44E3-9099-C40C66FF867C}">
                  <a14:compatExt spid="_x0000_s46195"/>
                </a:ext>
                <a:ext uri="{FF2B5EF4-FFF2-40B4-BE49-F238E27FC236}">
                  <a16:creationId xmlns:a16="http://schemas.microsoft.com/office/drawing/2014/main" id="{00000000-0008-0000-0700-00007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7315</xdr:colOff>
          <xdr:row>13</xdr:row>
          <xdr:rowOff>219456</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8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21946</xdr:rowOff>
        </xdr:from>
        <xdr:to>
          <xdr:col>2</xdr:col>
          <xdr:colOff>7315</xdr:colOff>
          <xdr:row>19</xdr:row>
          <xdr:rowOff>219456</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08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7315</xdr:colOff>
          <xdr:row>25</xdr:row>
          <xdr:rowOff>212141</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08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7315</xdr:colOff>
          <xdr:row>31</xdr:row>
          <xdr:rowOff>7315</xdr:rowOff>
        </xdr:to>
        <xdr:sp macro="" textlink="">
          <xdr:nvSpPr>
            <xdr:cNvPr id="51212" name="Check Box 12" hidden="1">
              <a:extLst>
                <a:ext uri="{63B3BB69-23CF-44E3-9099-C40C66FF867C}">
                  <a14:compatExt spid="_x0000_s51212"/>
                </a:ext>
                <a:ext uri="{FF2B5EF4-FFF2-40B4-BE49-F238E27FC236}">
                  <a16:creationId xmlns:a16="http://schemas.microsoft.com/office/drawing/2014/main" id="{00000000-0008-0000-08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7315</xdr:colOff>
          <xdr:row>33</xdr:row>
          <xdr:rowOff>7315</xdr:rowOff>
        </xdr:to>
        <xdr:sp macro="" textlink="">
          <xdr:nvSpPr>
            <xdr:cNvPr id="51213" name="Check Box 13" hidden="1">
              <a:extLst>
                <a:ext uri="{63B3BB69-23CF-44E3-9099-C40C66FF867C}">
                  <a14:compatExt spid="_x0000_s51213"/>
                </a:ext>
                <a:ext uri="{FF2B5EF4-FFF2-40B4-BE49-F238E27FC236}">
                  <a16:creationId xmlns:a16="http://schemas.microsoft.com/office/drawing/2014/main" id="{00000000-0008-0000-08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7315</xdr:colOff>
          <xdr:row>41</xdr:row>
          <xdr:rowOff>7315</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08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7315</xdr:colOff>
          <xdr:row>46</xdr:row>
          <xdr:rowOff>7315</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08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7315</xdr:colOff>
          <xdr:row>48</xdr:row>
          <xdr:rowOff>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08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7315</xdr:colOff>
          <xdr:row>50</xdr:row>
          <xdr:rowOff>7315</xdr:rowOff>
        </xdr:to>
        <xdr:sp macro="" textlink="">
          <xdr:nvSpPr>
            <xdr:cNvPr id="51217" name="Check Box 17" hidden="1">
              <a:extLst>
                <a:ext uri="{63B3BB69-23CF-44E3-9099-C40C66FF867C}">
                  <a14:compatExt spid="_x0000_s51217"/>
                </a:ext>
                <a:ext uri="{FF2B5EF4-FFF2-40B4-BE49-F238E27FC236}">
                  <a16:creationId xmlns:a16="http://schemas.microsoft.com/office/drawing/2014/main" id="{00000000-0008-0000-08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7315</xdr:colOff>
          <xdr:row>52</xdr:row>
          <xdr:rowOff>7315</xdr:rowOff>
        </xdr:to>
        <xdr:sp macro="" textlink="">
          <xdr:nvSpPr>
            <xdr:cNvPr id="51218" name="Check Box 18" hidden="1">
              <a:extLst>
                <a:ext uri="{63B3BB69-23CF-44E3-9099-C40C66FF867C}">
                  <a14:compatExt spid="_x0000_s51218"/>
                </a:ext>
                <a:ext uri="{FF2B5EF4-FFF2-40B4-BE49-F238E27FC236}">
                  <a16:creationId xmlns:a16="http://schemas.microsoft.com/office/drawing/2014/main" id="{00000000-0008-0000-0800-00001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7315</xdr:colOff>
          <xdr:row>54</xdr:row>
          <xdr:rowOff>0</xdr:rowOff>
        </xdr:to>
        <xdr:sp macro="" textlink="">
          <xdr:nvSpPr>
            <xdr:cNvPr id="51219" name="Check Box 19" hidden="1">
              <a:extLst>
                <a:ext uri="{63B3BB69-23CF-44E3-9099-C40C66FF867C}">
                  <a14:compatExt spid="_x0000_s51219"/>
                </a:ext>
                <a:ext uri="{FF2B5EF4-FFF2-40B4-BE49-F238E27FC236}">
                  <a16:creationId xmlns:a16="http://schemas.microsoft.com/office/drawing/2014/main" id="{00000000-0008-0000-0800-00001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7315</xdr:colOff>
          <xdr:row>56</xdr:row>
          <xdr:rowOff>7315</xdr:rowOff>
        </xdr:to>
        <xdr:sp macro="" textlink="">
          <xdr:nvSpPr>
            <xdr:cNvPr id="51220" name="Check Box 20" hidden="1">
              <a:extLst>
                <a:ext uri="{63B3BB69-23CF-44E3-9099-C40C66FF867C}">
                  <a14:compatExt spid="_x0000_s51220"/>
                </a:ext>
                <a:ext uri="{FF2B5EF4-FFF2-40B4-BE49-F238E27FC236}">
                  <a16:creationId xmlns:a16="http://schemas.microsoft.com/office/drawing/2014/main" id="{00000000-0008-0000-0800-00001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2</xdr:col>
          <xdr:colOff>7315</xdr:colOff>
          <xdr:row>98</xdr:row>
          <xdr:rowOff>0</xdr:rowOff>
        </xdr:to>
        <xdr:sp macro="" textlink="">
          <xdr:nvSpPr>
            <xdr:cNvPr id="51221" name="Check Box 21" descr="3 Fahrstreifen" hidden="1">
              <a:extLst>
                <a:ext uri="{63B3BB69-23CF-44E3-9099-C40C66FF867C}">
                  <a14:compatExt spid="_x0000_s51221"/>
                </a:ext>
                <a:ext uri="{FF2B5EF4-FFF2-40B4-BE49-F238E27FC236}">
                  <a16:creationId xmlns:a16="http://schemas.microsoft.com/office/drawing/2014/main" id="{00000000-0008-0000-0800-00001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2</xdr:col>
          <xdr:colOff>7315</xdr:colOff>
          <xdr:row>102</xdr:row>
          <xdr:rowOff>7315</xdr:rowOff>
        </xdr:to>
        <xdr:sp macro="" textlink="">
          <xdr:nvSpPr>
            <xdr:cNvPr id="51222" name="Check Box 22" descr="3 Fahrstreifen" hidden="1">
              <a:extLst>
                <a:ext uri="{63B3BB69-23CF-44E3-9099-C40C66FF867C}">
                  <a14:compatExt spid="_x0000_s51222"/>
                </a:ext>
                <a:ext uri="{FF2B5EF4-FFF2-40B4-BE49-F238E27FC236}">
                  <a16:creationId xmlns:a16="http://schemas.microsoft.com/office/drawing/2014/main" id="{00000000-0008-0000-0800-00001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7315</xdr:colOff>
          <xdr:row>63</xdr:row>
          <xdr:rowOff>7315</xdr:rowOff>
        </xdr:to>
        <xdr:sp macro="" textlink="">
          <xdr:nvSpPr>
            <xdr:cNvPr id="51223" name="Check Box 23" hidden="1">
              <a:extLst>
                <a:ext uri="{63B3BB69-23CF-44E3-9099-C40C66FF867C}">
                  <a14:compatExt spid="_x0000_s51223"/>
                </a:ext>
                <a:ext uri="{FF2B5EF4-FFF2-40B4-BE49-F238E27FC236}">
                  <a16:creationId xmlns:a16="http://schemas.microsoft.com/office/drawing/2014/main" id="{00000000-0008-0000-0800-00001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7315</xdr:colOff>
          <xdr:row>61</xdr:row>
          <xdr:rowOff>7315</xdr:rowOff>
        </xdr:to>
        <xdr:sp macro="" textlink="">
          <xdr:nvSpPr>
            <xdr:cNvPr id="51224" name="Check Box 24" hidden="1">
              <a:extLst>
                <a:ext uri="{63B3BB69-23CF-44E3-9099-C40C66FF867C}">
                  <a14:compatExt spid="_x0000_s51224"/>
                </a:ext>
                <a:ext uri="{FF2B5EF4-FFF2-40B4-BE49-F238E27FC236}">
                  <a16:creationId xmlns:a16="http://schemas.microsoft.com/office/drawing/2014/main" id="{00000000-0008-0000-0800-00001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2</xdr:col>
          <xdr:colOff>7315</xdr:colOff>
          <xdr:row>65</xdr:row>
          <xdr:rowOff>7315</xdr:rowOff>
        </xdr:to>
        <xdr:sp macro="" textlink="">
          <xdr:nvSpPr>
            <xdr:cNvPr id="51225" name="Check Box 25" hidden="1">
              <a:extLst>
                <a:ext uri="{63B3BB69-23CF-44E3-9099-C40C66FF867C}">
                  <a14:compatExt spid="_x0000_s51225"/>
                </a:ext>
                <a:ext uri="{FF2B5EF4-FFF2-40B4-BE49-F238E27FC236}">
                  <a16:creationId xmlns:a16="http://schemas.microsoft.com/office/drawing/2014/main" id="{00000000-0008-0000-0800-00001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7315</xdr:colOff>
          <xdr:row>67</xdr:row>
          <xdr:rowOff>7315</xdr:rowOff>
        </xdr:to>
        <xdr:sp macro="" textlink="">
          <xdr:nvSpPr>
            <xdr:cNvPr id="51226" name="Check Box 26" hidden="1">
              <a:extLst>
                <a:ext uri="{63B3BB69-23CF-44E3-9099-C40C66FF867C}">
                  <a14:compatExt spid="_x0000_s51226"/>
                </a:ext>
                <a:ext uri="{FF2B5EF4-FFF2-40B4-BE49-F238E27FC236}">
                  <a16:creationId xmlns:a16="http://schemas.microsoft.com/office/drawing/2014/main" id="{00000000-0008-0000-0800-00001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0</xdr:rowOff>
        </xdr:from>
        <xdr:to>
          <xdr:col>2</xdr:col>
          <xdr:colOff>7315</xdr:colOff>
          <xdr:row>93</xdr:row>
          <xdr:rowOff>7315</xdr:rowOff>
        </xdr:to>
        <xdr:sp macro="" textlink="">
          <xdr:nvSpPr>
            <xdr:cNvPr id="51227" name="Check Box 27" descr="3 Fahrstreifen" hidden="1">
              <a:extLst>
                <a:ext uri="{63B3BB69-23CF-44E3-9099-C40C66FF867C}">
                  <a14:compatExt spid="_x0000_s51227"/>
                </a:ext>
                <a:ext uri="{FF2B5EF4-FFF2-40B4-BE49-F238E27FC236}">
                  <a16:creationId xmlns:a16="http://schemas.microsoft.com/office/drawing/2014/main" id="{00000000-0008-0000-0800-00001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7315</xdr:colOff>
          <xdr:row>69</xdr:row>
          <xdr:rowOff>7315</xdr:rowOff>
        </xdr:to>
        <xdr:sp macro="" textlink="">
          <xdr:nvSpPr>
            <xdr:cNvPr id="51228" name="Check Box 28" hidden="1">
              <a:extLst>
                <a:ext uri="{63B3BB69-23CF-44E3-9099-C40C66FF867C}">
                  <a14:compatExt spid="_x0000_s51228"/>
                </a:ext>
                <a:ext uri="{FF2B5EF4-FFF2-40B4-BE49-F238E27FC236}">
                  <a16:creationId xmlns:a16="http://schemas.microsoft.com/office/drawing/2014/main" id="{00000000-0008-0000-0800-00001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2</xdr:col>
          <xdr:colOff>7315</xdr:colOff>
          <xdr:row>91</xdr:row>
          <xdr:rowOff>7315</xdr:rowOff>
        </xdr:to>
        <xdr:sp macro="" textlink="">
          <xdr:nvSpPr>
            <xdr:cNvPr id="51229" name="Check Box 29" hidden="1">
              <a:extLst>
                <a:ext uri="{63B3BB69-23CF-44E3-9099-C40C66FF867C}">
                  <a14:compatExt spid="_x0000_s51229"/>
                </a:ext>
                <a:ext uri="{FF2B5EF4-FFF2-40B4-BE49-F238E27FC236}">
                  <a16:creationId xmlns:a16="http://schemas.microsoft.com/office/drawing/2014/main" id="{00000000-0008-0000-0800-00001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2</xdr:col>
          <xdr:colOff>7315</xdr:colOff>
          <xdr:row>89</xdr:row>
          <xdr:rowOff>7315</xdr:rowOff>
        </xdr:to>
        <xdr:sp macro="" textlink="">
          <xdr:nvSpPr>
            <xdr:cNvPr id="51230" name="Check Box 30" hidden="1">
              <a:extLst>
                <a:ext uri="{63B3BB69-23CF-44E3-9099-C40C66FF867C}">
                  <a14:compatExt spid="_x0000_s51230"/>
                </a:ext>
                <a:ext uri="{FF2B5EF4-FFF2-40B4-BE49-F238E27FC236}">
                  <a16:creationId xmlns:a16="http://schemas.microsoft.com/office/drawing/2014/main" id="{00000000-0008-0000-0800-00001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7315</xdr:colOff>
          <xdr:row>56</xdr:row>
          <xdr:rowOff>7315</xdr:rowOff>
        </xdr:to>
        <xdr:sp macro="" textlink="">
          <xdr:nvSpPr>
            <xdr:cNvPr id="51234" name="Check Box 34" hidden="1">
              <a:extLst>
                <a:ext uri="{63B3BB69-23CF-44E3-9099-C40C66FF867C}">
                  <a14:compatExt spid="_x0000_s51234"/>
                </a:ext>
                <a:ext uri="{FF2B5EF4-FFF2-40B4-BE49-F238E27FC236}">
                  <a16:creationId xmlns:a16="http://schemas.microsoft.com/office/drawing/2014/main" id="{00000000-0008-0000-0800-00002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0</xdr:rowOff>
        </xdr:from>
        <xdr:to>
          <xdr:col>5</xdr:col>
          <xdr:colOff>36576</xdr:colOff>
          <xdr:row>71</xdr:row>
          <xdr:rowOff>0</xdr:rowOff>
        </xdr:to>
        <xdr:sp macro="" textlink="">
          <xdr:nvSpPr>
            <xdr:cNvPr id="51235" name="Check Box 35" hidden="1">
              <a:extLst>
                <a:ext uri="{63B3BB69-23CF-44E3-9099-C40C66FF867C}">
                  <a14:compatExt spid="_x0000_s51235"/>
                </a:ext>
                <a:ext uri="{FF2B5EF4-FFF2-40B4-BE49-F238E27FC236}">
                  <a16:creationId xmlns:a16="http://schemas.microsoft.com/office/drawing/2014/main" id="{00000000-0008-0000-0800-00002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5</xdr:col>
          <xdr:colOff>36576</xdr:colOff>
          <xdr:row>72</xdr:row>
          <xdr:rowOff>21946</xdr:rowOff>
        </xdr:to>
        <xdr:sp macro="" textlink="">
          <xdr:nvSpPr>
            <xdr:cNvPr id="51236" name="Check Box 36" hidden="1">
              <a:extLst>
                <a:ext uri="{63B3BB69-23CF-44E3-9099-C40C66FF867C}">
                  <a14:compatExt spid="_x0000_s51236"/>
                </a:ext>
                <a:ext uri="{FF2B5EF4-FFF2-40B4-BE49-F238E27FC236}">
                  <a16:creationId xmlns:a16="http://schemas.microsoft.com/office/drawing/2014/main" id="{00000000-0008-0000-0800-00002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5</xdr:col>
          <xdr:colOff>36576</xdr:colOff>
          <xdr:row>79</xdr:row>
          <xdr:rowOff>0</xdr:rowOff>
        </xdr:to>
        <xdr:sp macro="" textlink="">
          <xdr:nvSpPr>
            <xdr:cNvPr id="51237" name="Check Box 37" hidden="1">
              <a:extLst>
                <a:ext uri="{63B3BB69-23CF-44E3-9099-C40C66FF867C}">
                  <a14:compatExt spid="_x0000_s51237"/>
                </a:ext>
                <a:ext uri="{FF2B5EF4-FFF2-40B4-BE49-F238E27FC236}">
                  <a16:creationId xmlns:a16="http://schemas.microsoft.com/office/drawing/2014/main" id="{00000000-0008-0000-0800-00002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36576</xdr:colOff>
          <xdr:row>81</xdr:row>
          <xdr:rowOff>0</xdr:rowOff>
        </xdr:to>
        <xdr:sp macro="" textlink="">
          <xdr:nvSpPr>
            <xdr:cNvPr id="51238" name="Check Box 38" hidden="1">
              <a:extLst>
                <a:ext uri="{63B3BB69-23CF-44E3-9099-C40C66FF867C}">
                  <a14:compatExt spid="_x0000_s51238"/>
                </a:ext>
                <a:ext uri="{FF2B5EF4-FFF2-40B4-BE49-F238E27FC236}">
                  <a16:creationId xmlns:a16="http://schemas.microsoft.com/office/drawing/2014/main" id="{00000000-0008-0000-0800-00002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5</xdr:col>
          <xdr:colOff>36576</xdr:colOff>
          <xdr:row>82</xdr:row>
          <xdr:rowOff>0</xdr:rowOff>
        </xdr:to>
        <xdr:sp macro="" textlink="">
          <xdr:nvSpPr>
            <xdr:cNvPr id="51239" name="Check Box 39" hidden="1">
              <a:extLst>
                <a:ext uri="{63B3BB69-23CF-44E3-9099-C40C66FF867C}">
                  <a14:compatExt spid="_x0000_s51239"/>
                </a:ext>
                <a:ext uri="{FF2B5EF4-FFF2-40B4-BE49-F238E27FC236}">
                  <a16:creationId xmlns:a16="http://schemas.microsoft.com/office/drawing/2014/main" id="{00000000-0008-0000-0800-00002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5</xdr:col>
          <xdr:colOff>36576</xdr:colOff>
          <xdr:row>83</xdr:row>
          <xdr:rowOff>0</xdr:rowOff>
        </xdr:to>
        <xdr:sp macro="" textlink="">
          <xdr:nvSpPr>
            <xdr:cNvPr id="51240" name="Check Box 40" hidden="1">
              <a:extLst>
                <a:ext uri="{63B3BB69-23CF-44E3-9099-C40C66FF867C}">
                  <a14:compatExt spid="_x0000_s51240"/>
                </a:ext>
                <a:ext uri="{FF2B5EF4-FFF2-40B4-BE49-F238E27FC236}">
                  <a16:creationId xmlns:a16="http://schemas.microsoft.com/office/drawing/2014/main" id="{00000000-0008-0000-0800-00002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5</xdr:col>
          <xdr:colOff>36576</xdr:colOff>
          <xdr:row>85</xdr:row>
          <xdr:rowOff>0</xdr:rowOff>
        </xdr:to>
        <xdr:sp macro="" textlink="">
          <xdr:nvSpPr>
            <xdr:cNvPr id="51241" name="Check Box 41" hidden="1">
              <a:extLst>
                <a:ext uri="{63B3BB69-23CF-44E3-9099-C40C66FF867C}">
                  <a14:compatExt spid="_x0000_s51241"/>
                </a:ext>
                <a:ext uri="{FF2B5EF4-FFF2-40B4-BE49-F238E27FC236}">
                  <a16:creationId xmlns:a16="http://schemas.microsoft.com/office/drawing/2014/main" id="{00000000-0008-0000-0800-00002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0</xdr:rowOff>
        </xdr:from>
        <xdr:to>
          <xdr:col>5</xdr:col>
          <xdr:colOff>36576</xdr:colOff>
          <xdr:row>87</xdr:row>
          <xdr:rowOff>0</xdr:rowOff>
        </xdr:to>
        <xdr:sp macro="" textlink="">
          <xdr:nvSpPr>
            <xdr:cNvPr id="51242" name="Check Box 42" hidden="1">
              <a:extLst>
                <a:ext uri="{63B3BB69-23CF-44E3-9099-C40C66FF867C}">
                  <a14:compatExt spid="_x0000_s51242"/>
                </a:ext>
                <a:ext uri="{FF2B5EF4-FFF2-40B4-BE49-F238E27FC236}">
                  <a16:creationId xmlns:a16="http://schemas.microsoft.com/office/drawing/2014/main" id="{00000000-0008-0000-0800-00002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99</xdr:row>
          <xdr:rowOff>0</xdr:rowOff>
        </xdr:from>
        <xdr:to>
          <xdr:col>2</xdr:col>
          <xdr:colOff>7315</xdr:colOff>
          <xdr:row>100</xdr:row>
          <xdr:rowOff>7315</xdr:rowOff>
        </xdr:to>
        <xdr:sp macro="" textlink="">
          <xdr:nvSpPr>
            <xdr:cNvPr id="51243" name="Check Box 43" descr="3 Fahrstreifen" hidden="1">
              <a:extLst>
                <a:ext uri="{63B3BB69-23CF-44E3-9099-C40C66FF867C}">
                  <a14:compatExt spid="_x0000_s51243"/>
                </a:ext>
                <a:ext uri="{FF2B5EF4-FFF2-40B4-BE49-F238E27FC236}">
                  <a16:creationId xmlns:a16="http://schemas.microsoft.com/office/drawing/2014/main" id="{00000000-0008-0000-0800-00002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2</xdr:col>
          <xdr:colOff>7315</xdr:colOff>
          <xdr:row>108</xdr:row>
          <xdr:rowOff>7315</xdr:rowOff>
        </xdr:to>
        <xdr:sp macro="" textlink="">
          <xdr:nvSpPr>
            <xdr:cNvPr id="51244" name="Check Box 44" descr="3 Fahrstreifen" hidden="1">
              <a:extLst>
                <a:ext uri="{63B3BB69-23CF-44E3-9099-C40C66FF867C}">
                  <a14:compatExt spid="_x0000_s51244"/>
                </a:ext>
                <a:ext uri="{FF2B5EF4-FFF2-40B4-BE49-F238E27FC236}">
                  <a16:creationId xmlns:a16="http://schemas.microsoft.com/office/drawing/2014/main" id="{00000000-0008-0000-0800-00002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2</xdr:col>
          <xdr:colOff>7315</xdr:colOff>
          <xdr:row>106</xdr:row>
          <xdr:rowOff>7315</xdr:rowOff>
        </xdr:to>
        <xdr:sp macro="" textlink="">
          <xdr:nvSpPr>
            <xdr:cNvPr id="51245" name="Check Box 45" hidden="1">
              <a:extLst>
                <a:ext uri="{63B3BB69-23CF-44E3-9099-C40C66FF867C}">
                  <a14:compatExt spid="_x0000_s51245"/>
                </a:ext>
                <a:ext uri="{FF2B5EF4-FFF2-40B4-BE49-F238E27FC236}">
                  <a16:creationId xmlns:a16="http://schemas.microsoft.com/office/drawing/2014/main" id="{00000000-0008-0000-0800-00002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2</xdr:col>
          <xdr:colOff>7315</xdr:colOff>
          <xdr:row>104</xdr:row>
          <xdr:rowOff>7315</xdr:rowOff>
        </xdr:to>
        <xdr:sp macro="" textlink="">
          <xdr:nvSpPr>
            <xdr:cNvPr id="51246" name="Check Box 46" hidden="1">
              <a:extLst>
                <a:ext uri="{63B3BB69-23CF-44E3-9099-C40C66FF867C}">
                  <a14:compatExt spid="_x0000_s51246"/>
                </a:ext>
                <a:ext uri="{FF2B5EF4-FFF2-40B4-BE49-F238E27FC236}">
                  <a16:creationId xmlns:a16="http://schemas.microsoft.com/office/drawing/2014/main" id="{00000000-0008-0000-0800-00002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21946</xdr:rowOff>
        </xdr:from>
        <xdr:to>
          <xdr:col>2</xdr:col>
          <xdr:colOff>7315</xdr:colOff>
          <xdr:row>17</xdr:row>
          <xdr:rowOff>219456</xdr:rowOff>
        </xdr:to>
        <xdr:sp macro="" textlink="">
          <xdr:nvSpPr>
            <xdr:cNvPr id="51248" name="Check Box 48" hidden="1">
              <a:extLst>
                <a:ext uri="{63B3BB69-23CF-44E3-9099-C40C66FF867C}">
                  <a14:compatExt spid="_x0000_s51248"/>
                </a:ext>
                <a:ext uri="{FF2B5EF4-FFF2-40B4-BE49-F238E27FC236}">
                  <a16:creationId xmlns:a16="http://schemas.microsoft.com/office/drawing/2014/main" id="{00000000-0008-0000-0800-00003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21946</xdr:rowOff>
        </xdr:from>
        <xdr:to>
          <xdr:col>2</xdr:col>
          <xdr:colOff>7315</xdr:colOff>
          <xdr:row>15</xdr:row>
          <xdr:rowOff>219456</xdr:rowOff>
        </xdr:to>
        <xdr:sp macro="" textlink="">
          <xdr:nvSpPr>
            <xdr:cNvPr id="51249" name="Check Box 49" hidden="1">
              <a:extLst>
                <a:ext uri="{63B3BB69-23CF-44E3-9099-C40C66FF867C}">
                  <a14:compatExt spid="_x0000_s51249"/>
                </a:ext>
                <a:ext uri="{FF2B5EF4-FFF2-40B4-BE49-F238E27FC236}">
                  <a16:creationId xmlns:a16="http://schemas.microsoft.com/office/drawing/2014/main" id="{00000000-0008-0000-0800-00003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21946</xdr:rowOff>
        </xdr:from>
        <xdr:to>
          <xdr:col>2</xdr:col>
          <xdr:colOff>7315</xdr:colOff>
          <xdr:row>21</xdr:row>
          <xdr:rowOff>219456</xdr:rowOff>
        </xdr:to>
        <xdr:sp macro="" textlink="">
          <xdr:nvSpPr>
            <xdr:cNvPr id="51250" name="Check Box 50" hidden="1">
              <a:extLst>
                <a:ext uri="{63B3BB69-23CF-44E3-9099-C40C66FF867C}">
                  <a14:compatExt spid="_x0000_s51250"/>
                </a:ext>
                <a:ext uri="{FF2B5EF4-FFF2-40B4-BE49-F238E27FC236}">
                  <a16:creationId xmlns:a16="http://schemas.microsoft.com/office/drawing/2014/main" id="{00000000-0008-0000-0800-00003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21946</xdr:rowOff>
        </xdr:from>
        <xdr:to>
          <xdr:col>2</xdr:col>
          <xdr:colOff>7315</xdr:colOff>
          <xdr:row>23</xdr:row>
          <xdr:rowOff>219456</xdr:rowOff>
        </xdr:to>
        <xdr:sp macro="" textlink="">
          <xdr:nvSpPr>
            <xdr:cNvPr id="51251" name="Check Box 51" hidden="1">
              <a:extLst>
                <a:ext uri="{63B3BB69-23CF-44E3-9099-C40C66FF867C}">
                  <a14:compatExt spid="_x0000_s51251"/>
                </a:ext>
                <a:ext uri="{FF2B5EF4-FFF2-40B4-BE49-F238E27FC236}">
                  <a16:creationId xmlns:a16="http://schemas.microsoft.com/office/drawing/2014/main" id="{00000000-0008-0000-0800-00003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7315</xdr:colOff>
          <xdr:row>35</xdr:row>
          <xdr:rowOff>7315</xdr:rowOff>
        </xdr:to>
        <xdr:sp macro="" textlink="">
          <xdr:nvSpPr>
            <xdr:cNvPr id="51252" name="Check Box 52" hidden="1">
              <a:extLst>
                <a:ext uri="{63B3BB69-23CF-44E3-9099-C40C66FF867C}">
                  <a14:compatExt spid="_x0000_s51252"/>
                </a:ext>
                <a:ext uri="{FF2B5EF4-FFF2-40B4-BE49-F238E27FC236}">
                  <a16:creationId xmlns:a16="http://schemas.microsoft.com/office/drawing/2014/main" id="{00000000-0008-0000-0800-00003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7315</xdr:colOff>
          <xdr:row>37</xdr:row>
          <xdr:rowOff>7315</xdr:rowOff>
        </xdr:to>
        <xdr:sp macro="" textlink="">
          <xdr:nvSpPr>
            <xdr:cNvPr id="51253" name="Check Box 53" hidden="1">
              <a:extLst>
                <a:ext uri="{63B3BB69-23CF-44E3-9099-C40C66FF867C}">
                  <a14:compatExt spid="_x0000_s51253"/>
                </a:ext>
                <a:ext uri="{FF2B5EF4-FFF2-40B4-BE49-F238E27FC236}">
                  <a16:creationId xmlns:a16="http://schemas.microsoft.com/office/drawing/2014/main" id="{00000000-0008-0000-0800-00003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7315</xdr:colOff>
          <xdr:row>39</xdr:row>
          <xdr:rowOff>7315</xdr:rowOff>
        </xdr:to>
        <xdr:sp macro="" textlink="">
          <xdr:nvSpPr>
            <xdr:cNvPr id="51254" name="Check Box 54" hidden="1">
              <a:extLst>
                <a:ext uri="{63B3BB69-23CF-44E3-9099-C40C66FF867C}">
                  <a14:compatExt spid="_x0000_s51254"/>
                </a:ext>
                <a:ext uri="{FF2B5EF4-FFF2-40B4-BE49-F238E27FC236}">
                  <a16:creationId xmlns:a16="http://schemas.microsoft.com/office/drawing/2014/main" id="{00000000-0008-0000-0800-00003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2:G3" totalsRowShown="0">
  <autoFilter ref="B2:G3" xr:uid="{00000000-0009-0000-0100-000001000000}"/>
  <tableColumns count="6">
    <tableColumn id="1" xr3:uid="{00000000-0010-0000-0000-000001000000}" name="Fachbereich"/>
    <tableColumn id="2" xr3:uid="{00000000-0010-0000-0000-000002000000}" name="Maßnahmennr"/>
    <tableColumn id="3" xr3:uid="{00000000-0010-0000-0000-000003000000}" name="Maßnahme"/>
    <tableColumn id="4" xr3:uid="{00000000-0010-0000-0000-000004000000}" name="Vergabenr"/>
    <tableColumn id="5" xr3:uid="{00000000-0010-0000-0000-000005000000}" name="Bieter"/>
    <tableColumn id="6" xr3:uid="{00000000-0010-0000-0000-000006000000}" name="Wertungssumme" dataCellStyle="Währung">
      <calculatedColumnFormula>'E Honorarberechnung'!J153</calculatedColumnFormula>
    </tableColumn>
  </tableColumns>
  <tableStyleInfo name="TableStyleMedium2" showFirstColumn="0" showLastColumn="0" showRowStripes="1" showColumnStripes="0"/>
  <extLst>
    <ext xmlns:x14="http://schemas.microsoft.com/office/spreadsheetml/2009/9/main" uri="{504A1905-F514-4f6f-8877-14C23A59335A}">
      <x14:table altText="Grunddat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2" displayName="Tabelle2" ref="B7:D56" totalsRowShown="0">
  <autoFilter ref="B7:D56" xr:uid="{00000000-0009-0000-0100-000002000000}"/>
  <tableColumns count="3">
    <tableColumn id="1" xr3:uid="{00000000-0010-0000-0100-000001000000}" name="Bezeichnung"/>
    <tableColumn id="2" xr3:uid="{00000000-0010-0000-0100-000002000000}" name="Angebot" dataDxfId="1955"/>
    <tableColumn id="3" xr3:uid="{00000000-0010-0000-0100-000003000000}" name="Index" dataDxfId="1954"/>
  </tableColumns>
  <tableStyleInfo name="TableStyleMedium2" showFirstColumn="0" showLastColumn="0" showRowStripes="1" showColumnStripes="0"/>
  <extLst>
    <ext xmlns:x14="http://schemas.microsoft.com/office/spreadsheetml/2009/9/main" uri="{504A1905-F514-4f6f-8877-14C23A59335A}">
      <x14:table altText="Angebotsdate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3" displayName="Tabelle3" ref="B61:F299" totalsRowShown="0" headerRowDxfId="1953" headerRowBorderDxfId="1952" tableBorderDxfId="1951">
  <autoFilter ref="B61:F299" xr:uid="{00000000-0009-0000-0100-000003000000}"/>
  <tableColumns count="5">
    <tableColumn id="1" xr3:uid="{00000000-0010-0000-0200-000001000000}" name="Bezeichnung Besond Lstg" dataDxfId="1950"/>
    <tableColumn id="3" xr3:uid="{00000000-0010-0000-0200-000003000000}" name="Menge" dataDxfId="1949"/>
    <tableColumn id="5" xr3:uid="{00000000-0010-0000-0200-000005000000}" name="Einheit" dataDxfId="1948"/>
    <tableColumn id="4" xr3:uid="{00000000-0010-0000-0200-000004000000}" name="EP-Preis" dataDxfId="1947"/>
    <tableColumn id="2" xr3:uid="{00000000-0010-0000-0200-000002000000}" name="Netto-GP-Preis" dataDxfId="1946"/>
  </tableColumns>
  <tableStyleInfo name="TableStyleMedium2" showFirstColumn="0" showLastColumn="0" showRowStripes="1" showColumnStripes="0"/>
  <extLst>
    <ext xmlns:x14="http://schemas.microsoft.com/office/spreadsheetml/2009/9/main" uri="{504A1905-F514-4f6f-8877-14C23A59335A}">
      <x14:table altText="BesondereLeistunge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01.xml"/><Relationship Id="rId13" Type="http://schemas.openxmlformats.org/officeDocument/2006/relationships/ctrlProp" Target="../ctrlProps/ctrlProp406.xml"/><Relationship Id="rId18" Type="http://schemas.openxmlformats.org/officeDocument/2006/relationships/ctrlProp" Target="../ctrlProps/ctrlProp411.xml"/><Relationship Id="rId3" Type="http://schemas.openxmlformats.org/officeDocument/2006/relationships/vmlDrawing" Target="../drawings/vmlDrawing10.vml"/><Relationship Id="rId21" Type="http://schemas.openxmlformats.org/officeDocument/2006/relationships/ctrlProp" Target="../ctrlProps/ctrlProp414.xml"/><Relationship Id="rId7" Type="http://schemas.openxmlformats.org/officeDocument/2006/relationships/ctrlProp" Target="../ctrlProps/ctrlProp400.xml"/><Relationship Id="rId12" Type="http://schemas.openxmlformats.org/officeDocument/2006/relationships/ctrlProp" Target="../ctrlProps/ctrlProp405.xml"/><Relationship Id="rId17" Type="http://schemas.openxmlformats.org/officeDocument/2006/relationships/ctrlProp" Target="../ctrlProps/ctrlProp410.xml"/><Relationship Id="rId25" Type="http://schemas.openxmlformats.org/officeDocument/2006/relationships/ctrlProp" Target="../ctrlProps/ctrlProp418.xml"/><Relationship Id="rId2" Type="http://schemas.openxmlformats.org/officeDocument/2006/relationships/drawing" Target="../drawings/drawing10.xml"/><Relationship Id="rId16" Type="http://schemas.openxmlformats.org/officeDocument/2006/relationships/ctrlProp" Target="../ctrlProps/ctrlProp409.xml"/><Relationship Id="rId20" Type="http://schemas.openxmlformats.org/officeDocument/2006/relationships/ctrlProp" Target="../ctrlProps/ctrlProp413.xml"/><Relationship Id="rId1" Type="http://schemas.openxmlformats.org/officeDocument/2006/relationships/printerSettings" Target="../printerSettings/printerSettings10.bin"/><Relationship Id="rId6" Type="http://schemas.openxmlformats.org/officeDocument/2006/relationships/ctrlProp" Target="../ctrlProps/ctrlProp399.xml"/><Relationship Id="rId11" Type="http://schemas.openxmlformats.org/officeDocument/2006/relationships/ctrlProp" Target="../ctrlProps/ctrlProp404.xml"/><Relationship Id="rId24" Type="http://schemas.openxmlformats.org/officeDocument/2006/relationships/ctrlProp" Target="../ctrlProps/ctrlProp417.xml"/><Relationship Id="rId5" Type="http://schemas.openxmlformats.org/officeDocument/2006/relationships/ctrlProp" Target="../ctrlProps/ctrlProp398.xml"/><Relationship Id="rId15" Type="http://schemas.openxmlformats.org/officeDocument/2006/relationships/ctrlProp" Target="../ctrlProps/ctrlProp408.xml"/><Relationship Id="rId23" Type="http://schemas.openxmlformats.org/officeDocument/2006/relationships/ctrlProp" Target="../ctrlProps/ctrlProp416.xml"/><Relationship Id="rId10" Type="http://schemas.openxmlformats.org/officeDocument/2006/relationships/ctrlProp" Target="../ctrlProps/ctrlProp403.xml"/><Relationship Id="rId19" Type="http://schemas.openxmlformats.org/officeDocument/2006/relationships/ctrlProp" Target="../ctrlProps/ctrlProp412.xml"/><Relationship Id="rId4" Type="http://schemas.openxmlformats.org/officeDocument/2006/relationships/ctrlProp" Target="../ctrlProps/ctrlProp397.xml"/><Relationship Id="rId9" Type="http://schemas.openxmlformats.org/officeDocument/2006/relationships/ctrlProp" Target="../ctrlProps/ctrlProp402.xml"/><Relationship Id="rId14" Type="http://schemas.openxmlformats.org/officeDocument/2006/relationships/ctrlProp" Target="../ctrlProps/ctrlProp407.xml"/><Relationship Id="rId22" Type="http://schemas.openxmlformats.org/officeDocument/2006/relationships/ctrlProp" Target="../ctrlProps/ctrlProp41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423.xml"/><Relationship Id="rId13" Type="http://schemas.openxmlformats.org/officeDocument/2006/relationships/ctrlProp" Target="../ctrlProps/ctrlProp428.xml"/><Relationship Id="rId3" Type="http://schemas.openxmlformats.org/officeDocument/2006/relationships/vmlDrawing" Target="../drawings/vmlDrawing11.vml"/><Relationship Id="rId7" Type="http://schemas.openxmlformats.org/officeDocument/2006/relationships/ctrlProp" Target="../ctrlProps/ctrlProp422.xml"/><Relationship Id="rId12" Type="http://schemas.openxmlformats.org/officeDocument/2006/relationships/ctrlProp" Target="../ctrlProps/ctrlProp427.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421.xml"/><Relationship Id="rId11" Type="http://schemas.openxmlformats.org/officeDocument/2006/relationships/ctrlProp" Target="../ctrlProps/ctrlProp426.xml"/><Relationship Id="rId5" Type="http://schemas.openxmlformats.org/officeDocument/2006/relationships/ctrlProp" Target="../ctrlProps/ctrlProp420.xml"/><Relationship Id="rId10" Type="http://schemas.openxmlformats.org/officeDocument/2006/relationships/ctrlProp" Target="../ctrlProps/ctrlProp425.xml"/><Relationship Id="rId4" Type="http://schemas.openxmlformats.org/officeDocument/2006/relationships/ctrlProp" Target="../ctrlProps/ctrlProp419.xml"/><Relationship Id="rId9" Type="http://schemas.openxmlformats.org/officeDocument/2006/relationships/ctrlProp" Target="../ctrlProps/ctrlProp424.xml"/><Relationship Id="rId14" Type="http://schemas.openxmlformats.org/officeDocument/2006/relationships/ctrlProp" Target="../ctrlProps/ctrlProp42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4.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6.xml"/><Relationship Id="rId21" Type="http://schemas.openxmlformats.org/officeDocument/2006/relationships/ctrlProp" Target="../ctrlProps/ctrlProp31.xml"/><Relationship Id="rId42" Type="http://schemas.openxmlformats.org/officeDocument/2006/relationships/ctrlProp" Target="../ctrlProps/ctrlProp52.xml"/><Relationship Id="rId47" Type="http://schemas.openxmlformats.org/officeDocument/2006/relationships/ctrlProp" Target="../ctrlProps/ctrlProp57.xml"/><Relationship Id="rId63" Type="http://schemas.openxmlformats.org/officeDocument/2006/relationships/ctrlProp" Target="../ctrlProps/ctrlProp73.xml"/><Relationship Id="rId68" Type="http://schemas.openxmlformats.org/officeDocument/2006/relationships/ctrlProp" Target="../ctrlProps/ctrlProp78.xml"/><Relationship Id="rId2" Type="http://schemas.openxmlformats.org/officeDocument/2006/relationships/drawing" Target="../drawings/drawing4.xml"/><Relationship Id="rId16" Type="http://schemas.openxmlformats.org/officeDocument/2006/relationships/ctrlProp" Target="../ctrlProps/ctrlProp26.xml"/><Relationship Id="rId29" Type="http://schemas.openxmlformats.org/officeDocument/2006/relationships/ctrlProp" Target="../ctrlProps/ctrlProp39.xml"/><Relationship Id="rId11" Type="http://schemas.openxmlformats.org/officeDocument/2006/relationships/ctrlProp" Target="../ctrlProps/ctrlProp21.xml"/><Relationship Id="rId24" Type="http://schemas.openxmlformats.org/officeDocument/2006/relationships/ctrlProp" Target="../ctrlProps/ctrlProp34.xml"/><Relationship Id="rId32" Type="http://schemas.openxmlformats.org/officeDocument/2006/relationships/ctrlProp" Target="../ctrlProps/ctrlProp42.xml"/><Relationship Id="rId37" Type="http://schemas.openxmlformats.org/officeDocument/2006/relationships/ctrlProp" Target="../ctrlProps/ctrlProp47.xml"/><Relationship Id="rId40" Type="http://schemas.openxmlformats.org/officeDocument/2006/relationships/ctrlProp" Target="../ctrlProps/ctrlProp50.xml"/><Relationship Id="rId45" Type="http://schemas.openxmlformats.org/officeDocument/2006/relationships/ctrlProp" Target="../ctrlProps/ctrlProp55.xml"/><Relationship Id="rId53" Type="http://schemas.openxmlformats.org/officeDocument/2006/relationships/ctrlProp" Target="../ctrlProps/ctrlProp63.xml"/><Relationship Id="rId58" Type="http://schemas.openxmlformats.org/officeDocument/2006/relationships/ctrlProp" Target="../ctrlProps/ctrlProp68.xml"/><Relationship Id="rId66" Type="http://schemas.openxmlformats.org/officeDocument/2006/relationships/ctrlProp" Target="../ctrlProps/ctrlProp76.xml"/><Relationship Id="rId74" Type="http://schemas.openxmlformats.org/officeDocument/2006/relationships/ctrlProp" Target="../ctrlProps/ctrlProp84.xml"/><Relationship Id="rId5" Type="http://schemas.openxmlformats.org/officeDocument/2006/relationships/ctrlProp" Target="../ctrlProps/ctrlProp15.xml"/><Relationship Id="rId61" Type="http://schemas.openxmlformats.org/officeDocument/2006/relationships/ctrlProp" Target="../ctrlProps/ctrlProp71.xml"/><Relationship Id="rId19" Type="http://schemas.openxmlformats.org/officeDocument/2006/relationships/ctrlProp" Target="../ctrlProps/ctrlProp29.xml"/><Relationship Id="rId14" Type="http://schemas.openxmlformats.org/officeDocument/2006/relationships/ctrlProp" Target="../ctrlProps/ctrlProp24.xml"/><Relationship Id="rId22" Type="http://schemas.openxmlformats.org/officeDocument/2006/relationships/ctrlProp" Target="../ctrlProps/ctrlProp32.xml"/><Relationship Id="rId27" Type="http://schemas.openxmlformats.org/officeDocument/2006/relationships/ctrlProp" Target="../ctrlProps/ctrlProp37.xml"/><Relationship Id="rId30" Type="http://schemas.openxmlformats.org/officeDocument/2006/relationships/ctrlProp" Target="../ctrlProps/ctrlProp40.xml"/><Relationship Id="rId35" Type="http://schemas.openxmlformats.org/officeDocument/2006/relationships/ctrlProp" Target="../ctrlProps/ctrlProp45.xml"/><Relationship Id="rId43" Type="http://schemas.openxmlformats.org/officeDocument/2006/relationships/ctrlProp" Target="../ctrlProps/ctrlProp53.xml"/><Relationship Id="rId48" Type="http://schemas.openxmlformats.org/officeDocument/2006/relationships/ctrlProp" Target="../ctrlProps/ctrlProp58.xml"/><Relationship Id="rId56" Type="http://schemas.openxmlformats.org/officeDocument/2006/relationships/ctrlProp" Target="../ctrlProps/ctrlProp66.xml"/><Relationship Id="rId64" Type="http://schemas.openxmlformats.org/officeDocument/2006/relationships/ctrlProp" Target="../ctrlProps/ctrlProp74.xml"/><Relationship Id="rId69" Type="http://schemas.openxmlformats.org/officeDocument/2006/relationships/ctrlProp" Target="../ctrlProps/ctrlProp79.xml"/><Relationship Id="rId8" Type="http://schemas.openxmlformats.org/officeDocument/2006/relationships/ctrlProp" Target="../ctrlProps/ctrlProp18.xml"/><Relationship Id="rId51" Type="http://schemas.openxmlformats.org/officeDocument/2006/relationships/ctrlProp" Target="../ctrlProps/ctrlProp61.xml"/><Relationship Id="rId72" Type="http://schemas.openxmlformats.org/officeDocument/2006/relationships/ctrlProp" Target="../ctrlProps/ctrlProp82.xml"/><Relationship Id="rId3" Type="http://schemas.openxmlformats.org/officeDocument/2006/relationships/vmlDrawing" Target="../drawings/vmlDrawing4.vml"/><Relationship Id="rId12" Type="http://schemas.openxmlformats.org/officeDocument/2006/relationships/ctrlProp" Target="../ctrlProps/ctrlProp22.xml"/><Relationship Id="rId17" Type="http://schemas.openxmlformats.org/officeDocument/2006/relationships/ctrlProp" Target="../ctrlProps/ctrlProp27.xml"/><Relationship Id="rId25" Type="http://schemas.openxmlformats.org/officeDocument/2006/relationships/ctrlProp" Target="../ctrlProps/ctrlProp35.xml"/><Relationship Id="rId33" Type="http://schemas.openxmlformats.org/officeDocument/2006/relationships/ctrlProp" Target="../ctrlProps/ctrlProp43.xml"/><Relationship Id="rId38" Type="http://schemas.openxmlformats.org/officeDocument/2006/relationships/ctrlProp" Target="../ctrlProps/ctrlProp48.xml"/><Relationship Id="rId46" Type="http://schemas.openxmlformats.org/officeDocument/2006/relationships/ctrlProp" Target="../ctrlProps/ctrlProp56.xml"/><Relationship Id="rId59" Type="http://schemas.openxmlformats.org/officeDocument/2006/relationships/ctrlProp" Target="../ctrlProps/ctrlProp69.xml"/><Relationship Id="rId67" Type="http://schemas.openxmlformats.org/officeDocument/2006/relationships/ctrlProp" Target="../ctrlProps/ctrlProp77.xml"/><Relationship Id="rId20" Type="http://schemas.openxmlformats.org/officeDocument/2006/relationships/ctrlProp" Target="../ctrlProps/ctrlProp30.xml"/><Relationship Id="rId41" Type="http://schemas.openxmlformats.org/officeDocument/2006/relationships/ctrlProp" Target="../ctrlProps/ctrlProp51.xml"/><Relationship Id="rId54" Type="http://schemas.openxmlformats.org/officeDocument/2006/relationships/ctrlProp" Target="../ctrlProps/ctrlProp64.xml"/><Relationship Id="rId62" Type="http://schemas.openxmlformats.org/officeDocument/2006/relationships/ctrlProp" Target="../ctrlProps/ctrlProp72.xml"/><Relationship Id="rId70" Type="http://schemas.openxmlformats.org/officeDocument/2006/relationships/ctrlProp" Target="../ctrlProps/ctrlProp80.xml"/><Relationship Id="rId75" Type="http://schemas.openxmlformats.org/officeDocument/2006/relationships/ctrlProp" Target="../ctrlProps/ctrlProp85.xml"/><Relationship Id="rId1" Type="http://schemas.openxmlformats.org/officeDocument/2006/relationships/printerSettings" Target="../printerSettings/printerSettings4.bin"/><Relationship Id="rId6" Type="http://schemas.openxmlformats.org/officeDocument/2006/relationships/ctrlProp" Target="../ctrlProps/ctrlProp16.xml"/><Relationship Id="rId15" Type="http://schemas.openxmlformats.org/officeDocument/2006/relationships/ctrlProp" Target="../ctrlProps/ctrlProp25.xml"/><Relationship Id="rId23" Type="http://schemas.openxmlformats.org/officeDocument/2006/relationships/ctrlProp" Target="../ctrlProps/ctrlProp33.xml"/><Relationship Id="rId28" Type="http://schemas.openxmlformats.org/officeDocument/2006/relationships/ctrlProp" Target="../ctrlProps/ctrlProp38.xml"/><Relationship Id="rId36" Type="http://schemas.openxmlformats.org/officeDocument/2006/relationships/ctrlProp" Target="../ctrlProps/ctrlProp46.xml"/><Relationship Id="rId49" Type="http://schemas.openxmlformats.org/officeDocument/2006/relationships/ctrlProp" Target="../ctrlProps/ctrlProp59.xml"/><Relationship Id="rId57" Type="http://schemas.openxmlformats.org/officeDocument/2006/relationships/ctrlProp" Target="../ctrlProps/ctrlProp67.xml"/><Relationship Id="rId10" Type="http://schemas.openxmlformats.org/officeDocument/2006/relationships/ctrlProp" Target="../ctrlProps/ctrlProp20.xml"/><Relationship Id="rId31" Type="http://schemas.openxmlformats.org/officeDocument/2006/relationships/ctrlProp" Target="../ctrlProps/ctrlProp41.xml"/><Relationship Id="rId44" Type="http://schemas.openxmlformats.org/officeDocument/2006/relationships/ctrlProp" Target="../ctrlProps/ctrlProp54.xml"/><Relationship Id="rId52" Type="http://schemas.openxmlformats.org/officeDocument/2006/relationships/ctrlProp" Target="../ctrlProps/ctrlProp62.xml"/><Relationship Id="rId60" Type="http://schemas.openxmlformats.org/officeDocument/2006/relationships/ctrlProp" Target="../ctrlProps/ctrlProp70.xml"/><Relationship Id="rId65" Type="http://schemas.openxmlformats.org/officeDocument/2006/relationships/ctrlProp" Target="../ctrlProps/ctrlProp75.xml"/><Relationship Id="rId73" Type="http://schemas.openxmlformats.org/officeDocument/2006/relationships/ctrlProp" Target="../ctrlProps/ctrlProp83.xml"/><Relationship Id="rId4" Type="http://schemas.openxmlformats.org/officeDocument/2006/relationships/ctrlProp" Target="../ctrlProps/ctrlProp14.xml"/><Relationship Id="rId9" Type="http://schemas.openxmlformats.org/officeDocument/2006/relationships/ctrlProp" Target="../ctrlProps/ctrlProp19.xml"/><Relationship Id="rId13" Type="http://schemas.openxmlformats.org/officeDocument/2006/relationships/ctrlProp" Target="../ctrlProps/ctrlProp23.xml"/><Relationship Id="rId18" Type="http://schemas.openxmlformats.org/officeDocument/2006/relationships/ctrlProp" Target="../ctrlProps/ctrlProp28.xml"/><Relationship Id="rId39" Type="http://schemas.openxmlformats.org/officeDocument/2006/relationships/ctrlProp" Target="../ctrlProps/ctrlProp49.xml"/><Relationship Id="rId34" Type="http://schemas.openxmlformats.org/officeDocument/2006/relationships/ctrlProp" Target="../ctrlProps/ctrlProp44.xml"/><Relationship Id="rId50" Type="http://schemas.openxmlformats.org/officeDocument/2006/relationships/ctrlProp" Target="../ctrlProps/ctrlProp60.xml"/><Relationship Id="rId55" Type="http://schemas.openxmlformats.org/officeDocument/2006/relationships/ctrlProp" Target="../ctrlProps/ctrlProp65.xml"/><Relationship Id="rId7" Type="http://schemas.openxmlformats.org/officeDocument/2006/relationships/ctrlProp" Target="../ctrlProps/ctrlProp17.xml"/><Relationship Id="rId71" Type="http://schemas.openxmlformats.org/officeDocument/2006/relationships/ctrlProp" Target="../ctrlProps/ctrlProp81.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108.xml"/><Relationship Id="rId21" Type="http://schemas.openxmlformats.org/officeDocument/2006/relationships/ctrlProp" Target="../ctrlProps/ctrlProp103.xml"/><Relationship Id="rId42" Type="http://schemas.openxmlformats.org/officeDocument/2006/relationships/ctrlProp" Target="../ctrlProps/ctrlProp124.xml"/><Relationship Id="rId47" Type="http://schemas.openxmlformats.org/officeDocument/2006/relationships/ctrlProp" Target="../ctrlProps/ctrlProp129.xml"/><Relationship Id="rId63" Type="http://schemas.openxmlformats.org/officeDocument/2006/relationships/ctrlProp" Target="../ctrlProps/ctrlProp145.xml"/><Relationship Id="rId68" Type="http://schemas.openxmlformats.org/officeDocument/2006/relationships/ctrlProp" Target="../ctrlProps/ctrlProp150.xml"/><Relationship Id="rId16" Type="http://schemas.openxmlformats.org/officeDocument/2006/relationships/ctrlProp" Target="../ctrlProps/ctrlProp98.xml"/><Relationship Id="rId11" Type="http://schemas.openxmlformats.org/officeDocument/2006/relationships/ctrlProp" Target="../ctrlProps/ctrlProp93.xml"/><Relationship Id="rId24" Type="http://schemas.openxmlformats.org/officeDocument/2006/relationships/ctrlProp" Target="../ctrlProps/ctrlProp106.xml"/><Relationship Id="rId32" Type="http://schemas.openxmlformats.org/officeDocument/2006/relationships/ctrlProp" Target="../ctrlProps/ctrlProp114.xml"/><Relationship Id="rId37" Type="http://schemas.openxmlformats.org/officeDocument/2006/relationships/ctrlProp" Target="../ctrlProps/ctrlProp119.xml"/><Relationship Id="rId40" Type="http://schemas.openxmlformats.org/officeDocument/2006/relationships/ctrlProp" Target="../ctrlProps/ctrlProp122.xml"/><Relationship Id="rId45" Type="http://schemas.openxmlformats.org/officeDocument/2006/relationships/ctrlProp" Target="../ctrlProps/ctrlProp127.xml"/><Relationship Id="rId53" Type="http://schemas.openxmlformats.org/officeDocument/2006/relationships/ctrlProp" Target="../ctrlProps/ctrlProp135.xml"/><Relationship Id="rId58" Type="http://schemas.openxmlformats.org/officeDocument/2006/relationships/ctrlProp" Target="../ctrlProps/ctrlProp140.xml"/><Relationship Id="rId66" Type="http://schemas.openxmlformats.org/officeDocument/2006/relationships/ctrlProp" Target="../ctrlProps/ctrlProp148.xml"/><Relationship Id="rId74" Type="http://schemas.openxmlformats.org/officeDocument/2006/relationships/ctrlProp" Target="../ctrlProps/ctrlProp156.xml"/><Relationship Id="rId5" Type="http://schemas.openxmlformats.org/officeDocument/2006/relationships/ctrlProp" Target="../ctrlProps/ctrlProp87.xml"/><Relationship Id="rId61" Type="http://schemas.openxmlformats.org/officeDocument/2006/relationships/ctrlProp" Target="../ctrlProps/ctrlProp143.xml"/><Relationship Id="rId19" Type="http://schemas.openxmlformats.org/officeDocument/2006/relationships/ctrlProp" Target="../ctrlProps/ctrlProp101.xml"/><Relationship Id="rId14" Type="http://schemas.openxmlformats.org/officeDocument/2006/relationships/ctrlProp" Target="../ctrlProps/ctrlProp96.xml"/><Relationship Id="rId22" Type="http://schemas.openxmlformats.org/officeDocument/2006/relationships/ctrlProp" Target="../ctrlProps/ctrlProp104.xml"/><Relationship Id="rId27" Type="http://schemas.openxmlformats.org/officeDocument/2006/relationships/ctrlProp" Target="../ctrlProps/ctrlProp109.xml"/><Relationship Id="rId30" Type="http://schemas.openxmlformats.org/officeDocument/2006/relationships/ctrlProp" Target="../ctrlProps/ctrlProp112.xml"/><Relationship Id="rId35" Type="http://schemas.openxmlformats.org/officeDocument/2006/relationships/ctrlProp" Target="../ctrlProps/ctrlProp117.xml"/><Relationship Id="rId43" Type="http://schemas.openxmlformats.org/officeDocument/2006/relationships/ctrlProp" Target="../ctrlProps/ctrlProp125.xml"/><Relationship Id="rId48" Type="http://schemas.openxmlformats.org/officeDocument/2006/relationships/ctrlProp" Target="../ctrlProps/ctrlProp130.xml"/><Relationship Id="rId56" Type="http://schemas.openxmlformats.org/officeDocument/2006/relationships/ctrlProp" Target="../ctrlProps/ctrlProp138.xml"/><Relationship Id="rId64" Type="http://schemas.openxmlformats.org/officeDocument/2006/relationships/ctrlProp" Target="../ctrlProps/ctrlProp146.xml"/><Relationship Id="rId69" Type="http://schemas.openxmlformats.org/officeDocument/2006/relationships/ctrlProp" Target="../ctrlProps/ctrlProp151.xml"/><Relationship Id="rId77" Type="http://schemas.openxmlformats.org/officeDocument/2006/relationships/ctrlProp" Target="../ctrlProps/ctrlProp159.xml"/><Relationship Id="rId8" Type="http://schemas.openxmlformats.org/officeDocument/2006/relationships/ctrlProp" Target="../ctrlProps/ctrlProp90.xml"/><Relationship Id="rId51" Type="http://schemas.openxmlformats.org/officeDocument/2006/relationships/ctrlProp" Target="../ctrlProps/ctrlProp133.xml"/><Relationship Id="rId72" Type="http://schemas.openxmlformats.org/officeDocument/2006/relationships/ctrlProp" Target="../ctrlProps/ctrlProp154.xml"/><Relationship Id="rId3" Type="http://schemas.openxmlformats.org/officeDocument/2006/relationships/vmlDrawing" Target="../drawings/vmlDrawing5.vml"/><Relationship Id="rId12" Type="http://schemas.openxmlformats.org/officeDocument/2006/relationships/ctrlProp" Target="../ctrlProps/ctrlProp94.xml"/><Relationship Id="rId17" Type="http://schemas.openxmlformats.org/officeDocument/2006/relationships/ctrlProp" Target="../ctrlProps/ctrlProp99.xml"/><Relationship Id="rId25" Type="http://schemas.openxmlformats.org/officeDocument/2006/relationships/ctrlProp" Target="../ctrlProps/ctrlProp107.xml"/><Relationship Id="rId33" Type="http://schemas.openxmlformats.org/officeDocument/2006/relationships/ctrlProp" Target="../ctrlProps/ctrlProp115.xml"/><Relationship Id="rId38" Type="http://schemas.openxmlformats.org/officeDocument/2006/relationships/ctrlProp" Target="../ctrlProps/ctrlProp120.xml"/><Relationship Id="rId46" Type="http://schemas.openxmlformats.org/officeDocument/2006/relationships/ctrlProp" Target="../ctrlProps/ctrlProp128.xml"/><Relationship Id="rId59" Type="http://schemas.openxmlformats.org/officeDocument/2006/relationships/ctrlProp" Target="../ctrlProps/ctrlProp141.xml"/><Relationship Id="rId67" Type="http://schemas.openxmlformats.org/officeDocument/2006/relationships/ctrlProp" Target="../ctrlProps/ctrlProp149.xml"/><Relationship Id="rId20" Type="http://schemas.openxmlformats.org/officeDocument/2006/relationships/ctrlProp" Target="../ctrlProps/ctrlProp102.xml"/><Relationship Id="rId41" Type="http://schemas.openxmlformats.org/officeDocument/2006/relationships/ctrlProp" Target="../ctrlProps/ctrlProp123.xml"/><Relationship Id="rId54" Type="http://schemas.openxmlformats.org/officeDocument/2006/relationships/ctrlProp" Target="../ctrlProps/ctrlProp136.xml"/><Relationship Id="rId62" Type="http://schemas.openxmlformats.org/officeDocument/2006/relationships/ctrlProp" Target="../ctrlProps/ctrlProp144.xml"/><Relationship Id="rId70" Type="http://schemas.openxmlformats.org/officeDocument/2006/relationships/ctrlProp" Target="../ctrlProps/ctrlProp152.xml"/><Relationship Id="rId75" Type="http://schemas.openxmlformats.org/officeDocument/2006/relationships/ctrlProp" Target="../ctrlProps/ctrlProp157.xml"/><Relationship Id="rId1" Type="http://schemas.openxmlformats.org/officeDocument/2006/relationships/printerSettings" Target="../printerSettings/printerSettings5.bin"/><Relationship Id="rId6" Type="http://schemas.openxmlformats.org/officeDocument/2006/relationships/ctrlProp" Target="../ctrlProps/ctrlProp88.xml"/><Relationship Id="rId15" Type="http://schemas.openxmlformats.org/officeDocument/2006/relationships/ctrlProp" Target="../ctrlProps/ctrlProp97.xml"/><Relationship Id="rId23" Type="http://schemas.openxmlformats.org/officeDocument/2006/relationships/ctrlProp" Target="../ctrlProps/ctrlProp105.xml"/><Relationship Id="rId28" Type="http://schemas.openxmlformats.org/officeDocument/2006/relationships/ctrlProp" Target="../ctrlProps/ctrlProp110.xml"/><Relationship Id="rId36" Type="http://schemas.openxmlformats.org/officeDocument/2006/relationships/ctrlProp" Target="../ctrlProps/ctrlProp118.xml"/><Relationship Id="rId49" Type="http://schemas.openxmlformats.org/officeDocument/2006/relationships/ctrlProp" Target="../ctrlProps/ctrlProp131.xml"/><Relationship Id="rId57" Type="http://schemas.openxmlformats.org/officeDocument/2006/relationships/ctrlProp" Target="../ctrlProps/ctrlProp139.xml"/><Relationship Id="rId10" Type="http://schemas.openxmlformats.org/officeDocument/2006/relationships/ctrlProp" Target="../ctrlProps/ctrlProp92.xml"/><Relationship Id="rId31" Type="http://schemas.openxmlformats.org/officeDocument/2006/relationships/ctrlProp" Target="../ctrlProps/ctrlProp113.xml"/><Relationship Id="rId44" Type="http://schemas.openxmlformats.org/officeDocument/2006/relationships/ctrlProp" Target="../ctrlProps/ctrlProp126.xml"/><Relationship Id="rId52" Type="http://schemas.openxmlformats.org/officeDocument/2006/relationships/ctrlProp" Target="../ctrlProps/ctrlProp134.xml"/><Relationship Id="rId60" Type="http://schemas.openxmlformats.org/officeDocument/2006/relationships/ctrlProp" Target="../ctrlProps/ctrlProp142.xml"/><Relationship Id="rId65" Type="http://schemas.openxmlformats.org/officeDocument/2006/relationships/ctrlProp" Target="../ctrlProps/ctrlProp147.xml"/><Relationship Id="rId73" Type="http://schemas.openxmlformats.org/officeDocument/2006/relationships/ctrlProp" Target="../ctrlProps/ctrlProp155.xml"/><Relationship Id="rId78" Type="http://schemas.openxmlformats.org/officeDocument/2006/relationships/ctrlProp" Target="../ctrlProps/ctrlProp160.xml"/><Relationship Id="rId4" Type="http://schemas.openxmlformats.org/officeDocument/2006/relationships/ctrlProp" Target="../ctrlProps/ctrlProp86.xml"/><Relationship Id="rId9" Type="http://schemas.openxmlformats.org/officeDocument/2006/relationships/ctrlProp" Target="../ctrlProps/ctrlProp91.xml"/><Relationship Id="rId13" Type="http://schemas.openxmlformats.org/officeDocument/2006/relationships/ctrlProp" Target="../ctrlProps/ctrlProp95.xml"/><Relationship Id="rId18" Type="http://schemas.openxmlformats.org/officeDocument/2006/relationships/ctrlProp" Target="../ctrlProps/ctrlProp100.xml"/><Relationship Id="rId39" Type="http://schemas.openxmlformats.org/officeDocument/2006/relationships/ctrlProp" Target="../ctrlProps/ctrlProp121.xml"/><Relationship Id="rId34" Type="http://schemas.openxmlformats.org/officeDocument/2006/relationships/ctrlProp" Target="../ctrlProps/ctrlProp116.xml"/><Relationship Id="rId50" Type="http://schemas.openxmlformats.org/officeDocument/2006/relationships/ctrlProp" Target="../ctrlProps/ctrlProp132.xml"/><Relationship Id="rId55" Type="http://schemas.openxmlformats.org/officeDocument/2006/relationships/ctrlProp" Target="../ctrlProps/ctrlProp137.xml"/><Relationship Id="rId76" Type="http://schemas.openxmlformats.org/officeDocument/2006/relationships/ctrlProp" Target="../ctrlProps/ctrlProp158.xml"/><Relationship Id="rId7" Type="http://schemas.openxmlformats.org/officeDocument/2006/relationships/ctrlProp" Target="../ctrlProps/ctrlProp89.xml"/><Relationship Id="rId71" Type="http://schemas.openxmlformats.org/officeDocument/2006/relationships/ctrlProp" Target="../ctrlProps/ctrlProp153.xml"/><Relationship Id="rId2" Type="http://schemas.openxmlformats.org/officeDocument/2006/relationships/drawing" Target="../drawings/drawing5.xml"/><Relationship Id="rId29" Type="http://schemas.openxmlformats.org/officeDocument/2006/relationships/ctrlProp" Target="../ctrlProps/ctrlProp111.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83.xml"/><Relationship Id="rId21" Type="http://schemas.openxmlformats.org/officeDocument/2006/relationships/ctrlProp" Target="../ctrlProps/ctrlProp178.xml"/><Relationship Id="rId42" Type="http://schemas.openxmlformats.org/officeDocument/2006/relationships/ctrlProp" Target="../ctrlProps/ctrlProp199.xml"/><Relationship Id="rId47" Type="http://schemas.openxmlformats.org/officeDocument/2006/relationships/ctrlProp" Target="../ctrlProps/ctrlProp204.xml"/><Relationship Id="rId63" Type="http://schemas.openxmlformats.org/officeDocument/2006/relationships/ctrlProp" Target="../ctrlProps/ctrlProp220.xml"/><Relationship Id="rId68" Type="http://schemas.openxmlformats.org/officeDocument/2006/relationships/ctrlProp" Target="../ctrlProps/ctrlProp225.xml"/><Relationship Id="rId16" Type="http://schemas.openxmlformats.org/officeDocument/2006/relationships/ctrlProp" Target="../ctrlProps/ctrlProp173.xml"/><Relationship Id="rId11" Type="http://schemas.openxmlformats.org/officeDocument/2006/relationships/ctrlProp" Target="../ctrlProps/ctrlProp168.xml"/><Relationship Id="rId24" Type="http://schemas.openxmlformats.org/officeDocument/2006/relationships/ctrlProp" Target="../ctrlProps/ctrlProp181.xml"/><Relationship Id="rId32" Type="http://schemas.openxmlformats.org/officeDocument/2006/relationships/ctrlProp" Target="../ctrlProps/ctrlProp189.xml"/><Relationship Id="rId37" Type="http://schemas.openxmlformats.org/officeDocument/2006/relationships/ctrlProp" Target="../ctrlProps/ctrlProp194.xml"/><Relationship Id="rId40" Type="http://schemas.openxmlformats.org/officeDocument/2006/relationships/ctrlProp" Target="../ctrlProps/ctrlProp197.xml"/><Relationship Id="rId45" Type="http://schemas.openxmlformats.org/officeDocument/2006/relationships/ctrlProp" Target="../ctrlProps/ctrlProp202.xml"/><Relationship Id="rId53" Type="http://schemas.openxmlformats.org/officeDocument/2006/relationships/ctrlProp" Target="../ctrlProps/ctrlProp210.xml"/><Relationship Id="rId58" Type="http://schemas.openxmlformats.org/officeDocument/2006/relationships/ctrlProp" Target="../ctrlProps/ctrlProp215.xml"/><Relationship Id="rId66" Type="http://schemas.openxmlformats.org/officeDocument/2006/relationships/ctrlProp" Target="../ctrlProps/ctrlProp223.xml"/><Relationship Id="rId74" Type="http://schemas.openxmlformats.org/officeDocument/2006/relationships/ctrlProp" Target="../ctrlProps/ctrlProp231.xml"/><Relationship Id="rId5" Type="http://schemas.openxmlformats.org/officeDocument/2006/relationships/ctrlProp" Target="../ctrlProps/ctrlProp162.xml"/><Relationship Id="rId61" Type="http://schemas.openxmlformats.org/officeDocument/2006/relationships/ctrlProp" Target="../ctrlProps/ctrlProp218.xml"/><Relationship Id="rId19" Type="http://schemas.openxmlformats.org/officeDocument/2006/relationships/ctrlProp" Target="../ctrlProps/ctrlProp176.xml"/><Relationship Id="rId14" Type="http://schemas.openxmlformats.org/officeDocument/2006/relationships/ctrlProp" Target="../ctrlProps/ctrlProp171.xml"/><Relationship Id="rId22" Type="http://schemas.openxmlformats.org/officeDocument/2006/relationships/ctrlProp" Target="../ctrlProps/ctrlProp179.xml"/><Relationship Id="rId27" Type="http://schemas.openxmlformats.org/officeDocument/2006/relationships/ctrlProp" Target="../ctrlProps/ctrlProp184.xml"/><Relationship Id="rId30" Type="http://schemas.openxmlformats.org/officeDocument/2006/relationships/ctrlProp" Target="../ctrlProps/ctrlProp187.xml"/><Relationship Id="rId35" Type="http://schemas.openxmlformats.org/officeDocument/2006/relationships/ctrlProp" Target="../ctrlProps/ctrlProp192.xml"/><Relationship Id="rId43" Type="http://schemas.openxmlformats.org/officeDocument/2006/relationships/ctrlProp" Target="../ctrlProps/ctrlProp200.xml"/><Relationship Id="rId48" Type="http://schemas.openxmlformats.org/officeDocument/2006/relationships/ctrlProp" Target="../ctrlProps/ctrlProp205.xml"/><Relationship Id="rId56" Type="http://schemas.openxmlformats.org/officeDocument/2006/relationships/ctrlProp" Target="../ctrlProps/ctrlProp213.xml"/><Relationship Id="rId64" Type="http://schemas.openxmlformats.org/officeDocument/2006/relationships/ctrlProp" Target="../ctrlProps/ctrlProp221.xml"/><Relationship Id="rId69" Type="http://schemas.openxmlformats.org/officeDocument/2006/relationships/ctrlProp" Target="../ctrlProps/ctrlProp226.xml"/><Relationship Id="rId77" Type="http://schemas.openxmlformats.org/officeDocument/2006/relationships/ctrlProp" Target="../ctrlProps/ctrlProp234.xml"/><Relationship Id="rId8" Type="http://schemas.openxmlformats.org/officeDocument/2006/relationships/ctrlProp" Target="../ctrlProps/ctrlProp165.xml"/><Relationship Id="rId51" Type="http://schemas.openxmlformats.org/officeDocument/2006/relationships/ctrlProp" Target="../ctrlProps/ctrlProp208.xml"/><Relationship Id="rId72" Type="http://schemas.openxmlformats.org/officeDocument/2006/relationships/ctrlProp" Target="../ctrlProps/ctrlProp229.xml"/><Relationship Id="rId3" Type="http://schemas.openxmlformats.org/officeDocument/2006/relationships/vmlDrawing" Target="../drawings/vmlDrawing6.vml"/><Relationship Id="rId12" Type="http://schemas.openxmlformats.org/officeDocument/2006/relationships/ctrlProp" Target="../ctrlProps/ctrlProp169.xml"/><Relationship Id="rId17" Type="http://schemas.openxmlformats.org/officeDocument/2006/relationships/ctrlProp" Target="../ctrlProps/ctrlProp174.xml"/><Relationship Id="rId25" Type="http://schemas.openxmlformats.org/officeDocument/2006/relationships/ctrlProp" Target="../ctrlProps/ctrlProp182.xml"/><Relationship Id="rId33" Type="http://schemas.openxmlformats.org/officeDocument/2006/relationships/ctrlProp" Target="../ctrlProps/ctrlProp190.xml"/><Relationship Id="rId38" Type="http://schemas.openxmlformats.org/officeDocument/2006/relationships/ctrlProp" Target="../ctrlProps/ctrlProp195.xml"/><Relationship Id="rId46" Type="http://schemas.openxmlformats.org/officeDocument/2006/relationships/ctrlProp" Target="../ctrlProps/ctrlProp203.xml"/><Relationship Id="rId59" Type="http://schemas.openxmlformats.org/officeDocument/2006/relationships/ctrlProp" Target="../ctrlProps/ctrlProp216.xml"/><Relationship Id="rId67" Type="http://schemas.openxmlformats.org/officeDocument/2006/relationships/ctrlProp" Target="../ctrlProps/ctrlProp224.xml"/><Relationship Id="rId20" Type="http://schemas.openxmlformats.org/officeDocument/2006/relationships/ctrlProp" Target="../ctrlProps/ctrlProp177.xml"/><Relationship Id="rId41" Type="http://schemas.openxmlformats.org/officeDocument/2006/relationships/ctrlProp" Target="../ctrlProps/ctrlProp198.xml"/><Relationship Id="rId54" Type="http://schemas.openxmlformats.org/officeDocument/2006/relationships/ctrlProp" Target="../ctrlProps/ctrlProp211.xml"/><Relationship Id="rId62" Type="http://schemas.openxmlformats.org/officeDocument/2006/relationships/ctrlProp" Target="../ctrlProps/ctrlProp219.xml"/><Relationship Id="rId70" Type="http://schemas.openxmlformats.org/officeDocument/2006/relationships/ctrlProp" Target="../ctrlProps/ctrlProp227.xml"/><Relationship Id="rId75" Type="http://schemas.openxmlformats.org/officeDocument/2006/relationships/ctrlProp" Target="../ctrlProps/ctrlProp232.xml"/><Relationship Id="rId1" Type="http://schemas.openxmlformats.org/officeDocument/2006/relationships/printerSettings" Target="../printerSettings/printerSettings6.bin"/><Relationship Id="rId6" Type="http://schemas.openxmlformats.org/officeDocument/2006/relationships/ctrlProp" Target="../ctrlProps/ctrlProp163.xml"/><Relationship Id="rId15" Type="http://schemas.openxmlformats.org/officeDocument/2006/relationships/ctrlProp" Target="../ctrlProps/ctrlProp172.xml"/><Relationship Id="rId23" Type="http://schemas.openxmlformats.org/officeDocument/2006/relationships/ctrlProp" Target="../ctrlProps/ctrlProp180.xml"/><Relationship Id="rId28" Type="http://schemas.openxmlformats.org/officeDocument/2006/relationships/ctrlProp" Target="../ctrlProps/ctrlProp185.xml"/><Relationship Id="rId36" Type="http://schemas.openxmlformats.org/officeDocument/2006/relationships/ctrlProp" Target="../ctrlProps/ctrlProp193.xml"/><Relationship Id="rId49" Type="http://schemas.openxmlformats.org/officeDocument/2006/relationships/ctrlProp" Target="../ctrlProps/ctrlProp206.xml"/><Relationship Id="rId57" Type="http://schemas.openxmlformats.org/officeDocument/2006/relationships/ctrlProp" Target="../ctrlProps/ctrlProp214.xml"/><Relationship Id="rId10" Type="http://schemas.openxmlformats.org/officeDocument/2006/relationships/ctrlProp" Target="../ctrlProps/ctrlProp167.xml"/><Relationship Id="rId31" Type="http://schemas.openxmlformats.org/officeDocument/2006/relationships/ctrlProp" Target="../ctrlProps/ctrlProp188.xml"/><Relationship Id="rId44" Type="http://schemas.openxmlformats.org/officeDocument/2006/relationships/ctrlProp" Target="../ctrlProps/ctrlProp201.xml"/><Relationship Id="rId52" Type="http://schemas.openxmlformats.org/officeDocument/2006/relationships/ctrlProp" Target="../ctrlProps/ctrlProp209.xml"/><Relationship Id="rId60" Type="http://schemas.openxmlformats.org/officeDocument/2006/relationships/ctrlProp" Target="../ctrlProps/ctrlProp217.xml"/><Relationship Id="rId65" Type="http://schemas.openxmlformats.org/officeDocument/2006/relationships/ctrlProp" Target="../ctrlProps/ctrlProp222.xml"/><Relationship Id="rId73" Type="http://schemas.openxmlformats.org/officeDocument/2006/relationships/ctrlProp" Target="../ctrlProps/ctrlProp230.xml"/><Relationship Id="rId78" Type="http://schemas.openxmlformats.org/officeDocument/2006/relationships/ctrlProp" Target="../ctrlProps/ctrlProp235.xml"/><Relationship Id="rId4" Type="http://schemas.openxmlformats.org/officeDocument/2006/relationships/ctrlProp" Target="../ctrlProps/ctrlProp161.xml"/><Relationship Id="rId9" Type="http://schemas.openxmlformats.org/officeDocument/2006/relationships/ctrlProp" Target="../ctrlProps/ctrlProp166.xml"/><Relationship Id="rId13" Type="http://schemas.openxmlformats.org/officeDocument/2006/relationships/ctrlProp" Target="../ctrlProps/ctrlProp170.xml"/><Relationship Id="rId18" Type="http://schemas.openxmlformats.org/officeDocument/2006/relationships/ctrlProp" Target="../ctrlProps/ctrlProp175.xml"/><Relationship Id="rId39" Type="http://schemas.openxmlformats.org/officeDocument/2006/relationships/ctrlProp" Target="../ctrlProps/ctrlProp196.xml"/><Relationship Id="rId34" Type="http://schemas.openxmlformats.org/officeDocument/2006/relationships/ctrlProp" Target="../ctrlProps/ctrlProp191.xml"/><Relationship Id="rId50" Type="http://schemas.openxmlformats.org/officeDocument/2006/relationships/ctrlProp" Target="../ctrlProps/ctrlProp207.xml"/><Relationship Id="rId55" Type="http://schemas.openxmlformats.org/officeDocument/2006/relationships/ctrlProp" Target="../ctrlProps/ctrlProp212.xml"/><Relationship Id="rId76" Type="http://schemas.openxmlformats.org/officeDocument/2006/relationships/ctrlProp" Target="../ctrlProps/ctrlProp233.xml"/><Relationship Id="rId7" Type="http://schemas.openxmlformats.org/officeDocument/2006/relationships/ctrlProp" Target="../ctrlProps/ctrlProp164.xml"/><Relationship Id="rId71" Type="http://schemas.openxmlformats.org/officeDocument/2006/relationships/ctrlProp" Target="../ctrlProps/ctrlProp228.xml"/><Relationship Id="rId2" Type="http://schemas.openxmlformats.org/officeDocument/2006/relationships/drawing" Target="../drawings/drawing6.xml"/><Relationship Id="rId29" Type="http://schemas.openxmlformats.org/officeDocument/2006/relationships/ctrlProp" Target="../ctrlProps/ctrlProp186.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258.xml"/><Relationship Id="rId21" Type="http://schemas.openxmlformats.org/officeDocument/2006/relationships/ctrlProp" Target="../ctrlProps/ctrlProp253.xml"/><Relationship Id="rId42" Type="http://schemas.openxmlformats.org/officeDocument/2006/relationships/ctrlProp" Target="../ctrlProps/ctrlProp274.xml"/><Relationship Id="rId47" Type="http://schemas.openxmlformats.org/officeDocument/2006/relationships/ctrlProp" Target="../ctrlProps/ctrlProp279.xml"/><Relationship Id="rId63" Type="http://schemas.openxmlformats.org/officeDocument/2006/relationships/ctrlProp" Target="../ctrlProps/ctrlProp295.xml"/><Relationship Id="rId68" Type="http://schemas.openxmlformats.org/officeDocument/2006/relationships/ctrlProp" Target="../ctrlProps/ctrlProp300.xml"/><Relationship Id="rId2" Type="http://schemas.openxmlformats.org/officeDocument/2006/relationships/drawing" Target="../drawings/drawing7.xml"/><Relationship Id="rId16" Type="http://schemas.openxmlformats.org/officeDocument/2006/relationships/ctrlProp" Target="../ctrlProps/ctrlProp248.xml"/><Relationship Id="rId29" Type="http://schemas.openxmlformats.org/officeDocument/2006/relationships/ctrlProp" Target="../ctrlProps/ctrlProp261.xml"/><Relationship Id="rId11" Type="http://schemas.openxmlformats.org/officeDocument/2006/relationships/ctrlProp" Target="../ctrlProps/ctrlProp243.xml"/><Relationship Id="rId24" Type="http://schemas.openxmlformats.org/officeDocument/2006/relationships/ctrlProp" Target="../ctrlProps/ctrlProp256.xml"/><Relationship Id="rId32" Type="http://schemas.openxmlformats.org/officeDocument/2006/relationships/ctrlProp" Target="../ctrlProps/ctrlProp264.xml"/><Relationship Id="rId37" Type="http://schemas.openxmlformats.org/officeDocument/2006/relationships/ctrlProp" Target="../ctrlProps/ctrlProp269.xml"/><Relationship Id="rId40" Type="http://schemas.openxmlformats.org/officeDocument/2006/relationships/ctrlProp" Target="../ctrlProps/ctrlProp272.xml"/><Relationship Id="rId45" Type="http://schemas.openxmlformats.org/officeDocument/2006/relationships/ctrlProp" Target="../ctrlProps/ctrlProp277.xml"/><Relationship Id="rId53" Type="http://schemas.openxmlformats.org/officeDocument/2006/relationships/ctrlProp" Target="../ctrlProps/ctrlProp285.xml"/><Relationship Id="rId58" Type="http://schemas.openxmlformats.org/officeDocument/2006/relationships/ctrlProp" Target="../ctrlProps/ctrlProp290.xml"/><Relationship Id="rId66" Type="http://schemas.openxmlformats.org/officeDocument/2006/relationships/ctrlProp" Target="../ctrlProps/ctrlProp298.xml"/><Relationship Id="rId74" Type="http://schemas.openxmlformats.org/officeDocument/2006/relationships/ctrlProp" Target="../ctrlProps/ctrlProp306.xml"/><Relationship Id="rId5" Type="http://schemas.openxmlformats.org/officeDocument/2006/relationships/ctrlProp" Target="../ctrlProps/ctrlProp237.xml"/><Relationship Id="rId61" Type="http://schemas.openxmlformats.org/officeDocument/2006/relationships/ctrlProp" Target="../ctrlProps/ctrlProp293.xml"/><Relationship Id="rId19" Type="http://schemas.openxmlformats.org/officeDocument/2006/relationships/ctrlProp" Target="../ctrlProps/ctrlProp251.xml"/><Relationship Id="rId14" Type="http://schemas.openxmlformats.org/officeDocument/2006/relationships/ctrlProp" Target="../ctrlProps/ctrlProp246.xml"/><Relationship Id="rId22" Type="http://schemas.openxmlformats.org/officeDocument/2006/relationships/ctrlProp" Target="../ctrlProps/ctrlProp254.xml"/><Relationship Id="rId27" Type="http://schemas.openxmlformats.org/officeDocument/2006/relationships/ctrlProp" Target="../ctrlProps/ctrlProp259.xml"/><Relationship Id="rId30" Type="http://schemas.openxmlformats.org/officeDocument/2006/relationships/ctrlProp" Target="../ctrlProps/ctrlProp262.xml"/><Relationship Id="rId35" Type="http://schemas.openxmlformats.org/officeDocument/2006/relationships/ctrlProp" Target="../ctrlProps/ctrlProp267.xml"/><Relationship Id="rId43" Type="http://schemas.openxmlformats.org/officeDocument/2006/relationships/ctrlProp" Target="../ctrlProps/ctrlProp275.xml"/><Relationship Id="rId48" Type="http://schemas.openxmlformats.org/officeDocument/2006/relationships/ctrlProp" Target="../ctrlProps/ctrlProp280.xml"/><Relationship Id="rId56" Type="http://schemas.openxmlformats.org/officeDocument/2006/relationships/ctrlProp" Target="../ctrlProps/ctrlProp288.xml"/><Relationship Id="rId64" Type="http://schemas.openxmlformats.org/officeDocument/2006/relationships/ctrlProp" Target="../ctrlProps/ctrlProp296.xml"/><Relationship Id="rId69" Type="http://schemas.openxmlformats.org/officeDocument/2006/relationships/ctrlProp" Target="../ctrlProps/ctrlProp301.xml"/><Relationship Id="rId8" Type="http://schemas.openxmlformats.org/officeDocument/2006/relationships/ctrlProp" Target="../ctrlProps/ctrlProp240.xml"/><Relationship Id="rId51" Type="http://schemas.openxmlformats.org/officeDocument/2006/relationships/ctrlProp" Target="../ctrlProps/ctrlProp283.xml"/><Relationship Id="rId72" Type="http://schemas.openxmlformats.org/officeDocument/2006/relationships/ctrlProp" Target="../ctrlProps/ctrlProp304.xml"/><Relationship Id="rId3" Type="http://schemas.openxmlformats.org/officeDocument/2006/relationships/vmlDrawing" Target="../drawings/vmlDrawing7.vml"/><Relationship Id="rId12" Type="http://schemas.openxmlformats.org/officeDocument/2006/relationships/ctrlProp" Target="../ctrlProps/ctrlProp244.xml"/><Relationship Id="rId17" Type="http://schemas.openxmlformats.org/officeDocument/2006/relationships/ctrlProp" Target="../ctrlProps/ctrlProp249.xml"/><Relationship Id="rId25" Type="http://schemas.openxmlformats.org/officeDocument/2006/relationships/ctrlProp" Target="../ctrlProps/ctrlProp257.xml"/><Relationship Id="rId33" Type="http://schemas.openxmlformats.org/officeDocument/2006/relationships/ctrlProp" Target="../ctrlProps/ctrlProp265.xml"/><Relationship Id="rId38" Type="http://schemas.openxmlformats.org/officeDocument/2006/relationships/ctrlProp" Target="../ctrlProps/ctrlProp270.xml"/><Relationship Id="rId46" Type="http://schemas.openxmlformats.org/officeDocument/2006/relationships/ctrlProp" Target="../ctrlProps/ctrlProp278.xml"/><Relationship Id="rId59" Type="http://schemas.openxmlformats.org/officeDocument/2006/relationships/ctrlProp" Target="../ctrlProps/ctrlProp291.xml"/><Relationship Id="rId67" Type="http://schemas.openxmlformats.org/officeDocument/2006/relationships/ctrlProp" Target="../ctrlProps/ctrlProp299.xml"/><Relationship Id="rId20" Type="http://schemas.openxmlformats.org/officeDocument/2006/relationships/ctrlProp" Target="../ctrlProps/ctrlProp252.xml"/><Relationship Id="rId41" Type="http://schemas.openxmlformats.org/officeDocument/2006/relationships/ctrlProp" Target="../ctrlProps/ctrlProp273.xml"/><Relationship Id="rId54" Type="http://schemas.openxmlformats.org/officeDocument/2006/relationships/ctrlProp" Target="../ctrlProps/ctrlProp286.xml"/><Relationship Id="rId62" Type="http://schemas.openxmlformats.org/officeDocument/2006/relationships/ctrlProp" Target="../ctrlProps/ctrlProp294.xml"/><Relationship Id="rId70" Type="http://schemas.openxmlformats.org/officeDocument/2006/relationships/ctrlProp" Target="../ctrlProps/ctrlProp302.xml"/><Relationship Id="rId75" Type="http://schemas.openxmlformats.org/officeDocument/2006/relationships/ctrlProp" Target="../ctrlProps/ctrlProp307.xml"/><Relationship Id="rId1" Type="http://schemas.openxmlformats.org/officeDocument/2006/relationships/printerSettings" Target="../printerSettings/printerSettings7.bin"/><Relationship Id="rId6" Type="http://schemas.openxmlformats.org/officeDocument/2006/relationships/ctrlProp" Target="../ctrlProps/ctrlProp238.xml"/><Relationship Id="rId15" Type="http://schemas.openxmlformats.org/officeDocument/2006/relationships/ctrlProp" Target="../ctrlProps/ctrlProp247.xml"/><Relationship Id="rId23" Type="http://schemas.openxmlformats.org/officeDocument/2006/relationships/ctrlProp" Target="../ctrlProps/ctrlProp255.xml"/><Relationship Id="rId28" Type="http://schemas.openxmlformats.org/officeDocument/2006/relationships/ctrlProp" Target="../ctrlProps/ctrlProp260.xml"/><Relationship Id="rId36" Type="http://schemas.openxmlformats.org/officeDocument/2006/relationships/ctrlProp" Target="../ctrlProps/ctrlProp268.xml"/><Relationship Id="rId49" Type="http://schemas.openxmlformats.org/officeDocument/2006/relationships/ctrlProp" Target="../ctrlProps/ctrlProp281.xml"/><Relationship Id="rId57" Type="http://schemas.openxmlformats.org/officeDocument/2006/relationships/ctrlProp" Target="../ctrlProps/ctrlProp289.xml"/><Relationship Id="rId10" Type="http://schemas.openxmlformats.org/officeDocument/2006/relationships/ctrlProp" Target="../ctrlProps/ctrlProp242.xml"/><Relationship Id="rId31" Type="http://schemas.openxmlformats.org/officeDocument/2006/relationships/ctrlProp" Target="../ctrlProps/ctrlProp263.xml"/><Relationship Id="rId44" Type="http://schemas.openxmlformats.org/officeDocument/2006/relationships/ctrlProp" Target="../ctrlProps/ctrlProp276.xml"/><Relationship Id="rId52" Type="http://schemas.openxmlformats.org/officeDocument/2006/relationships/ctrlProp" Target="../ctrlProps/ctrlProp284.xml"/><Relationship Id="rId60" Type="http://schemas.openxmlformats.org/officeDocument/2006/relationships/ctrlProp" Target="../ctrlProps/ctrlProp292.xml"/><Relationship Id="rId65" Type="http://schemas.openxmlformats.org/officeDocument/2006/relationships/ctrlProp" Target="../ctrlProps/ctrlProp297.xml"/><Relationship Id="rId73" Type="http://schemas.openxmlformats.org/officeDocument/2006/relationships/ctrlProp" Target="../ctrlProps/ctrlProp305.xml"/><Relationship Id="rId4" Type="http://schemas.openxmlformats.org/officeDocument/2006/relationships/ctrlProp" Target="../ctrlProps/ctrlProp236.xml"/><Relationship Id="rId9" Type="http://schemas.openxmlformats.org/officeDocument/2006/relationships/ctrlProp" Target="../ctrlProps/ctrlProp241.xml"/><Relationship Id="rId13" Type="http://schemas.openxmlformats.org/officeDocument/2006/relationships/ctrlProp" Target="../ctrlProps/ctrlProp245.xml"/><Relationship Id="rId18" Type="http://schemas.openxmlformats.org/officeDocument/2006/relationships/ctrlProp" Target="../ctrlProps/ctrlProp250.xml"/><Relationship Id="rId39" Type="http://schemas.openxmlformats.org/officeDocument/2006/relationships/ctrlProp" Target="../ctrlProps/ctrlProp271.xml"/><Relationship Id="rId34" Type="http://schemas.openxmlformats.org/officeDocument/2006/relationships/ctrlProp" Target="../ctrlProps/ctrlProp266.xml"/><Relationship Id="rId50" Type="http://schemas.openxmlformats.org/officeDocument/2006/relationships/ctrlProp" Target="../ctrlProps/ctrlProp282.xml"/><Relationship Id="rId55" Type="http://schemas.openxmlformats.org/officeDocument/2006/relationships/ctrlProp" Target="../ctrlProps/ctrlProp287.xml"/><Relationship Id="rId76" Type="http://schemas.openxmlformats.org/officeDocument/2006/relationships/ctrlProp" Target="../ctrlProps/ctrlProp308.xml"/><Relationship Id="rId7" Type="http://schemas.openxmlformats.org/officeDocument/2006/relationships/ctrlProp" Target="../ctrlProps/ctrlProp239.xml"/><Relationship Id="rId71" Type="http://schemas.openxmlformats.org/officeDocument/2006/relationships/ctrlProp" Target="../ctrlProps/ctrlProp30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18.xml"/><Relationship Id="rId18" Type="http://schemas.openxmlformats.org/officeDocument/2006/relationships/ctrlProp" Target="../ctrlProps/ctrlProp323.xml"/><Relationship Id="rId26" Type="http://schemas.openxmlformats.org/officeDocument/2006/relationships/ctrlProp" Target="../ctrlProps/ctrlProp331.xml"/><Relationship Id="rId39" Type="http://schemas.openxmlformats.org/officeDocument/2006/relationships/ctrlProp" Target="../ctrlProps/ctrlProp344.xml"/><Relationship Id="rId21" Type="http://schemas.openxmlformats.org/officeDocument/2006/relationships/ctrlProp" Target="../ctrlProps/ctrlProp326.xml"/><Relationship Id="rId34" Type="http://schemas.openxmlformats.org/officeDocument/2006/relationships/ctrlProp" Target="../ctrlProps/ctrlProp339.xml"/><Relationship Id="rId42" Type="http://schemas.openxmlformats.org/officeDocument/2006/relationships/ctrlProp" Target="../ctrlProps/ctrlProp347.xml"/><Relationship Id="rId47" Type="http://schemas.openxmlformats.org/officeDocument/2006/relationships/ctrlProp" Target="../ctrlProps/ctrlProp352.xml"/><Relationship Id="rId7" Type="http://schemas.openxmlformats.org/officeDocument/2006/relationships/ctrlProp" Target="../ctrlProps/ctrlProp312.xml"/><Relationship Id="rId2" Type="http://schemas.openxmlformats.org/officeDocument/2006/relationships/drawing" Target="../drawings/drawing8.xml"/><Relationship Id="rId16" Type="http://schemas.openxmlformats.org/officeDocument/2006/relationships/ctrlProp" Target="../ctrlProps/ctrlProp321.xml"/><Relationship Id="rId29" Type="http://schemas.openxmlformats.org/officeDocument/2006/relationships/ctrlProp" Target="../ctrlProps/ctrlProp334.xml"/><Relationship Id="rId11" Type="http://schemas.openxmlformats.org/officeDocument/2006/relationships/ctrlProp" Target="../ctrlProps/ctrlProp316.xml"/><Relationship Id="rId24" Type="http://schemas.openxmlformats.org/officeDocument/2006/relationships/ctrlProp" Target="../ctrlProps/ctrlProp329.xml"/><Relationship Id="rId32" Type="http://schemas.openxmlformats.org/officeDocument/2006/relationships/ctrlProp" Target="../ctrlProps/ctrlProp337.xml"/><Relationship Id="rId37" Type="http://schemas.openxmlformats.org/officeDocument/2006/relationships/ctrlProp" Target="../ctrlProps/ctrlProp342.xml"/><Relationship Id="rId40" Type="http://schemas.openxmlformats.org/officeDocument/2006/relationships/ctrlProp" Target="../ctrlProps/ctrlProp345.xml"/><Relationship Id="rId45" Type="http://schemas.openxmlformats.org/officeDocument/2006/relationships/ctrlProp" Target="../ctrlProps/ctrlProp350.xml"/><Relationship Id="rId5" Type="http://schemas.openxmlformats.org/officeDocument/2006/relationships/ctrlProp" Target="../ctrlProps/ctrlProp310.xml"/><Relationship Id="rId15" Type="http://schemas.openxmlformats.org/officeDocument/2006/relationships/ctrlProp" Target="../ctrlProps/ctrlProp320.xml"/><Relationship Id="rId23" Type="http://schemas.openxmlformats.org/officeDocument/2006/relationships/ctrlProp" Target="../ctrlProps/ctrlProp328.xml"/><Relationship Id="rId28" Type="http://schemas.openxmlformats.org/officeDocument/2006/relationships/ctrlProp" Target="../ctrlProps/ctrlProp333.xml"/><Relationship Id="rId36" Type="http://schemas.openxmlformats.org/officeDocument/2006/relationships/ctrlProp" Target="../ctrlProps/ctrlProp341.xml"/><Relationship Id="rId49" Type="http://schemas.openxmlformats.org/officeDocument/2006/relationships/ctrlProp" Target="../ctrlProps/ctrlProp354.xml"/><Relationship Id="rId10" Type="http://schemas.openxmlformats.org/officeDocument/2006/relationships/ctrlProp" Target="../ctrlProps/ctrlProp315.xml"/><Relationship Id="rId19" Type="http://schemas.openxmlformats.org/officeDocument/2006/relationships/ctrlProp" Target="../ctrlProps/ctrlProp324.xml"/><Relationship Id="rId31" Type="http://schemas.openxmlformats.org/officeDocument/2006/relationships/ctrlProp" Target="../ctrlProps/ctrlProp336.xml"/><Relationship Id="rId44" Type="http://schemas.openxmlformats.org/officeDocument/2006/relationships/ctrlProp" Target="../ctrlProps/ctrlProp349.xml"/><Relationship Id="rId4" Type="http://schemas.openxmlformats.org/officeDocument/2006/relationships/ctrlProp" Target="../ctrlProps/ctrlProp309.xml"/><Relationship Id="rId9" Type="http://schemas.openxmlformats.org/officeDocument/2006/relationships/ctrlProp" Target="../ctrlProps/ctrlProp314.xml"/><Relationship Id="rId14" Type="http://schemas.openxmlformats.org/officeDocument/2006/relationships/ctrlProp" Target="../ctrlProps/ctrlProp319.xml"/><Relationship Id="rId22" Type="http://schemas.openxmlformats.org/officeDocument/2006/relationships/ctrlProp" Target="../ctrlProps/ctrlProp327.xml"/><Relationship Id="rId27" Type="http://schemas.openxmlformats.org/officeDocument/2006/relationships/ctrlProp" Target="../ctrlProps/ctrlProp332.xml"/><Relationship Id="rId30" Type="http://schemas.openxmlformats.org/officeDocument/2006/relationships/ctrlProp" Target="../ctrlProps/ctrlProp335.xml"/><Relationship Id="rId35" Type="http://schemas.openxmlformats.org/officeDocument/2006/relationships/ctrlProp" Target="../ctrlProps/ctrlProp340.xml"/><Relationship Id="rId43" Type="http://schemas.openxmlformats.org/officeDocument/2006/relationships/ctrlProp" Target="../ctrlProps/ctrlProp348.xml"/><Relationship Id="rId48" Type="http://schemas.openxmlformats.org/officeDocument/2006/relationships/ctrlProp" Target="../ctrlProps/ctrlProp353.xml"/><Relationship Id="rId8" Type="http://schemas.openxmlformats.org/officeDocument/2006/relationships/ctrlProp" Target="../ctrlProps/ctrlProp313.xml"/><Relationship Id="rId3" Type="http://schemas.openxmlformats.org/officeDocument/2006/relationships/vmlDrawing" Target="../drawings/vmlDrawing8.vml"/><Relationship Id="rId12" Type="http://schemas.openxmlformats.org/officeDocument/2006/relationships/ctrlProp" Target="../ctrlProps/ctrlProp317.xml"/><Relationship Id="rId17" Type="http://schemas.openxmlformats.org/officeDocument/2006/relationships/ctrlProp" Target="../ctrlProps/ctrlProp322.xml"/><Relationship Id="rId25" Type="http://schemas.openxmlformats.org/officeDocument/2006/relationships/ctrlProp" Target="../ctrlProps/ctrlProp330.xml"/><Relationship Id="rId33" Type="http://schemas.openxmlformats.org/officeDocument/2006/relationships/ctrlProp" Target="../ctrlProps/ctrlProp338.xml"/><Relationship Id="rId38" Type="http://schemas.openxmlformats.org/officeDocument/2006/relationships/ctrlProp" Target="../ctrlProps/ctrlProp343.xml"/><Relationship Id="rId46" Type="http://schemas.openxmlformats.org/officeDocument/2006/relationships/ctrlProp" Target="../ctrlProps/ctrlProp351.xml"/><Relationship Id="rId20" Type="http://schemas.openxmlformats.org/officeDocument/2006/relationships/ctrlProp" Target="../ctrlProps/ctrlProp325.xml"/><Relationship Id="rId41" Type="http://schemas.openxmlformats.org/officeDocument/2006/relationships/ctrlProp" Target="../ctrlProps/ctrlProp346.xml"/><Relationship Id="rId1" Type="http://schemas.openxmlformats.org/officeDocument/2006/relationships/printerSettings" Target="../printerSettings/printerSettings8.bin"/><Relationship Id="rId6" Type="http://schemas.openxmlformats.org/officeDocument/2006/relationships/ctrlProp" Target="../ctrlProps/ctrlProp31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64.xml"/><Relationship Id="rId18" Type="http://schemas.openxmlformats.org/officeDocument/2006/relationships/ctrlProp" Target="../ctrlProps/ctrlProp369.xml"/><Relationship Id="rId26" Type="http://schemas.openxmlformats.org/officeDocument/2006/relationships/ctrlProp" Target="../ctrlProps/ctrlProp377.xml"/><Relationship Id="rId39" Type="http://schemas.openxmlformats.org/officeDocument/2006/relationships/ctrlProp" Target="../ctrlProps/ctrlProp390.xml"/><Relationship Id="rId21" Type="http://schemas.openxmlformats.org/officeDocument/2006/relationships/ctrlProp" Target="../ctrlProps/ctrlProp372.xml"/><Relationship Id="rId34" Type="http://schemas.openxmlformats.org/officeDocument/2006/relationships/ctrlProp" Target="../ctrlProps/ctrlProp385.xml"/><Relationship Id="rId42" Type="http://schemas.openxmlformats.org/officeDocument/2006/relationships/ctrlProp" Target="../ctrlProps/ctrlProp393.xml"/><Relationship Id="rId7" Type="http://schemas.openxmlformats.org/officeDocument/2006/relationships/ctrlProp" Target="../ctrlProps/ctrlProp358.xml"/><Relationship Id="rId2" Type="http://schemas.openxmlformats.org/officeDocument/2006/relationships/drawing" Target="../drawings/drawing9.xml"/><Relationship Id="rId16" Type="http://schemas.openxmlformats.org/officeDocument/2006/relationships/ctrlProp" Target="../ctrlProps/ctrlProp367.xml"/><Relationship Id="rId29" Type="http://schemas.openxmlformats.org/officeDocument/2006/relationships/ctrlProp" Target="../ctrlProps/ctrlProp380.xml"/><Relationship Id="rId1" Type="http://schemas.openxmlformats.org/officeDocument/2006/relationships/printerSettings" Target="../printerSettings/printerSettings9.bin"/><Relationship Id="rId6" Type="http://schemas.openxmlformats.org/officeDocument/2006/relationships/ctrlProp" Target="../ctrlProps/ctrlProp357.xml"/><Relationship Id="rId11" Type="http://schemas.openxmlformats.org/officeDocument/2006/relationships/ctrlProp" Target="../ctrlProps/ctrlProp362.xml"/><Relationship Id="rId24" Type="http://schemas.openxmlformats.org/officeDocument/2006/relationships/ctrlProp" Target="../ctrlProps/ctrlProp375.xml"/><Relationship Id="rId32" Type="http://schemas.openxmlformats.org/officeDocument/2006/relationships/ctrlProp" Target="../ctrlProps/ctrlProp383.xml"/><Relationship Id="rId37" Type="http://schemas.openxmlformats.org/officeDocument/2006/relationships/ctrlProp" Target="../ctrlProps/ctrlProp388.xml"/><Relationship Id="rId40" Type="http://schemas.openxmlformats.org/officeDocument/2006/relationships/ctrlProp" Target="../ctrlProps/ctrlProp391.xml"/><Relationship Id="rId45" Type="http://schemas.openxmlformats.org/officeDocument/2006/relationships/ctrlProp" Target="../ctrlProps/ctrlProp396.xml"/><Relationship Id="rId5" Type="http://schemas.openxmlformats.org/officeDocument/2006/relationships/ctrlProp" Target="../ctrlProps/ctrlProp356.xml"/><Relationship Id="rId15" Type="http://schemas.openxmlformats.org/officeDocument/2006/relationships/ctrlProp" Target="../ctrlProps/ctrlProp366.xml"/><Relationship Id="rId23" Type="http://schemas.openxmlformats.org/officeDocument/2006/relationships/ctrlProp" Target="../ctrlProps/ctrlProp374.xml"/><Relationship Id="rId28" Type="http://schemas.openxmlformats.org/officeDocument/2006/relationships/ctrlProp" Target="../ctrlProps/ctrlProp379.xml"/><Relationship Id="rId36" Type="http://schemas.openxmlformats.org/officeDocument/2006/relationships/ctrlProp" Target="../ctrlProps/ctrlProp387.xml"/><Relationship Id="rId10" Type="http://schemas.openxmlformats.org/officeDocument/2006/relationships/ctrlProp" Target="../ctrlProps/ctrlProp361.xml"/><Relationship Id="rId19" Type="http://schemas.openxmlformats.org/officeDocument/2006/relationships/ctrlProp" Target="../ctrlProps/ctrlProp370.xml"/><Relationship Id="rId31" Type="http://schemas.openxmlformats.org/officeDocument/2006/relationships/ctrlProp" Target="../ctrlProps/ctrlProp382.xml"/><Relationship Id="rId44" Type="http://schemas.openxmlformats.org/officeDocument/2006/relationships/ctrlProp" Target="../ctrlProps/ctrlProp395.xml"/><Relationship Id="rId4" Type="http://schemas.openxmlformats.org/officeDocument/2006/relationships/ctrlProp" Target="../ctrlProps/ctrlProp355.xml"/><Relationship Id="rId9" Type="http://schemas.openxmlformats.org/officeDocument/2006/relationships/ctrlProp" Target="../ctrlProps/ctrlProp360.xml"/><Relationship Id="rId14" Type="http://schemas.openxmlformats.org/officeDocument/2006/relationships/ctrlProp" Target="../ctrlProps/ctrlProp365.xml"/><Relationship Id="rId22" Type="http://schemas.openxmlformats.org/officeDocument/2006/relationships/ctrlProp" Target="../ctrlProps/ctrlProp373.xml"/><Relationship Id="rId27" Type="http://schemas.openxmlformats.org/officeDocument/2006/relationships/ctrlProp" Target="../ctrlProps/ctrlProp378.xml"/><Relationship Id="rId30" Type="http://schemas.openxmlformats.org/officeDocument/2006/relationships/ctrlProp" Target="../ctrlProps/ctrlProp381.xml"/><Relationship Id="rId35" Type="http://schemas.openxmlformats.org/officeDocument/2006/relationships/ctrlProp" Target="../ctrlProps/ctrlProp386.xml"/><Relationship Id="rId43" Type="http://schemas.openxmlformats.org/officeDocument/2006/relationships/ctrlProp" Target="../ctrlProps/ctrlProp394.xml"/><Relationship Id="rId8" Type="http://schemas.openxmlformats.org/officeDocument/2006/relationships/ctrlProp" Target="../ctrlProps/ctrlProp359.xml"/><Relationship Id="rId3" Type="http://schemas.openxmlformats.org/officeDocument/2006/relationships/vmlDrawing" Target="../drawings/vmlDrawing9.vml"/><Relationship Id="rId12" Type="http://schemas.openxmlformats.org/officeDocument/2006/relationships/ctrlProp" Target="../ctrlProps/ctrlProp363.xml"/><Relationship Id="rId17" Type="http://schemas.openxmlformats.org/officeDocument/2006/relationships/ctrlProp" Target="../ctrlProps/ctrlProp368.xml"/><Relationship Id="rId25" Type="http://schemas.openxmlformats.org/officeDocument/2006/relationships/ctrlProp" Target="../ctrlProps/ctrlProp376.xml"/><Relationship Id="rId33" Type="http://schemas.openxmlformats.org/officeDocument/2006/relationships/ctrlProp" Target="../ctrlProps/ctrlProp384.xml"/><Relationship Id="rId38" Type="http://schemas.openxmlformats.org/officeDocument/2006/relationships/ctrlProp" Target="../ctrlProps/ctrlProp389.xml"/><Relationship Id="rId20" Type="http://schemas.openxmlformats.org/officeDocument/2006/relationships/ctrlProp" Target="../ctrlProps/ctrlProp371.xml"/><Relationship Id="rId41" Type="http://schemas.openxmlformats.org/officeDocument/2006/relationships/ctrlProp" Target="../ctrlProps/ctrlProp39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0" tint="-4.9989318521683403E-2"/>
    <pageSetUpPr fitToPage="1"/>
  </sheetPr>
  <dimension ref="A1:O62"/>
  <sheetViews>
    <sheetView showGridLines="0" showRuler="0" zoomScaleNormal="100" zoomScaleSheetLayoutView="110" workbookViewId="0">
      <selection activeCell="C15" sqref="C15:E15"/>
    </sheetView>
  </sheetViews>
  <sheetFormatPr baseColWidth="10" defaultColWidth="0" defaultRowHeight="16.600000000000001" customHeight="1" zeroHeight="1"/>
  <cols>
    <col min="1" max="1" width="5.6640625" style="218" customWidth="1"/>
    <col min="2" max="2" width="5.6640625" style="7" customWidth="1"/>
    <col min="3" max="3" width="3.33203125" style="7" customWidth="1"/>
    <col min="4" max="4" width="5.6640625" style="7" customWidth="1"/>
    <col min="5" max="5" width="48" style="7" customWidth="1"/>
    <col min="6" max="6" width="19" style="7" customWidth="1"/>
    <col min="7" max="7" width="22.33203125" style="7" customWidth="1"/>
    <col min="8" max="8" width="2.6640625" style="7" customWidth="1"/>
    <col min="9" max="9" width="16" style="156" hidden="1" customWidth="1"/>
    <col min="10" max="16384" width="11.33203125" style="7" hidden="1"/>
  </cols>
  <sheetData>
    <row r="1" spans="1:15" ht="16.7"/>
    <row r="2" spans="1:15" ht="16.600000000000001" customHeight="1">
      <c r="B2" s="1285" t="s">
        <v>548</v>
      </c>
      <c r="C2" s="1285"/>
      <c r="D2" s="1285"/>
      <c r="E2" s="1286"/>
      <c r="F2" s="219" t="s">
        <v>549</v>
      </c>
      <c r="G2" s="220" t="s">
        <v>501</v>
      </c>
      <c r="H2" s="1287" t="s">
        <v>501</v>
      </c>
      <c r="I2" s="122" t="s">
        <v>159</v>
      </c>
      <c r="K2" s="60"/>
      <c r="L2" s="221" t="s">
        <v>502</v>
      </c>
      <c r="O2" s="222"/>
    </row>
    <row r="3" spans="1:15" ht="16.600000000000001" customHeight="1">
      <c r="B3" s="1288" t="s">
        <v>503</v>
      </c>
      <c r="C3" s="1288"/>
      <c r="D3" s="1288"/>
      <c r="E3" s="1289"/>
      <c r="F3" s="223" t="s">
        <v>1219</v>
      </c>
      <c r="G3" s="224"/>
      <c r="H3" s="1287"/>
      <c r="I3" s="155"/>
      <c r="K3" s="210"/>
      <c r="L3" s="7" t="str">
        <f ca="1">MID(CELL("dateiname",A2),FIND("]",CELL("dateiname",A2))+1,255)</f>
        <v>Projektgrundlagen</v>
      </c>
      <c r="O3" s="222"/>
    </row>
    <row r="4" spans="1:15" ht="7.5" customHeight="1">
      <c r="B4" s="225"/>
      <c r="C4" s="225"/>
      <c r="D4" s="225"/>
      <c r="E4" s="225"/>
      <c r="F4" s="226"/>
      <c r="G4" s="227"/>
      <c r="H4" s="1287"/>
      <c r="I4" s="155"/>
      <c r="K4" s="210"/>
    </row>
    <row r="5" spans="1:15" ht="16.7">
      <c r="A5" s="228" t="str">
        <f>IF(OR(E5="",G5=""),"è","")</f>
        <v/>
      </c>
      <c r="B5" s="1290" t="s">
        <v>504</v>
      </c>
      <c r="C5" s="1291"/>
      <c r="D5" s="1291"/>
      <c r="E5" s="229" t="s">
        <v>1229</v>
      </c>
      <c r="F5" s="230" t="s">
        <v>505</v>
      </c>
      <c r="G5" s="224" t="s">
        <v>1231</v>
      </c>
      <c r="H5" s="1287"/>
      <c r="I5" s="155"/>
    </row>
    <row r="6" spans="1:15" ht="16.7">
      <c r="A6" s="228" t="str">
        <f>IF(E6="","è","")</f>
        <v/>
      </c>
      <c r="B6" s="1292" t="s">
        <v>506</v>
      </c>
      <c r="C6" s="1293"/>
      <c r="D6" s="1293"/>
      <c r="E6" s="1294" t="s">
        <v>1230</v>
      </c>
      <c r="F6" s="1294"/>
      <c r="G6" s="1295"/>
      <c r="H6" s="1287"/>
      <c r="K6" s="210"/>
    </row>
    <row r="7" spans="1:15" ht="16.7">
      <c r="B7" s="1296"/>
      <c r="C7" s="1297"/>
      <c r="D7" s="1297"/>
      <c r="E7" s="1298"/>
      <c r="F7" s="1298"/>
      <c r="G7" s="1299"/>
      <c r="H7" s="1287"/>
    </row>
    <row r="8" spans="1:15" ht="16.7">
      <c r="B8" s="1300" t="s">
        <v>475</v>
      </c>
      <c r="C8" s="1301"/>
      <c r="D8" s="1301"/>
      <c r="E8" s="1302"/>
      <c r="F8" s="1302"/>
      <c r="G8" s="1303"/>
      <c r="H8" s="1287"/>
    </row>
    <row r="9" spans="1:15" ht="16.7">
      <c r="G9" s="233"/>
    </row>
    <row r="10" spans="1:15" s="157" customFormat="1" ht="26.25" customHeight="1">
      <c r="A10" s="234"/>
      <c r="B10" s="235"/>
      <c r="C10" s="236" t="s">
        <v>507</v>
      </c>
      <c r="D10" s="237"/>
      <c r="E10" s="237"/>
      <c r="F10" s="238"/>
      <c r="G10" s="239"/>
      <c r="I10" s="158"/>
    </row>
    <row r="11" spans="1:15" ht="7.5" customHeight="1">
      <c r="B11" s="240"/>
      <c r="C11" s="240"/>
      <c r="D11" s="241"/>
      <c r="E11" s="241"/>
      <c r="F11" s="241"/>
      <c r="G11" s="241"/>
      <c r="H11" s="242"/>
      <c r="I11" s="243"/>
    </row>
    <row r="12" spans="1:15" ht="16.7">
      <c r="A12" s="244"/>
      <c r="B12" s="64">
        <v>1</v>
      </c>
      <c r="C12" s="1304" t="s">
        <v>508</v>
      </c>
      <c r="D12" s="1305"/>
      <c r="E12" s="1305"/>
      <c r="F12" s="9"/>
      <c r="G12" s="29"/>
    </row>
    <row r="13" spans="1:15" ht="16.7">
      <c r="A13" s="228" t="str">
        <f>IF(COUNTIF($I$13:$I$14,TRUE)&lt;&gt;1,"è","")</f>
        <v/>
      </c>
      <c r="B13" s="245" t="s">
        <v>509</v>
      </c>
      <c r="C13" s="246"/>
      <c r="D13" s="1279" t="s">
        <v>510</v>
      </c>
      <c r="E13" s="1280"/>
      <c r="F13" s="247"/>
      <c r="G13" s="248"/>
      <c r="I13" s="156" t="b">
        <v>1</v>
      </c>
      <c r="J13" s="249"/>
    </row>
    <row r="14" spans="1:15" ht="16.7">
      <c r="A14" s="228" t="str">
        <f>IF(COUNTIF($I$13:$I$14,TRUE)&lt;&gt;1,"è","")</f>
        <v/>
      </c>
      <c r="B14" s="250" t="s">
        <v>511</v>
      </c>
      <c r="C14" s="246"/>
      <c r="D14" s="1282" t="s">
        <v>512</v>
      </c>
      <c r="E14" s="1283"/>
      <c r="F14" s="11"/>
      <c r="G14" s="30"/>
      <c r="I14" s="156" t="b">
        <v>0</v>
      </c>
    </row>
    <row r="15" spans="1:15" ht="16.7">
      <c r="A15" s="251"/>
      <c r="B15" s="64">
        <v>2</v>
      </c>
      <c r="C15" s="1304" t="s">
        <v>513</v>
      </c>
      <c r="D15" s="1305"/>
      <c r="E15" s="1305"/>
      <c r="F15" s="9"/>
      <c r="G15" s="29"/>
    </row>
    <row r="16" spans="1:15" ht="16.7">
      <c r="A16" s="228" t="str">
        <f>IF(AND($I$13=FALSE,$I$14,COUNTIF($I$16:$I$17,TRUE)&lt;&gt;1),"è","")</f>
        <v/>
      </c>
      <c r="B16" s="252" t="s">
        <v>514</v>
      </c>
      <c r="C16" s="246"/>
      <c r="D16" s="1279" t="s">
        <v>515</v>
      </c>
      <c r="E16" s="1280"/>
      <c r="F16" s="247"/>
      <c r="G16" s="248"/>
      <c r="I16" s="156" t="b">
        <v>1</v>
      </c>
    </row>
    <row r="17" spans="1:11" ht="16.7">
      <c r="A17" s="228" t="str">
        <f>IF(AND($I$13=FALSE,$I$14,COUNTIF($I$16:$I$17,TRUE)&lt;&gt;1),"è","")</f>
        <v/>
      </c>
      <c r="B17" s="250" t="s">
        <v>516</v>
      </c>
      <c r="C17" s="246"/>
      <c r="D17" s="1282" t="s">
        <v>517</v>
      </c>
      <c r="E17" s="1283"/>
      <c r="F17" s="11"/>
      <c r="G17" s="30"/>
      <c r="I17" s="156" t="b">
        <v>0</v>
      </c>
    </row>
    <row r="18" spans="1:11" ht="16.7">
      <c r="B18" s="19"/>
      <c r="D18" s="19"/>
      <c r="E18" s="19"/>
    </row>
    <row r="19" spans="1:11" ht="26.25" customHeight="1">
      <c r="B19" s="235"/>
      <c r="C19" s="1284" t="s">
        <v>518</v>
      </c>
      <c r="D19" s="1284"/>
      <c r="E19" s="1284"/>
      <c r="F19" s="1284"/>
      <c r="G19" s="1284"/>
      <c r="I19" s="253" t="s">
        <v>519</v>
      </c>
      <c r="J19" s="9"/>
      <c r="K19" s="29"/>
    </row>
    <row r="20" spans="1:11" ht="7.5" customHeight="1">
      <c r="B20" s="240"/>
      <c r="C20" s="240"/>
      <c r="D20" s="241"/>
      <c r="E20" s="241"/>
      <c r="F20" s="241"/>
      <c r="G20" s="241"/>
      <c r="H20" s="242"/>
      <c r="I20" s="254"/>
      <c r="K20" s="165"/>
    </row>
    <row r="21" spans="1:11" ht="16.7">
      <c r="B21" s="255"/>
      <c r="C21" s="256" t="s">
        <v>520</v>
      </c>
      <c r="D21" s="257" t="s">
        <v>521</v>
      </c>
      <c r="E21" s="257"/>
      <c r="F21" s="258" t="s">
        <v>522</v>
      </c>
      <c r="G21" s="259"/>
      <c r="H21" s="160"/>
      <c r="I21" s="260" t="b">
        <f>AND(I13,I14=FALSE)</f>
        <v>1</v>
      </c>
      <c r="J21" s="7" t="s">
        <v>510</v>
      </c>
      <c r="K21" s="165"/>
    </row>
    <row r="22" spans="1:11" ht="16.7">
      <c r="B22" s="261"/>
      <c r="C22" s="262" t="s">
        <v>523</v>
      </c>
      <c r="D22" s="1277" t="s">
        <v>524</v>
      </c>
      <c r="E22" s="1278"/>
      <c r="F22" s="1262" t="str">
        <f ca="1">'A anrechb Kosten'!L3</f>
        <v>A anrechb Kosten</v>
      </c>
      <c r="G22" s="1263"/>
      <c r="H22" s="160"/>
      <c r="I22" s="260" t="b">
        <f>AND(I13=FALSE,I14,I16,I17=FALSE)</f>
        <v>0</v>
      </c>
      <c r="J22" s="7" t="s">
        <v>525</v>
      </c>
      <c r="K22" s="165"/>
    </row>
    <row r="23" spans="1:11" ht="16.7">
      <c r="B23" s="261"/>
      <c r="C23" s="262" t="s">
        <v>526</v>
      </c>
      <c r="D23" s="1277" t="s">
        <v>527</v>
      </c>
      <c r="E23" s="1278"/>
      <c r="F23" s="1262" t="str">
        <f ca="1">'B HZone'!N3</f>
        <v>B HZone</v>
      </c>
      <c r="G23" s="1263"/>
      <c r="H23" s="160"/>
      <c r="I23" s="260" t="b">
        <f>AND(I13=FALSE,I14,I17,I16=FALSE)</f>
        <v>0</v>
      </c>
      <c r="J23" s="7" t="s">
        <v>528</v>
      </c>
      <c r="K23" s="165"/>
    </row>
    <row r="24" spans="1:11" ht="16.7">
      <c r="B24" s="261"/>
      <c r="C24" s="262" t="s">
        <v>529</v>
      </c>
      <c r="D24" s="1277" t="s">
        <v>530</v>
      </c>
      <c r="E24" s="1278"/>
      <c r="F24" s="1262" t="str">
        <f ca="1">'StB-C1 Grundlstg'!O3</f>
        <v>StB-C1 Grundlstg</v>
      </c>
      <c r="G24" s="1263"/>
      <c r="H24" s="160"/>
      <c r="I24" s="263" t="b">
        <f>IF(AND(I23=FALSE,I22=FALSE,I21=FALSE),TRUE,FALSE)</f>
        <v>0</v>
      </c>
      <c r="J24" s="264" t="s">
        <v>98</v>
      </c>
      <c r="K24" s="30"/>
    </row>
    <row r="25" spans="1:11" ht="16.7">
      <c r="B25" s="261"/>
      <c r="C25" s="262" t="s">
        <v>531</v>
      </c>
      <c r="D25" s="1277" t="s">
        <v>532</v>
      </c>
      <c r="E25" s="1278"/>
      <c r="F25" s="1264" t="str">
        <f ca="1">'HB-C1 Grundlstg Land'!O3</f>
        <v>HB-C1 Grundlstg Land</v>
      </c>
      <c r="G25" s="1265"/>
      <c r="H25" s="160"/>
    </row>
    <row r="26" spans="1:11" ht="16.7">
      <c r="B26" s="261"/>
      <c r="C26" s="262" t="s">
        <v>533</v>
      </c>
      <c r="D26" s="1277" t="s">
        <v>534</v>
      </c>
      <c r="E26" s="1278"/>
      <c r="F26" s="1262" t="str">
        <f ca="1">'HB-C2 Grundlstg Bund'!O3</f>
        <v>HB-C2 Grundlstg Bund</v>
      </c>
      <c r="G26" s="1263"/>
      <c r="H26" s="160"/>
      <c r="J26" s="61"/>
    </row>
    <row r="27" spans="1:11" ht="16.7">
      <c r="B27" s="261"/>
      <c r="C27" s="262" t="s">
        <v>535</v>
      </c>
      <c r="D27" s="1277" t="s">
        <v>536</v>
      </c>
      <c r="E27" s="1278"/>
      <c r="F27" s="1262" t="str">
        <f ca="1">'StB-D1 Besondere Lstg'!P3</f>
        <v>StB-D1 Besondere Lstg</v>
      </c>
      <c r="G27" s="1263"/>
      <c r="H27" s="160"/>
    </row>
    <row r="28" spans="1:11" ht="16.7">
      <c r="B28" s="261"/>
      <c r="C28" s="262" t="s">
        <v>537</v>
      </c>
      <c r="D28" s="1277" t="s">
        <v>980</v>
      </c>
      <c r="E28" s="1278"/>
      <c r="F28" s="1262" t="str">
        <f ca="1">'HB-D1 Besondere Lstg Land'!P3</f>
        <v>HB-D1 Besondere Lstg Land</v>
      </c>
      <c r="G28" s="1263"/>
      <c r="H28" s="160"/>
      <c r="J28" s="61"/>
    </row>
    <row r="29" spans="1:11" ht="16.600000000000001" customHeight="1">
      <c r="B29" s="261"/>
      <c r="C29" s="262" t="s">
        <v>538</v>
      </c>
      <c r="D29" s="1277" t="s">
        <v>981</v>
      </c>
      <c r="E29" s="1278"/>
      <c r="F29" s="1262" t="str">
        <f ca="1">'HB-D2 Besondere Lstg Bund'!P3</f>
        <v>HB-D2 Besondere Lstg Bund</v>
      </c>
      <c r="G29" s="1263"/>
      <c r="H29" s="265"/>
    </row>
    <row r="30" spans="1:11" ht="16.600000000000001" customHeight="1">
      <c r="B30" s="261"/>
      <c r="C30" s="262" t="s">
        <v>539</v>
      </c>
      <c r="D30" s="1279" t="s">
        <v>540</v>
      </c>
      <c r="E30" s="1280"/>
      <c r="F30" s="1262" t="str">
        <f ca="1">'E Honorarberechnung'!P3</f>
        <v>E Honorarberechnung</v>
      </c>
      <c r="G30" s="1263"/>
      <c r="H30" s="1281" t="s">
        <v>1225</v>
      </c>
    </row>
    <row r="31" spans="1:11" ht="16.7">
      <c r="B31" s="261"/>
      <c r="C31" s="262" t="s">
        <v>541</v>
      </c>
      <c r="D31" s="1279" t="s">
        <v>542</v>
      </c>
      <c r="E31" s="1280"/>
      <c r="F31" s="1262" t="str">
        <f ca="1">'F Honorarübersicht'!S3</f>
        <v>F Honorarübersicht</v>
      </c>
      <c r="G31" s="1263"/>
      <c r="H31" s="1281"/>
    </row>
    <row r="32" spans="1:11" ht="16.7">
      <c r="B32" s="261"/>
      <c r="C32" s="262" t="s">
        <v>543</v>
      </c>
      <c r="D32" s="1279" t="s">
        <v>544</v>
      </c>
      <c r="E32" s="1280"/>
      <c r="F32" s="1262" t="str">
        <f ca="1">'G Honorarabrechnung'!M3</f>
        <v>G Honorarabrechnung</v>
      </c>
      <c r="G32" s="1266"/>
      <c r="H32" s="1281"/>
    </row>
    <row r="33" spans="2:8" ht="16.7">
      <c r="B33" s="4"/>
      <c r="C33" s="266" t="s">
        <v>545</v>
      </c>
      <c r="D33" s="1282" t="s">
        <v>982</v>
      </c>
      <c r="E33" s="1283"/>
      <c r="F33" s="1267" t="str">
        <f ca="1">'H §48 HOAI'!M6</f>
        <v>H §48 HOAI</v>
      </c>
      <c r="G33" s="1268"/>
      <c r="H33" s="1281"/>
    </row>
    <row r="34" spans="2:8" ht="16.7">
      <c r="F34" s="1269"/>
      <c r="G34" s="1269"/>
    </row>
    <row r="35" spans="2:8" ht="16.7">
      <c r="F35" s="136"/>
      <c r="G35" s="136"/>
    </row>
    <row r="36" spans="2:8" ht="16.7"/>
    <row r="37" spans="2:8" ht="16.7">
      <c r="B37" s="194" t="s">
        <v>457</v>
      </c>
      <c r="C37" s="194"/>
    </row>
    <row r="38" spans="2:8" ht="17.3" thickBot="1"/>
    <row r="39" spans="2:8" ht="230.15" customHeight="1" thickTop="1" thickBot="1">
      <c r="B39" s="1271" t="s">
        <v>1149</v>
      </c>
      <c r="C39" s="1272"/>
      <c r="D39" s="1272"/>
      <c r="E39" s="1272"/>
      <c r="F39" s="1272"/>
      <c r="G39" s="1273"/>
    </row>
    <row r="40" spans="2:8" ht="17.3" thickTop="1"/>
    <row r="41" spans="2:8" ht="16.7">
      <c r="B41" s="194" t="s">
        <v>546</v>
      </c>
      <c r="C41" s="194"/>
    </row>
    <row r="42" spans="2:8" ht="17.3" thickBot="1"/>
    <row r="43" spans="2:8" ht="195" customHeight="1" thickTop="1" thickBot="1">
      <c r="B43" s="1274" t="s">
        <v>547</v>
      </c>
      <c r="C43" s="1275"/>
      <c r="D43" s="1275"/>
      <c r="E43" s="1275"/>
      <c r="F43" s="1275"/>
      <c r="G43" s="1276"/>
    </row>
    <row r="44" spans="2:8" ht="17.3" thickTop="1"/>
    <row r="45" spans="2:8" ht="16.7" hidden="1"/>
    <row r="46" spans="2:8" ht="16.7" hidden="1"/>
    <row r="47" spans="2:8" ht="16.7" hidden="1"/>
    <row r="48" spans="2:8" ht="16.7" hidden="1"/>
    <row r="49" ht="16.7" hidden="1"/>
    <row r="50" ht="16.7" hidden="1"/>
    <row r="51" ht="16.7" hidden="1"/>
    <row r="52" ht="16.7" hidden="1"/>
    <row r="53" ht="16.7" hidden="1"/>
    <row r="54" ht="16.7" hidden="1"/>
    <row r="55" ht="16.7" hidden="1"/>
    <row r="56" ht="16.7" hidden="1"/>
    <row r="57" ht="16.7" hidden="1"/>
    <row r="58" ht="16.7" hidden="1"/>
    <row r="59" ht="16.7" hidden="1"/>
    <row r="60" ht="16.7" hidden="1"/>
    <row r="61" ht="16.7" hidden="1"/>
    <row r="62" ht="16.7" hidden="1"/>
  </sheetData>
  <sheetProtection sheet="1" formatRows="0"/>
  <mergeCells count="32">
    <mergeCell ref="D17:E17"/>
    <mergeCell ref="B2:E2"/>
    <mergeCell ref="H2:H8"/>
    <mergeCell ref="B3:E3"/>
    <mergeCell ref="B5:D5"/>
    <mergeCell ref="B6:D6"/>
    <mergeCell ref="E6:G6"/>
    <mergeCell ref="B7:D7"/>
    <mergeCell ref="E7:G7"/>
    <mergeCell ref="B8:D8"/>
    <mergeCell ref="E8:G8"/>
    <mergeCell ref="C12:E12"/>
    <mergeCell ref="D13:E13"/>
    <mergeCell ref="D14:E14"/>
    <mergeCell ref="C15:E15"/>
    <mergeCell ref="D16:E16"/>
    <mergeCell ref="H30:H33"/>
    <mergeCell ref="D31:E31"/>
    <mergeCell ref="D32:E32"/>
    <mergeCell ref="D33:E33"/>
    <mergeCell ref="C19:G19"/>
    <mergeCell ref="D22:E22"/>
    <mergeCell ref="D23:E23"/>
    <mergeCell ref="D24:E24"/>
    <mergeCell ref="D25:E25"/>
    <mergeCell ref="D26:E26"/>
    <mergeCell ref="B39:G39"/>
    <mergeCell ref="B43:G43"/>
    <mergeCell ref="D27:E27"/>
    <mergeCell ref="D28:E28"/>
    <mergeCell ref="D29:E29"/>
    <mergeCell ref="D30:E30"/>
  </mergeCells>
  <conditionalFormatting sqref="B24:D24 B27:D27">
    <cfRule type="expression" dxfId="1945" priority="19">
      <formula>$I$21=FALSE</formula>
    </cfRule>
  </conditionalFormatting>
  <conditionalFormatting sqref="B25:D25 B28:D28">
    <cfRule type="expression" dxfId="1944" priority="18">
      <formula>$I$22=FALSE</formula>
    </cfRule>
  </conditionalFormatting>
  <conditionalFormatting sqref="B26:D26 B29:D29">
    <cfRule type="expression" dxfId="1943" priority="17">
      <formula>$I$23=FALSE</formula>
    </cfRule>
  </conditionalFormatting>
  <conditionalFormatting sqref="C13">
    <cfRule type="expression" dxfId="1942" priority="16">
      <formula>IF(COUNTIF(I13:I14,TRUE)&lt;&gt;1,1,0)</formula>
    </cfRule>
  </conditionalFormatting>
  <conditionalFormatting sqref="C14">
    <cfRule type="expression" dxfId="1941" priority="15">
      <formula>IF(COUNTIF(I13:I14,TRUE)&lt;&gt;1,1,0)</formula>
    </cfRule>
  </conditionalFormatting>
  <conditionalFormatting sqref="C16">
    <cfRule type="expression" dxfId="1940" priority="14">
      <formula>IF(AND(I14,(COUNTIF(I16:I17,TRUE)&lt;&gt;1)),1,0)</formula>
    </cfRule>
  </conditionalFormatting>
  <conditionalFormatting sqref="C17">
    <cfRule type="expression" dxfId="1939" priority="13">
      <formula>IF(AND(I14,(COUNTIF(I16:I17,TRUE)&lt;&gt;1)),1,0)</formula>
    </cfRule>
  </conditionalFormatting>
  <conditionalFormatting sqref="E5">
    <cfRule type="expression" dxfId="1938" priority="12">
      <formula>E$5=""</formula>
    </cfRule>
  </conditionalFormatting>
  <conditionalFormatting sqref="E8">
    <cfRule type="expression" dxfId="1937" priority="21">
      <formula>IF($E$8="",TRUE,FALSE)</formula>
    </cfRule>
  </conditionalFormatting>
  <conditionalFormatting sqref="E6:G6">
    <cfRule type="expression" dxfId="1936" priority="11">
      <formula>E6=""</formula>
    </cfRule>
  </conditionalFormatting>
  <conditionalFormatting sqref="F24:G24 F27:G27">
    <cfRule type="expression" dxfId="1935" priority="3">
      <formula>$I$21=FALSE</formula>
    </cfRule>
  </conditionalFormatting>
  <conditionalFormatting sqref="F25:G25 F28:G28">
    <cfRule type="expression" dxfId="1934" priority="2">
      <formula>$I$22=FALSE</formula>
    </cfRule>
  </conditionalFormatting>
  <conditionalFormatting sqref="F26:G26 F29:G29">
    <cfRule type="expression" dxfId="1933" priority="1">
      <formula>$I$23=FALSE</formula>
    </cfRule>
  </conditionalFormatting>
  <hyperlinks>
    <hyperlink ref="F22:G22" location="Link_A_anrKosten" display="Link_A_anrKosten" xr:uid="{00000000-0004-0000-0000-000000000000}"/>
    <hyperlink ref="F23:G23" location="Link_B_HonorarZ" display="Link_B_HonorarZ" xr:uid="{00000000-0004-0000-0000-000001000000}"/>
    <hyperlink ref="F24:G24" location="Link_StBC1_Grundlstg" display="Link_StBC1_Grundlstg" xr:uid="{00000000-0004-0000-0000-000002000000}"/>
    <hyperlink ref="F25:G25" location="Link_HBC1_Grundlstg" display="Link_HBC1_Grundlstg" xr:uid="{00000000-0004-0000-0000-000003000000}"/>
    <hyperlink ref="F27:G27" location="Link_StBD1_BesLstg" display="Link_StBD1_BesLstg" xr:uid="{00000000-0004-0000-0000-000004000000}"/>
    <hyperlink ref="F31:G31" location="Link_F_Uebersicht" display="Link_F_Uebersicht" xr:uid="{00000000-0004-0000-0000-000005000000}"/>
    <hyperlink ref="F33:G33" location="Link_H_HOAI" display="Link_H_HOAI" xr:uid="{00000000-0004-0000-0000-000006000000}"/>
    <hyperlink ref="F22" location="Link_A_anrKosten" display="Link_A_anrKosten" xr:uid="{00000000-0004-0000-0000-000007000000}"/>
    <hyperlink ref="F23" location="Link_B_HonorarZ" display="Link_B_HonorarZ" xr:uid="{00000000-0004-0000-0000-000008000000}"/>
    <hyperlink ref="F24" location="Link_StBC1_Grundlstg" display="Link_StBC1_Grundlstg" xr:uid="{00000000-0004-0000-0000-000009000000}"/>
    <hyperlink ref="F25" location="Link_HBC1_Grundlstg" display="Link_HBC1_Grundlstg" xr:uid="{00000000-0004-0000-0000-00000A000000}"/>
    <hyperlink ref="F26" location="Link_HBC2_Grundlstg" display="Link_HBC2_Grundlstg" xr:uid="{00000000-0004-0000-0000-00000B000000}"/>
    <hyperlink ref="F27" location="Link_StBD1_BesLstg" display="Link_StBD1_BesLstg" xr:uid="{00000000-0004-0000-0000-00000C000000}"/>
    <hyperlink ref="F28" location="Link_HBD1_BesLstg" display="Link_HBD1_BesLstg" xr:uid="{00000000-0004-0000-0000-00000D000000}"/>
    <hyperlink ref="F29" location="Link_HBD2_BesLstg" display="Link_HBD2_BesLstg" xr:uid="{00000000-0004-0000-0000-00000E000000}"/>
    <hyperlink ref="F30" location="Link_E_Honorar" display="Link_E_Honorar" xr:uid="{00000000-0004-0000-0000-00000F000000}"/>
    <hyperlink ref="F31" location="Link_F_Uebersicht" display="Link_F_Uebersicht" xr:uid="{00000000-0004-0000-0000-000010000000}"/>
    <hyperlink ref="F32" location="Link_G_Abrechnung" display="Link_G_Abrechnung" xr:uid="{00000000-0004-0000-0000-000011000000}"/>
    <hyperlink ref="F33" location="'H §48 HOAI'!B2" tooltip="H §48 HOAI" display="'H §48 HOAI'!B2" xr:uid="{00000000-0004-0000-0000-000012000000}"/>
  </hyperlink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Januar 2024&amp;R&amp;P</oddFooter>
  </headerFooter>
  <rowBreaks count="1" manualBreakCount="1">
    <brk id="35"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ltText="">
                <anchor moveWithCells="1">
                  <from>
                    <xdr:col>2</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32770" r:id="rId5" name="Check Box 2">
              <controlPr defaultSize="0" autoFill="0" autoLine="0" autoPict="0" altText="">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32771" r:id="rId6" name="Check Box 3">
              <controlPr defaultSize="0" autoFill="0" autoLine="0" autoPict="0" altText="">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32772" r:id="rId7" name="Check Box 4">
              <controlPr defaultSize="0" autoFill="0" autoLine="0" autoPict="0" altText="">
                <anchor moveWithCells="1">
                  <from>
                    <xdr:col>2</xdr:col>
                    <xdr:colOff>0</xdr:colOff>
                    <xdr:row>16</xdr:row>
                    <xdr:rowOff>0</xdr:rowOff>
                  </from>
                  <to>
                    <xdr:col>3</xdr:col>
                    <xdr:colOff>0</xdr:colOff>
                    <xdr:row>17</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theme="1" tint="0.249977111117893"/>
    <pageSetUpPr fitToPage="1"/>
  </sheetPr>
  <dimension ref="A1:XFD205"/>
  <sheetViews>
    <sheetView showGridLines="0" topLeftCell="A83" zoomScaleNormal="100" zoomScaleSheetLayoutView="100" zoomScalePageLayoutView="118" workbookViewId="0">
      <selection activeCell="G67" sqref="G67"/>
    </sheetView>
  </sheetViews>
  <sheetFormatPr baseColWidth="10" defaultColWidth="10.77734375" defaultRowHeight="0" customHeight="1" zeroHeight="1"/>
  <cols>
    <col min="1" max="1" width="5.6640625" style="218" customWidth="1"/>
    <col min="2" max="2" width="4.44140625" style="600" customWidth="1"/>
    <col min="3" max="5" width="3.33203125" style="7" customWidth="1"/>
    <col min="6" max="6" width="22.33203125" style="7" customWidth="1"/>
    <col min="7" max="7" width="10.6640625" style="7" customWidth="1"/>
    <col min="8" max="10" width="19" style="7" customWidth="1"/>
    <col min="11" max="11" width="4.6640625" style="7" customWidth="1"/>
    <col min="12" max="12" width="0" style="155" hidden="1" customWidth="1"/>
    <col min="13" max="15" width="0" style="140" hidden="1" customWidth="1"/>
    <col min="16" max="16384" width="0" style="7" hidden="1" customWidth="1"/>
  </cols>
  <sheetData>
    <row r="1" spans="1:21" ht="16.7"/>
    <row r="2" spans="1:21" ht="16.600000000000001" customHeight="1">
      <c r="B2" s="1285" t="str">
        <f>IF(Projektgrundlagen!B2="","",Projektgrundlagen!B2)</f>
        <v>Objektplanung Verkehrsanlagen</v>
      </c>
      <c r="C2" s="1285"/>
      <c r="D2" s="1285"/>
      <c r="E2" s="1285"/>
      <c r="F2" s="1285"/>
      <c r="G2" s="1285"/>
      <c r="H2" s="1286"/>
      <c r="I2" s="601" t="str">
        <f>IF(Projektgrundlagen!F2="","",Projektgrundlagen!F2)</f>
        <v>VII.15.4</v>
      </c>
      <c r="J2" s="257" t="s">
        <v>805</v>
      </c>
      <c r="K2" s="1597" t="s">
        <v>806</v>
      </c>
      <c r="L2" s="126" t="s">
        <v>159</v>
      </c>
      <c r="P2" s="222" t="s">
        <v>502</v>
      </c>
      <c r="U2" s="222"/>
    </row>
    <row r="3" spans="1:21" ht="16.600000000000001" customHeight="1">
      <c r="B3" s="1496" t="s">
        <v>806</v>
      </c>
      <c r="C3" s="1496"/>
      <c r="D3" s="1496"/>
      <c r="E3" s="1496"/>
      <c r="F3" s="1496"/>
      <c r="G3" s="1496"/>
      <c r="H3" s="1497"/>
      <c r="I3" s="223" t="str">
        <f>IF(Projektgrundlagen!F3="","",Projektgrundlagen!F3)</f>
        <v>Vertragsnr.:</v>
      </c>
      <c r="J3" s="602" t="str">
        <f>IF(Projektgrundlagen!G3="","",Projektgrundlagen!G3)</f>
        <v/>
      </c>
      <c r="K3" s="1598"/>
      <c r="P3" s="7" t="str">
        <f ca="1">MID(CELL("dateiname",A2),FIND("]",CELL("dateiname",A2))+1,255)</f>
        <v>E Honorarberechnung</v>
      </c>
    </row>
    <row r="4" spans="1:21" ht="7.5" customHeight="1">
      <c r="B4" s="603"/>
      <c r="C4" s="214"/>
      <c r="D4" s="214"/>
      <c r="E4" s="214"/>
      <c r="F4" s="214"/>
      <c r="G4" s="214"/>
      <c r="H4" s="242"/>
      <c r="I4" s="242"/>
      <c r="J4" s="242"/>
      <c r="K4" s="1598"/>
    </row>
    <row r="5" spans="1:21" ht="16.7">
      <c r="B5" s="1290" t="str">
        <f>IF(Projektgrundlagen!B5="","",Projektgrundlagen!B5)</f>
        <v>Maßnahmennr:</v>
      </c>
      <c r="C5" s="1291"/>
      <c r="D5" s="1291"/>
      <c r="E5" s="1291"/>
      <c r="F5" s="1391" t="str">
        <f>IF(Projektgrundlagen!E5="","",Projektgrundlagen!E5)</f>
        <v>B11S.ALSR0138.00</v>
      </c>
      <c r="G5" s="1391"/>
      <c r="H5" s="1391"/>
      <c r="I5" s="230" t="str">
        <f>IF(Projektgrundlagen!F5="","",Projektgrundlagen!F5)</f>
        <v>Vergabenr.:</v>
      </c>
      <c r="J5" s="268" t="str">
        <f>IF(Projektgrundlagen!G5="","",Projektgrundlagen!G5)</f>
        <v>25-131201</v>
      </c>
      <c r="K5" s="1598"/>
      <c r="P5" s="210"/>
    </row>
    <row r="6" spans="1:21" ht="16.7">
      <c r="B6" s="1292" t="str">
        <f>IF(Projektgrundlagen!B6="","",Projektgrundlagen!B6)</f>
        <v>Maßnahme:</v>
      </c>
      <c r="C6" s="1293"/>
      <c r="D6" s="1293"/>
      <c r="E6" s="1293"/>
      <c r="F6" s="1383" t="str">
        <f>IF(Projektgrundlagen!E6="","",Projektgrundlagen!E6)</f>
        <v>St2054 Geh- und Radweg westl. Babenried - Jesenwang</v>
      </c>
      <c r="G6" s="1383"/>
      <c r="H6" s="1383"/>
      <c r="I6" s="1383"/>
      <c r="J6" s="1384"/>
      <c r="K6" s="1598"/>
      <c r="P6" s="210"/>
    </row>
    <row r="7" spans="1:21" ht="16.7">
      <c r="B7" s="1296"/>
      <c r="C7" s="1297"/>
      <c r="D7" s="1297"/>
      <c r="E7" s="1297"/>
      <c r="F7" s="1599" t="str">
        <f>IF(Projektgrundlagen!E7="","",Projektgrundlagen!E7)</f>
        <v/>
      </c>
      <c r="G7" s="1599"/>
      <c r="H7" s="1599"/>
      <c r="I7" s="1599"/>
      <c r="J7" s="1600"/>
      <c r="K7" s="1598"/>
    </row>
    <row r="8" spans="1:21" ht="16.7">
      <c r="B8" s="1300" t="s">
        <v>475</v>
      </c>
      <c r="C8" s="1301"/>
      <c r="D8" s="1301"/>
      <c r="E8" s="1301"/>
      <c r="F8" s="1374" t="str">
        <f>IF(Projektgrundlagen!E8="","",Projektgrundlagen!E8)</f>
        <v/>
      </c>
      <c r="G8" s="1374"/>
      <c r="H8" s="1374"/>
      <c r="I8" s="1374"/>
      <c r="J8" s="1375"/>
      <c r="K8" s="1598"/>
      <c r="P8" s="210"/>
    </row>
    <row r="9" spans="1:21" ht="16.7">
      <c r="B9" s="604"/>
      <c r="C9" s="418"/>
      <c r="D9" s="418"/>
      <c r="E9" s="418"/>
      <c r="F9" s="101"/>
      <c r="G9" s="101"/>
      <c r="H9" s="101"/>
      <c r="I9" s="101"/>
      <c r="J9" s="101"/>
    </row>
    <row r="10" spans="1:21" s="136" customFormat="1" ht="29.95" customHeight="1">
      <c r="A10" s="605"/>
      <c r="B10" s="1586" t="s">
        <v>806</v>
      </c>
      <c r="C10" s="1586"/>
      <c r="D10" s="1586"/>
      <c r="E10" s="1586"/>
      <c r="F10" s="1586"/>
      <c r="G10" s="1586" t="str">
        <f>IF(Projektgrundlagen!I24,"",LOOKUP(TRUE,Projektgrundlagen!I19:I23,Projektgrundlagen!J19:J23))</f>
        <v>Straßenbau</v>
      </c>
      <c r="H10" s="1586"/>
      <c r="I10" s="606"/>
      <c r="J10" s="606"/>
      <c r="K10" s="201"/>
      <c r="L10" s="201"/>
      <c r="M10" s="201"/>
      <c r="N10" s="201"/>
    </row>
    <row r="11" spans="1:21" ht="15" customHeight="1">
      <c r="A11" s="605"/>
      <c r="B11" s="607" t="s">
        <v>1</v>
      </c>
      <c r="C11" s="608"/>
      <c r="D11" s="247"/>
      <c r="E11" s="247"/>
      <c r="F11" s="609"/>
      <c r="G11" s="610"/>
      <c r="H11" s="608"/>
      <c r="I11" s="611"/>
      <c r="J11" s="612" t="s">
        <v>372</v>
      </c>
      <c r="L11" s="140"/>
    </row>
    <row r="12" spans="1:21" ht="7.5" customHeight="1">
      <c r="A12" s="605"/>
      <c r="B12" s="613"/>
      <c r="C12" s="6"/>
      <c r="D12" s="6"/>
      <c r="E12" s="6"/>
      <c r="F12" s="6"/>
      <c r="G12" s="6"/>
      <c r="H12" s="6"/>
      <c r="I12" s="6"/>
      <c r="J12" s="6"/>
    </row>
    <row r="13" spans="1:21" s="157" customFormat="1" ht="16.600000000000001" customHeight="1">
      <c r="A13" s="614"/>
      <c r="B13" s="615"/>
      <c r="C13" s="616" t="s">
        <v>470</v>
      </c>
      <c r="D13" s="617"/>
      <c r="E13" s="617"/>
      <c r="F13" s="617"/>
      <c r="G13" s="617"/>
      <c r="H13" s="617"/>
      <c r="I13" s="618"/>
      <c r="J13" s="619"/>
      <c r="L13" s="209" t="s">
        <v>473</v>
      </c>
      <c r="M13" s="209" t="s">
        <v>469</v>
      </c>
    </row>
    <row r="14" spans="1:21" customFormat="1" ht="16.600000000000001" customHeight="1">
      <c r="A14" s="620"/>
      <c r="B14" s="621" t="s">
        <v>509</v>
      </c>
      <c r="C14" s="8" t="s">
        <v>1122</v>
      </c>
      <c r="D14" s="597"/>
      <c r="E14" s="622"/>
      <c r="F14" s="622"/>
      <c r="G14" s="622"/>
      <c r="H14" s="827" t="s">
        <v>1035</v>
      </c>
      <c r="I14" s="82">
        <f>IF('A anrechb Kosten'!G63="",0,'A anrechb Kosten'!G63)</f>
        <v>2400000</v>
      </c>
      <c r="J14" s="624"/>
      <c r="L14" s="140" t="b">
        <f>NOT(M14)</f>
        <v>1</v>
      </c>
      <c r="M14" s="625" t="b">
        <f>OR('A anrechb Kosten'!I63,'A anrechb Kosten'!I77)</f>
        <v>0</v>
      </c>
      <c r="N14" s="625"/>
      <c r="O14" s="625"/>
    </row>
    <row r="15" spans="1:21" customFormat="1" ht="16.600000000000001" customHeight="1">
      <c r="A15" s="620"/>
      <c r="B15" s="646" t="s">
        <v>511</v>
      </c>
      <c r="C15" s="828" t="s">
        <v>916</v>
      </c>
      <c r="D15" s="829"/>
      <c r="E15" s="830"/>
      <c r="F15" s="830"/>
      <c r="G15" s="830"/>
      <c r="H15" s="831" t="s">
        <v>1035</v>
      </c>
      <c r="I15" s="82">
        <f>IF('A anrechb Kosten'!G77="",0,'A anrechb Kosten'!G77)</f>
        <v>2400000</v>
      </c>
      <c r="J15" s="624"/>
      <c r="L15" s="140"/>
      <c r="M15" s="625"/>
      <c r="N15" s="625"/>
      <c r="O15" s="625"/>
    </row>
    <row r="16" spans="1:21" ht="16.600000000000001" customHeight="1">
      <c r="A16" s="605"/>
      <c r="B16" s="626">
        <v>2</v>
      </c>
      <c r="C16" s="627" t="s">
        <v>807</v>
      </c>
      <c r="D16" s="628"/>
      <c r="E16" s="598"/>
      <c r="F16" s="598"/>
      <c r="G16" s="629"/>
      <c r="H16" s="630" t="s">
        <v>1036</v>
      </c>
      <c r="I16" s="631">
        <f>'H §48 HOAI'!E7</f>
        <v>3</v>
      </c>
      <c r="J16" s="624"/>
      <c r="L16" s="140"/>
    </row>
    <row r="17" spans="1:17" ht="16.600000000000001" customHeight="1">
      <c r="A17" s="605"/>
      <c r="B17" s="626">
        <v>3</v>
      </c>
      <c r="C17" s="632" t="s">
        <v>808</v>
      </c>
      <c r="D17" s="633"/>
      <c r="F17" s="633"/>
      <c r="G17" s="633"/>
      <c r="H17" s="633"/>
      <c r="I17" s="292"/>
      <c r="J17" s="624"/>
      <c r="M17" s="634" t="s">
        <v>472</v>
      </c>
      <c r="N17" s="634" t="s">
        <v>471</v>
      </c>
      <c r="O17" s="634" t="s">
        <v>809</v>
      </c>
    </row>
    <row r="18" spans="1:17" ht="16.600000000000001" customHeight="1">
      <c r="A18" s="228" t="str">
        <f>IF(COUNTIF($L$18:$L$19,TRUE)&lt;&gt;1,"è","")</f>
        <v/>
      </c>
      <c r="B18" s="635" t="s">
        <v>313</v>
      </c>
      <c r="C18" s="636"/>
      <c r="D18" s="1587" t="s">
        <v>810</v>
      </c>
      <c r="E18" s="1588"/>
      <c r="F18" s="1588"/>
      <c r="G18" s="1588"/>
      <c r="H18" s="1588"/>
      <c r="I18" s="202"/>
      <c r="J18" s="624"/>
      <c r="L18" s="155" t="b">
        <v>1</v>
      </c>
      <c r="M18" s="201" t="b">
        <f>IF(COUNTIF(L18:L19,TRUE)=0,TRUE,FALSE)</f>
        <v>0</v>
      </c>
      <c r="N18" s="201" t="b">
        <f>IF(COUNTIF(L18:L19,TRUE)&gt;1,TRUE,FALSE)</f>
        <v>0</v>
      </c>
      <c r="O18" s="140" t="b">
        <f>AND(NOT(M18),NOT(N18),L14,OR(L18,L19))</f>
        <v>1</v>
      </c>
    </row>
    <row r="19" spans="1:17" ht="16.600000000000001" customHeight="1">
      <c r="A19" s="228" t="str">
        <f>IF(COUNTIF($L$18:$L$19,TRUE)&lt;&gt;1,"è","")</f>
        <v/>
      </c>
      <c r="B19" s="637" t="s">
        <v>401</v>
      </c>
      <c r="C19" s="636"/>
      <c r="D19" s="1282" t="s">
        <v>811</v>
      </c>
      <c r="E19" s="1283"/>
      <c r="F19" s="1283"/>
      <c r="G19" s="1283"/>
      <c r="H19" s="1283"/>
      <c r="I19" s="638"/>
      <c r="J19" s="639"/>
      <c r="L19" s="155" t="b">
        <v>0</v>
      </c>
      <c r="M19" s="201"/>
      <c r="N19" s="201"/>
      <c r="O19" s="640" t="s">
        <v>812</v>
      </c>
      <c r="Q19" s="210"/>
    </row>
    <row r="20" spans="1:17" ht="17.3" customHeight="1">
      <c r="A20" s="605"/>
      <c r="B20" s="641"/>
      <c r="C20" s="121"/>
      <c r="D20" s="121"/>
      <c r="E20" s="121"/>
      <c r="F20" s="642"/>
      <c r="G20" s="643"/>
      <c r="H20" s="643"/>
      <c r="I20" s="643"/>
      <c r="J20" s="137"/>
      <c r="L20" s="644"/>
      <c r="O20" s="140" t="b">
        <f>AND(NOT(M18),NOT(N18),M14,OR(L18,L19))</f>
        <v>0</v>
      </c>
    </row>
    <row r="21" spans="1:17" s="157" customFormat="1" ht="16.7">
      <c r="A21" s="614"/>
      <c r="B21" s="615"/>
      <c r="C21" s="616" t="s">
        <v>813</v>
      </c>
      <c r="D21" s="617"/>
      <c r="E21" s="617"/>
      <c r="F21" s="617"/>
      <c r="G21" s="617"/>
      <c r="H21" s="617"/>
      <c r="I21" s="618"/>
      <c r="J21" s="619"/>
      <c r="L21" s="645"/>
      <c r="M21" s="164"/>
      <c r="N21" s="164"/>
      <c r="O21" s="164"/>
    </row>
    <row r="22" spans="1:17" ht="16.600000000000001" customHeight="1">
      <c r="A22" s="605"/>
      <c r="B22" s="646" t="s">
        <v>915</v>
      </c>
      <c r="C22" s="8" t="s">
        <v>814</v>
      </c>
      <c r="D22" s="647"/>
      <c r="E22" s="622"/>
      <c r="F22" s="622"/>
      <c r="G22" s="622"/>
      <c r="H22" s="648" t="str">
        <f>IF(O18,'H §48 HOAI'!$E$4,"")</f>
        <v xml:space="preserve">gemäß § 48 HOAI </v>
      </c>
      <c r="I22" s="649"/>
      <c r="J22" s="650"/>
    </row>
    <row r="23" spans="1:17" ht="16.600000000000001" customHeight="1">
      <c r="A23" s="605"/>
      <c r="B23" s="833" t="s">
        <v>2</v>
      </c>
      <c r="C23" s="632"/>
      <c r="D23" s="662" t="str">
        <f>IF(O18,IF(OR(L29,L35),"Basishonorarsatz der Honorartafel vor Abweichung Lph 1-7 u. 9","Basishonorarsatz der Honorartafel Lph 1-7 und 9"),IF(OR(L29,L35),"Basishonorarsatz der Honorartafel vor Abweichung","Basishonorarsatz der Honorartafe"))</f>
        <v>Basishonorarsatz der Honorartafel Lph 1-7 und 9</v>
      </c>
      <c r="E23" s="782"/>
      <c r="F23" s="662"/>
      <c r="G23" s="662"/>
      <c r="H23" s="834"/>
      <c r="I23" s="854">
        <f>IF(L14,'H §48 HOAI'!F10,0)</f>
        <v>155864.79999999999</v>
      </c>
      <c r="J23" s="855">
        <f>IF(AND(L14,O18),I23,0)</f>
        <v>155864.79999999999</v>
      </c>
    </row>
    <row r="24" spans="1:17" ht="16.600000000000001" customHeight="1">
      <c r="A24" s="605"/>
      <c r="B24" s="835"/>
      <c r="C24" s="836"/>
      <c r="D24" s="837" t="str">
        <f>IF(O18,IF(OR(L29,L35),"Basishonorarsatz der Honorartafel vor Abweichung Lph 8","Basishonorarsatz der Honorartafel Lph 8"),"")</f>
        <v>Basishonorarsatz der Honorartafel Lph 8</v>
      </c>
      <c r="E24" s="744"/>
      <c r="F24" s="837"/>
      <c r="G24" s="837"/>
      <c r="H24" s="838"/>
      <c r="I24" s="856">
        <f>IF(L14,'H §48 HOAI'!F42,0)</f>
        <v>155864.79999999999</v>
      </c>
      <c r="J24" s="857">
        <f>IF(AND(L14,O18),I24,0)</f>
        <v>155864.79999999999</v>
      </c>
    </row>
    <row r="25" spans="1:17" ht="16.600000000000001" customHeight="1">
      <c r="A25" s="228" t="str">
        <f>IF(AND(M14,O20,I25=""),"è","")</f>
        <v/>
      </c>
      <c r="B25" s="652" t="s">
        <v>3</v>
      </c>
      <c r="C25" s="653"/>
      <c r="D25" s="633" t="str">
        <f>IF(OR(L29,L35),"Honorarsatz außerhalb der Honorartafel vor Abweichung","Honorarsatz außerhalb der Honorartafel")</f>
        <v>Honorarsatz außerhalb der Honorartafel</v>
      </c>
      <c r="F25" s="633"/>
      <c r="G25" s="633"/>
      <c r="H25" s="654"/>
      <c r="I25" s="655"/>
      <c r="J25" s="82">
        <f>IF(AND(M14,O20),I25,0)</f>
        <v>0</v>
      </c>
      <c r="M25" s="634"/>
      <c r="N25" s="634"/>
      <c r="O25" s="634"/>
    </row>
    <row r="26" spans="1:17" ht="16.600000000000001" customHeight="1">
      <c r="A26" s="228" t="str">
        <f>IF(AND(M14,L29,I26=""),"è","")</f>
        <v/>
      </c>
      <c r="B26" s="652" t="s">
        <v>4</v>
      </c>
      <c r="C26" s="653"/>
      <c r="D26" s="7" t="str">
        <f>IF(O20,IF(OR(L29,L35),"Oberer Honorarsatz außerhalb der Honorartafel [Vorgabe für 4.4]","Oberer Honorarsatz außerhalb der Honorartafel [Vorgabe für 4.4]"),"")</f>
        <v/>
      </c>
      <c r="F26" s="633"/>
      <c r="G26" s="633"/>
      <c r="H26" s="633"/>
      <c r="I26" s="655"/>
      <c r="J26" s="84"/>
      <c r="M26" s="634"/>
      <c r="N26" s="634"/>
      <c r="O26" s="634"/>
    </row>
    <row r="27" spans="1:17" ht="16.600000000000001" customHeight="1">
      <c r="A27" s="605"/>
      <c r="B27" s="652"/>
      <c r="C27" s="54"/>
      <c r="D27" s="202"/>
      <c r="E27" s="1589" t="str">
        <f>IF(O20,"Die Honorarsätze ergeben sich auf Grundlage der Anlage:","")</f>
        <v/>
      </c>
      <c r="F27" s="1589"/>
      <c r="G27" s="1589"/>
      <c r="H27" s="1589"/>
      <c r="I27" s="1589"/>
      <c r="J27" s="656"/>
      <c r="O27" s="155"/>
      <c r="Q27" s="210"/>
    </row>
    <row r="28" spans="1:17" ht="16.600000000000001" customHeight="1">
      <c r="A28" s="605"/>
      <c r="B28" s="835"/>
      <c r="C28" s="202"/>
      <c r="D28" s="841"/>
      <c r="E28" s="1590"/>
      <c r="F28" s="1590"/>
      <c r="G28" s="1590"/>
      <c r="H28" s="1590"/>
      <c r="I28" s="1591"/>
      <c r="J28" s="842"/>
      <c r="Q28" s="210"/>
    </row>
    <row r="29" spans="1:17" ht="16.600000000000001" customHeight="1">
      <c r="A29" s="605"/>
      <c r="B29" s="56" t="s">
        <v>5</v>
      </c>
      <c r="C29" s="657"/>
      <c r="D29" s="824" t="str">
        <f>IF(OR(L29,L35),"Abweichung vom Basishonorarsatz der Honorartafel (Überschreitung)","Abweichung vom Honorarsatz außerhalb der Honorartafel (Überschreitung)")</f>
        <v>Abweichung vom Honorarsatz außerhalb der Honorartafel (Überschreitung)</v>
      </c>
      <c r="E29" s="673"/>
      <c r="F29" s="673"/>
      <c r="G29" s="673"/>
      <c r="H29" s="673"/>
      <c r="I29" s="673"/>
      <c r="J29" s="46"/>
      <c r="L29" s="155" t="b">
        <v>0</v>
      </c>
      <c r="P29" s="61"/>
    </row>
    <row r="30" spans="1:17" ht="16.600000000000001" customHeight="1">
      <c r="A30" s="228" t="str">
        <f>IF(AND(L29,I30=""),"è","")</f>
        <v/>
      </c>
      <c r="B30" s="56" t="s">
        <v>6</v>
      </c>
      <c r="C30" s="5"/>
      <c r="D30" s="7" t="s">
        <v>498</v>
      </c>
      <c r="H30" s="233" t="s">
        <v>815</v>
      </c>
      <c r="I30" s="658"/>
      <c r="J30" s="659"/>
    </row>
    <row r="31" spans="1:17" ht="16.600000000000001" customHeight="1">
      <c r="A31" s="605"/>
      <c r="B31" s="56" t="s">
        <v>7</v>
      </c>
      <c r="C31" s="5"/>
      <c r="D31" s="7" t="str">
        <f>IF(O18,"der Differenz z.oberen Honorarsatz der Honorartafel Lph 1-7 und 9","der Differenz z.oberen Honorarsatz der Honorartafel")</f>
        <v>der Differenz z.oberen Honorarsatz der Honorartafel Lph 1-7 und 9</v>
      </c>
      <c r="I31" s="854">
        <f>IF(AND(O18,L29,I30&gt;0),'H §48 HOAI'!F11-'H §48 HOAI'!F10,IF(AND(O20,L29,I30&gt;0,I26&gt;I25),(I26-I25),0))</f>
        <v>0</v>
      </c>
      <c r="J31" s="855">
        <f>IF(AND(L29,NOT(L35)),I31*I30/100,0)</f>
        <v>0</v>
      </c>
      <c r="M31" s="205"/>
    </row>
    <row r="32" spans="1:17" ht="16.600000000000001" customHeight="1">
      <c r="A32" s="605"/>
      <c r="B32" s="56"/>
      <c r="C32" s="5"/>
      <c r="D32" s="7" t="str">
        <f>IF(O18,"der Differenz z.oberen Honorarsatz der Honorartafel  Lph 8","")</f>
        <v>der Differenz z.oberen Honorarsatz der Honorartafel  Lph 8</v>
      </c>
      <c r="I32" s="856">
        <f>IF(AND(O18,L29,I30&gt;0),'H §48 HOAI'!F43-'H §48 HOAI'!F42,0)</f>
        <v>0</v>
      </c>
      <c r="J32" s="857">
        <f>IF(AND(L29,NOT(L35)),I32*I30/100,0)</f>
        <v>0</v>
      </c>
      <c r="M32" s="205"/>
    </row>
    <row r="33" spans="1:16" ht="16.600000000000001" customHeight="1">
      <c r="A33" s="605"/>
      <c r="B33" s="652"/>
      <c r="C33" s="5"/>
      <c r="D33" s="19"/>
      <c r="E33" s="7" t="s">
        <v>499</v>
      </c>
      <c r="H33" s="660"/>
      <c r="I33" s="660"/>
      <c r="J33" s="84"/>
    </row>
    <row r="34" spans="1:16" ht="16.600000000000001" customHeight="1">
      <c r="A34" s="605"/>
      <c r="B34" s="835"/>
      <c r="C34" s="5"/>
      <c r="D34" s="843"/>
      <c r="E34" s="1592"/>
      <c r="F34" s="1592"/>
      <c r="G34" s="1592"/>
      <c r="H34" s="1592"/>
      <c r="I34" s="1592"/>
      <c r="J34" s="844"/>
    </row>
    <row r="35" spans="1:16" ht="16.600000000000001" customHeight="1">
      <c r="A35" s="605"/>
      <c r="B35" s="56" t="s">
        <v>8</v>
      </c>
      <c r="C35" s="661"/>
      <c r="D35" s="824" t="str">
        <f>IF(OR(L29,L35),"Abweichung vom Basishonorarsatz (Unterschreitung)","Abweichung vom Honorarsatz außerhalb der Honorartafel (Unterschreitung)")</f>
        <v>Abweichung vom Honorarsatz außerhalb der Honorartafel (Unterschreitung)</v>
      </c>
      <c r="E35" s="825"/>
      <c r="F35" s="633"/>
      <c r="G35" s="633"/>
      <c r="H35" s="633"/>
      <c r="I35" s="826"/>
      <c r="J35" s="53"/>
      <c r="L35" s="155" t="b">
        <v>0</v>
      </c>
      <c r="P35" s="61"/>
    </row>
    <row r="36" spans="1:16" ht="16.600000000000001" customHeight="1">
      <c r="A36" s="228" t="str">
        <f>IF(AND(L35,I36=""),"è","")</f>
        <v/>
      </c>
      <c r="B36" s="56" t="s">
        <v>142</v>
      </c>
      <c r="C36" s="5"/>
      <c r="D36" s="7" t="s">
        <v>500</v>
      </c>
      <c r="F36" s="663"/>
      <c r="H36" s="233" t="s">
        <v>815</v>
      </c>
      <c r="I36" s="664"/>
      <c r="J36" s="196"/>
      <c r="L36" s="140"/>
    </row>
    <row r="37" spans="1:16" ht="16.600000000000001" customHeight="1">
      <c r="A37" s="228"/>
      <c r="B37" s="56"/>
      <c r="C37" s="5"/>
      <c r="D37" s="7" t="str">
        <f>IF(O18,"Abweichung vom Basissatz Lph 1-7 und 9","Abweichung vom Basissatz")</f>
        <v>Abweichung vom Basissatz Lph 1-7 und 9</v>
      </c>
      <c r="F37" s="663"/>
      <c r="H37" s="233"/>
      <c r="I37" s="832"/>
      <c r="J37" s="855">
        <f>IF(AND(NOT(L29),L35),(J23+J25)*I36/100,0)</f>
        <v>0</v>
      </c>
      <c r="L37" s="140"/>
      <c r="M37" s="206"/>
    </row>
    <row r="38" spans="1:16" ht="16.600000000000001" customHeight="1">
      <c r="A38" s="228"/>
      <c r="B38" s="56"/>
      <c r="C38" s="5"/>
      <c r="D38" s="7" t="str">
        <f>IF(O18,"Abweichung vom Basissatz Lph 8","")</f>
        <v>Abweichung vom Basissatz Lph 8</v>
      </c>
      <c r="F38" s="663"/>
      <c r="H38" s="233"/>
      <c r="I38" s="832"/>
      <c r="J38" s="857">
        <f>IF(AND(O18,NOT(L29),L35),J24*I36/100,0)</f>
        <v>0</v>
      </c>
      <c r="L38" s="140"/>
    </row>
    <row r="39" spans="1:16" ht="16.600000000000001" customHeight="1">
      <c r="A39" s="605"/>
      <c r="B39" s="652"/>
      <c r="C39" s="5"/>
      <c r="D39" s="19"/>
      <c r="E39" s="7" t="s">
        <v>499</v>
      </c>
      <c r="J39" s="99"/>
    </row>
    <row r="40" spans="1:16" ht="16.600000000000001" customHeight="1">
      <c r="A40" s="605"/>
      <c r="B40" s="835"/>
      <c r="C40" s="848"/>
      <c r="D40" s="843"/>
      <c r="E40" s="1593"/>
      <c r="F40" s="1593"/>
      <c r="G40" s="1593"/>
      <c r="H40" s="1593"/>
      <c r="I40" s="1593"/>
      <c r="J40" s="46"/>
      <c r="P40" s="61" t="s">
        <v>1155</v>
      </c>
    </row>
    <row r="41" spans="1:16" ht="16.600000000000001" customHeight="1">
      <c r="A41" s="605"/>
      <c r="B41" s="56" t="s">
        <v>1120</v>
      </c>
      <c r="C41" s="849"/>
      <c r="D41" s="850" t="str">
        <f>IF(O18,"Basishonorar für die Grundleistungen für Lph 1-7 und 9","Basishonorar für die Grundleistungen (100% des Leistungsbildes)")</f>
        <v>Basishonorar für die Grundleistungen für Lph 1-7 und 9</v>
      </c>
      <c r="E41" s="851"/>
      <c r="F41" s="852"/>
      <c r="G41" s="852"/>
      <c r="H41" s="852"/>
      <c r="I41" s="858"/>
      <c r="J41" s="859">
        <f>IF(O18,-J37+J31+J23,IF(O20,-J37+J31+J25,0))</f>
        <v>155864.79999999999</v>
      </c>
      <c r="P41" s="1170">
        <f>IF(J41&gt;0,J41,IF(I25&lt;&gt;"",I25,I23))</f>
        <v>155864.79999999999</v>
      </c>
    </row>
    <row r="42" spans="1:16" ht="16.600000000000001" customHeight="1">
      <c r="A42" s="605"/>
      <c r="B42" s="102" t="s">
        <v>816</v>
      </c>
      <c r="C42" s="845"/>
      <c r="D42" s="846" t="str">
        <f>IF(O18,"Basishonorar für die Grundleistungen für Lph 8","")</f>
        <v>Basishonorar für die Grundleistungen für Lph 8</v>
      </c>
      <c r="E42" s="188"/>
      <c r="F42" s="847"/>
      <c r="G42" s="847"/>
      <c r="H42" s="847"/>
      <c r="I42" s="853"/>
      <c r="J42" s="860">
        <f>IF(O18,-J38+J32+J24,0)</f>
        <v>155864.79999999999</v>
      </c>
      <c r="P42" s="1170">
        <f>IF(J42&gt;0,J42,IF(I26&lt;&gt;"",I26,I24))</f>
        <v>155864.79999999999</v>
      </c>
    </row>
    <row r="43" spans="1:16" ht="7.5" customHeight="1">
      <c r="A43" s="605"/>
      <c r="B43" s="669"/>
      <c r="C43" s="117"/>
      <c r="D43" s="117"/>
      <c r="E43" s="117"/>
      <c r="F43" s="117"/>
      <c r="G43" s="117"/>
      <c r="H43" s="137"/>
      <c r="I43" s="129"/>
      <c r="J43" s="670"/>
    </row>
    <row r="44" spans="1:16" ht="16.600000000000001" customHeight="1">
      <c r="A44" s="605"/>
      <c r="B44" s="671" t="s">
        <v>323</v>
      </c>
      <c r="C44" s="8" t="s">
        <v>817</v>
      </c>
      <c r="D44" s="597"/>
      <c r="E44" s="672"/>
      <c r="F44" s="597"/>
      <c r="G44" s="673"/>
      <c r="H44" s="673"/>
      <c r="I44" s="673"/>
      <c r="J44" s="99"/>
      <c r="M44" s="634" t="s">
        <v>472</v>
      </c>
      <c r="N44" s="634" t="s">
        <v>471</v>
      </c>
      <c r="O44" s="634" t="s">
        <v>474</v>
      </c>
    </row>
    <row r="45" spans="1:16" ht="29.95" customHeight="1">
      <c r="A45" s="605"/>
      <c r="B45" s="63"/>
      <c r="C45" s="5"/>
      <c r="D45" s="674"/>
      <c r="E45" s="1594" t="s">
        <v>478</v>
      </c>
      <c r="F45" s="1594"/>
      <c r="G45" s="1594"/>
      <c r="H45" s="1594"/>
      <c r="I45" s="1595"/>
      <c r="J45" s="675"/>
      <c r="L45" s="140"/>
      <c r="M45" s="201" t="b">
        <f>IF(COUNTIF(L46:L47,TRUE)=0,TRUE,FALSE)</f>
        <v>1</v>
      </c>
      <c r="N45" s="201" t="b">
        <f>IF(COUNTIF(O46:O47,TRUE)&gt;1,TRUE,FALSE)</f>
        <v>0</v>
      </c>
      <c r="O45" s="140" t="b">
        <f>AND(NOT(M45),NOT(N45))</f>
        <v>0</v>
      </c>
    </row>
    <row r="46" spans="1:16" ht="16.600000000000001" customHeight="1">
      <c r="A46" s="605"/>
      <c r="B46" s="651" t="s">
        <v>9</v>
      </c>
      <c r="C46" s="261"/>
      <c r="D46" s="1596" t="s">
        <v>482</v>
      </c>
      <c r="E46" s="1596"/>
      <c r="F46" s="1596"/>
      <c r="G46" s="1596"/>
      <c r="H46" s="676" t="s">
        <v>815</v>
      </c>
      <c r="I46" s="677"/>
      <c r="J46" s="46"/>
      <c r="L46" s="140" t="b">
        <f>IF(COUNT(I46)=1,TRUE,FALSE)</f>
        <v>0</v>
      </c>
      <c r="O46" s="140" t="b">
        <f>AND(L46,I46&gt;0,I46&lt;=100)</f>
        <v>0</v>
      </c>
    </row>
    <row r="47" spans="1:16" ht="16.600000000000001" customHeight="1">
      <c r="A47" s="605"/>
      <c r="B47" s="652" t="s">
        <v>143</v>
      </c>
      <c r="C47" s="5"/>
      <c r="D47" s="1585" t="s">
        <v>483</v>
      </c>
      <c r="E47" s="1585"/>
      <c r="F47" s="1585"/>
      <c r="G47" s="1585"/>
      <c r="H47" s="233" t="s">
        <v>815</v>
      </c>
      <c r="I47" s="677"/>
      <c r="J47" s="46"/>
      <c r="L47" s="140" t="b">
        <f>IF(COUNT(I47)=1,TRUE,FALSE)</f>
        <v>0</v>
      </c>
      <c r="O47" s="140" t="b">
        <f>AND(L47,I47&gt;0%)</f>
        <v>0</v>
      </c>
    </row>
    <row r="48" spans="1:16" ht="16.600000000000001" customHeight="1">
      <c r="A48" s="605"/>
      <c r="B48" s="635" t="s">
        <v>818</v>
      </c>
      <c r="C48" s="632"/>
      <c r="D48" s="662" t="str">
        <f>IF(O18,IF(AND(O45,O46),"Es ergibt sich eine Honorarminderung für Lph 1-7 und 9 in Höhe von",IF(AND(O45,O47),"Es ergibt sich eine Honorarerhöhung für Lph 1-7 und 9 in Höhe von","")),IF(AND(O45,O46),"Es ergibt sich eine Honorarminderung in Höhe von",IF(AND(O45,O47),"Es ergibt sich eine Honorarerhöhung in Höhe von","")))</f>
        <v/>
      </c>
      <c r="E48" s="679"/>
      <c r="F48" s="679"/>
      <c r="G48" s="679"/>
      <c r="H48" s="679"/>
      <c r="I48" s="680"/>
      <c r="J48" s="83">
        <f>IF(J41&gt;0,(IF(AND(O45,O46),I46,IF(AND(O45,I47),I47,0))/100)*J41,0)</f>
        <v>0</v>
      </c>
    </row>
    <row r="49" spans="1:17" ht="16.600000000000001" customHeight="1">
      <c r="A49" s="605"/>
      <c r="B49" s="699"/>
      <c r="C49" s="653"/>
      <c r="D49" s="633" t="str">
        <f>IF(AND(O18,O45,O46),"Es ergibt sich eine Honorarminderung für Lph 8 in Höhe von",IF(AND(O18,O45,O47),"Es ergibt sich eine Honorarerhöhung für Lph 8 in Höhe von",""))</f>
        <v/>
      </c>
      <c r="E49" s="711"/>
      <c r="F49" s="711"/>
      <c r="G49" s="711"/>
      <c r="H49" s="711"/>
      <c r="I49" s="861"/>
      <c r="J49" s="83">
        <f>IF(J42&gt;0,(IF(AND(O45,O46),I46,IF(AND(O45,I47),I47,0))/100)*J42,0)</f>
        <v>0</v>
      </c>
    </row>
    <row r="50" spans="1:17" ht="16.600000000000001" customHeight="1">
      <c r="A50" s="605"/>
      <c r="B50" s="635" t="s">
        <v>819</v>
      </c>
      <c r="C50" s="865"/>
      <c r="D50" s="862" t="str">
        <f>IF(O18,IF(AND(O45,O46),"Basishonorar der Leistungsphasen 1-7 und 9 nach Minderung",IF(AND(O45,O47),"Basishonorar der Leistungsphasen 1-7 und 9 nach Erhöhung","Basishonorar der Leistungsphasen 1-7 und 9")),IF(AND(O45,O46),"Basishonorar der Leistungsphasen 1 bis 9 nach Minderung",IF(AND(O45,O47),"Basishonorar der Leistungsphasen 1 bis 9 nach Erhöhung","Basishonorar der Leistungsphasen 1 bis 9")))</f>
        <v>Basishonorar der Leistungsphasen 1-7 und 9</v>
      </c>
      <c r="E50" s="863"/>
      <c r="F50" s="863"/>
      <c r="G50" s="863"/>
      <c r="H50" s="863"/>
      <c r="I50" s="864"/>
      <c r="J50" s="859">
        <f>IF(AND(O45,O46),J41-J48,IF(AND(O45,O47),J41+J48,J41))</f>
        <v>155864.79999999999</v>
      </c>
    </row>
    <row r="51" spans="1:17" ht="16.600000000000001" customHeight="1">
      <c r="A51" s="605"/>
      <c r="B51" s="102" t="s">
        <v>1121</v>
      </c>
      <c r="C51" s="866"/>
      <c r="D51" s="867" t="str">
        <f>IF(AND(O18,O45,O46),"Basishonorar der Leistungsphase 8 nach Minderung",IF(AND(O18,O45,O47),"Basishonorar der Leistungsphase 8 nach Erhöhung","Basishonorar der Leistungsphase 8"))</f>
        <v>Basishonorar der Leistungsphase 8</v>
      </c>
      <c r="E51" s="868"/>
      <c r="F51" s="868"/>
      <c r="G51" s="868"/>
      <c r="H51" s="868"/>
      <c r="I51" s="869"/>
      <c r="J51" s="860">
        <f>IF(O18,IF(AND(O45,O46),J42-J49,IF(AND(O45,O47),J42+J49,J42)),0)</f>
        <v>155864.79999999999</v>
      </c>
    </row>
    <row r="52" spans="1:17" ht="7.5" customHeight="1">
      <c r="A52" s="605"/>
      <c r="B52" s="682"/>
      <c r="C52" s="597"/>
      <c r="D52" s="597"/>
      <c r="E52" s="597"/>
      <c r="F52" s="597"/>
      <c r="G52" s="597"/>
      <c r="H52" s="9"/>
      <c r="I52" s="41"/>
      <c r="J52" s="683"/>
    </row>
    <row r="53" spans="1:17" ht="16.600000000000001" customHeight="1">
      <c r="A53" s="605"/>
      <c r="B53" s="621">
        <v>6</v>
      </c>
      <c r="C53" s="684" t="s">
        <v>331</v>
      </c>
      <c r="D53" s="647"/>
      <c r="E53" s="647"/>
      <c r="F53" s="685"/>
      <c r="G53" s="686"/>
      <c r="H53" s="687" t="str">
        <f>IF(Projektgrundlagen!I21,"siehe Teil StB-C1",IF(Projektgrundlagen!I22,"siehe Teil HB-C1",IF(Projektgrundlagen!I23,"siehe Teil HB-C2","")))</f>
        <v>siehe Teil StB-C1</v>
      </c>
      <c r="I53" s="688"/>
      <c r="J53" s="689"/>
      <c r="Q53" s="210"/>
    </row>
    <row r="54" spans="1:17" ht="16.600000000000001" customHeight="1">
      <c r="A54" s="605"/>
      <c r="B54" s="635" t="s">
        <v>316</v>
      </c>
      <c r="C54" s="690"/>
      <c r="D54" s="782" t="str">
        <f>IF(O18,"Die Grundleistungen Lph 1-7 und 9:","Die Grundleistungen werden bewertet mit:")</f>
        <v>Die Grundleistungen Lph 1-7 und 9:</v>
      </c>
      <c r="F54" s="691"/>
      <c r="G54" s="691"/>
      <c r="H54" s="144" t="s">
        <v>815</v>
      </c>
      <c r="I54" s="692">
        <f>IF(O18,'StB-C1 Grundlstg'!J398-'StB-C1 Grundlstg'!J384+'HB-C1 Grundlstg Land'!J197-'HB-C1 Grundlstg Land'!J186+'HB-C2 Grundlstg Bund'!J203-'HB-C2 Grundlstg Bund'!J192,'StB-C1 Grundlstg'!J398+'HB-C1 Grundlstg Land'!J197+'HB-C2 Grundlstg Bund'!J203)</f>
        <v>76.7</v>
      </c>
      <c r="J54" s="83">
        <f>IF(AND(O45,OR(O46,O47)),J50*I54%,J41*I54%)</f>
        <v>119548.30159999999</v>
      </c>
      <c r="Q54" s="210"/>
    </row>
    <row r="55" spans="1:17" ht="16.600000000000001" customHeight="1">
      <c r="A55" s="605"/>
      <c r="B55" s="635"/>
      <c r="C55" s="690"/>
      <c r="D55" s="7" t="str">
        <f>IF(O18,"Die Grundleistungen Lph 8:","")</f>
        <v>Die Grundleistungen Lph 8:</v>
      </c>
      <c r="F55" s="691"/>
      <c r="G55" s="691"/>
      <c r="H55" s="144" t="str">
        <f>IF(O18,"v.H.","")</f>
        <v>v.H.</v>
      </c>
      <c r="I55" s="1256">
        <f>IF(O18,'StB-C1 Grundlstg'!J384+'HB-C1 Grundlstg Land'!J186+'HB-C2 Grundlstg Bund'!J192,0)</f>
        <v>9</v>
      </c>
      <c r="J55" s="83">
        <f>IF(AND(O45,OR(O46,O47)),J51*I55%,J42*I55%)</f>
        <v>14027.831999999999</v>
      </c>
      <c r="Q55" s="210"/>
    </row>
    <row r="56" spans="1:17" ht="16.600000000000001" customHeight="1">
      <c r="A56" s="605"/>
      <c r="B56" s="637" t="s">
        <v>407</v>
      </c>
      <c r="C56" s="681"/>
      <c r="D56" s="665" t="s">
        <v>820</v>
      </c>
      <c r="E56" s="667"/>
      <c r="F56" s="667"/>
      <c r="G56" s="667"/>
      <c r="H56" s="667"/>
      <c r="I56" s="693"/>
      <c r="J56" s="668">
        <f>SUM(J54:J55)</f>
        <v>133576.1336</v>
      </c>
    </row>
    <row r="57" spans="1:17" ht="7.5" customHeight="1">
      <c r="A57" s="605"/>
      <c r="B57" s="682"/>
      <c r="C57" s="597"/>
      <c r="D57" s="597"/>
      <c r="E57" s="597"/>
      <c r="F57" s="597"/>
      <c r="G57" s="597"/>
      <c r="H57" s="9"/>
      <c r="I57" s="41"/>
      <c r="J57" s="683"/>
      <c r="M57" s="694"/>
    </row>
    <row r="58" spans="1:17" ht="16.600000000000001" customHeight="1">
      <c r="A58" s="228"/>
      <c r="B58" s="103">
        <v>7</v>
      </c>
      <c r="C58" s="127" t="str">
        <f>IF($G$10="Straßenbau","Umbauzuschlag nach § 6 (2) HOAI","Umbauzuschlag nach § 6 (2) HOAI /  Instandsetzungszuschlag nach § 12 (2) HOAI")</f>
        <v>Umbauzuschlag nach § 6 (2) HOAI</v>
      </c>
      <c r="D58" s="128"/>
      <c r="E58" s="128"/>
      <c r="F58" s="128"/>
      <c r="G58" s="128"/>
      <c r="H58" s="695"/>
      <c r="I58" s="696"/>
      <c r="J58" s="138"/>
      <c r="M58" s="634" t="s">
        <v>472</v>
      </c>
      <c r="N58" s="634" t="s">
        <v>471</v>
      </c>
      <c r="O58" s="634" t="s">
        <v>474</v>
      </c>
      <c r="P58" s="61" t="s">
        <v>1217</v>
      </c>
    </row>
    <row r="59" spans="1:17" ht="16.600000000000001" customHeight="1">
      <c r="A59" s="228" t="str">
        <f>IF(OR(AND($G$10&lt;&gt;"Straßenbau",COUNTIF($L$59:$L$65,TRUE)&lt;&gt;1),AND($G$10="Straßenbau",COUNTIF($L$59:$L$61,TRUE)&lt;&gt;1)),"è","")</f>
        <v/>
      </c>
      <c r="B59" s="635" t="s">
        <v>10</v>
      </c>
      <c r="C59" s="697"/>
      <c r="D59" s="1567" t="s">
        <v>1218</v>
      </c>
      <c r="E59" s="1568"/>
      <c r="F59" s="1568"/>
      <c r="G59" s="1568"/>
      <c r="H59" s="1568"/>
      <c r="I59" s="1568"/>
      <c r="J59" s="698"/>
      <c r="L59" s="155" t="b">
        <v>1</v>
      </c>
      <c r="M59" s="201" t="b">
        <f>IF(COUNTIF(L59:L65,TRUE)=0,TRUE,FALSE)</f>
        <v>0</v>
      </c>
      <c r="N59" s="201" t="b">
        <f>IF(COUNTIF(L59:L66,TRUE)&gt;1,TRUE,FALSE)</f>
        <v>0</v>
      </c>
      <c r="O59" s="140" t="b">
        <f>AND(NOT(M59),NOT(N59),NOT(P59))</f>
        <v>1</v>
      </c>
      <c r="P59" s="7" t="b">
        <f>AND($G$10="Straßenbau",L64)</f>
        <v>0</v>
      </c>
    </row>
    <row r="60" spans="1:17" ht="16.600000000000001" customHeight="1">
      <c r="A60" s="228"/>
      <c r="B60" s="699" t="s">
        <v>145</v>
      </c>
      <c r="C60" s="100"/>
      <c r="D60" s="1569" t="str">
        <f>IF($G$10="Straßenbau","Ein Zuschlag wird nicht vereinbart.","bzw. Instandsetzungen und Instandhaltungen. Ein Zuschlag wird nicht vereinbart.")</f>
        <v>Ein Zuschlag wird nicht vereinbart.</v>
      </c>
      <c r="E60" s="1569"/>
      <c r="F60" s="1569"/>
      <c r="G60" s="1569"/>
      <c r="H60" s="1569"/>
      <c r="I60" s="1569"/>
      <c r="J60" s="700"/>
      <c r="L60" s="140"/>
      <c r="P60" s="61"/>
    </row>
    <row r="61" spans="1:17" ht="16.600000000000001" customHeight="1">
      <c r="A61" s="228" t="str">
        <f>IF(OR(AND($G$10&lt;&gt;"Straßenbau",COUNTIF($L$59:$L$65,TRUE)&lt;&gt;1),AND($G$10="Straßenbau",COUNTIF($L$59:$L$61,TRUE)&lt;&gt;1)),"è","")</f>
        <v/>
      </c>
      <c r="B61" s="635" t="s">
        <v>317</v>
      </c>
      <c r="C61" s="701"/>
      <c r="D61" s="1567" t="s">
        <v>821</v>
      </c>
      <c r="E61" s="1568"/>
      <c r="F61" s="1568"/>
      <c r="G61" s="1568"/>
      <c r="H61" s="1568"/>
      <c r="I61" s="1570"/>
      <c r="J61" s="698"/>
      <c r="L61" s="140" t="b">
        <v>0</v>
      </c>
      <c r="O61" s="140" t="b">
        <f>AND(L61,I62&gt;=0,I62&lt;=33,I62&lt;&gt;"")</f>
        <v>0</v>
      </c>
      <c r="P61" s="61"/>
    </row>
    <row r="62" spans="1:17" ht="16.600000000000001" customHeight="1">
      <c r="A62" s="228"/>
      <c r="B62" s="56" t="s">
        <v>318</v>
      </c>
      <c r="C62" s="702"/>
      <c r="D62" s="1569" t="s">
        <v>1216</v>
      </c>
      <c r="E62" s="1569"/>
      <c r="F62" s="1569"/>
      <c r="G62" s="1569"/>
      <c r="H62" s="1571"/>
      <c r="I62" s="703"/>
      <c r="J62" s="704"/>
      <c r="L62" s="140"/>
      <c r="P62" s="61"/>
    </row>
    <row r="63" spans="1:17" ht="16.600000000000001" customHeight="1">
      <c r="A63" s="228"/>
      <c r="B63" s="699" t="s">
        <v>319</v>
      </c>
      <c r="C63" s="632"/>
      <c r="D63" s="662" t="str">
        <f>IF(AND(O59,L61),"Es ergibt sich ein Honorarzuschlag in Höhe von",IF(AND(L59,O59),"kein Umbauzuschlag",""))</f>
        <v>kein Umbauzuschlag</v>
      </c>
      <c r="E63" s="679"/>
      <c r="F63" s="679"/>
      <c r="G63" s="679"/>
      <c r="H63" s="679"/>
      <c r="I63" s="870"/>
      <c r="J63" s="83">
        <f>IF(AND(O59,O61),I62%*J56,0)</f>
        <v>0</v>
      </c>
    </row>
    <row r="64" spans="1:17" ht="16.600000000000001" customHeight="1">
      <c r="A64" s="228" t="str">
        <f>IF(AND($G$10&lt;&gt;"Straßenbau",COUNTIF($L$59:$L$65,TRUE)&lt;&gt;1),"è","")</f>
        <v/>
      </c>
      <c r="B64" s="56" t="s">
        <v>822</v>
      </c>
      <c r="C64" s="701"/>
      <c r="D64" s="1567" t="s">
        <v>823</v>
      </c>
      <c r="E64" s="1568"/>
      <c r="F64" s="1568"/>
      <c r="G64" s="1568"/>
      <c r="H64" s="1568"/>
      <c r="I64" s="1570"/>
      <c r="J64" s="138"/>
      <c r="L64" s="140" t="b">
        <v>0</v>
      </c>
      <c r="O64" s="140" t="b">
        <f>IF($G$10="Straßenbau",AND(NOT(P59),L64,I65&gt;=0,I65&lt;=50,I65&lt;&gt;""),AND(L64,I65&gt;=0,I65&lt;=50,I65&lt;&gt;""))</f>
        <v>0</v>
      </c>
      <c r="P64" s="61"/>
    </row>
    <row r="65" spans="1:16" ht="16.600000000000001" customHeight="1">
      <c r="A65" s="228"/>
      <c r="B65" s="56" t="s">
        <v>824</v>
      </c>
      <c r="C65" s="702"/>
      <c r="D65" s="1569" t="s">
        <v>1157</v>
      </c>
      <c r="E65" s="1569"/>
      <c r="F65" s="1569"/>
      <c r="G65" s="1569"/>
      <c r="H65" s="1571"/>
      <c r="I65" s="703"/>
      <c r="J65" s="704"/>
      <c r="L65" s="140"/>
      <c r="P65" s="61"/>
    </row>
    <row r="66" spans="1:16" ht="16.600000000000001" customHeight="1">
      <c r="A66" s="228"/>
      <c r="B66" s="56" t="s">
        <v>825</v>
      </c>
      <c r="C66" s="705"/>
      <c r="D66" s="706" t="str">
        <f>IF(AND(O59,L64),"Es ergibt sich ein Honorarzuschlag für Instandsetzung und Instandhaltung in Höhe von",IF(AND($G$10&lt;&gt;"Straßenbau",L59,O59),"kein Instandsetzungszuschlag",""))</f>
        <v/>
      </c>
      <c r="E66" s="707"/>
      <c r="F66" s="707"/>
      <c r="G66" s="707"/>
      <c r="H66" s="707"/>
      <c r="I66" s="708"/>
      <c r="J66" s="83">
        <f>IF(AND(O59,O64),I65%*J55,0)</f>
        <v>0</v>
      </c>
    </row>
    <row r="67" spans="1:16" ht="16.600000000000001" customHeight="1">
      <c r="A67" s="605"/>
      <c r="B67" s="637" t="s">
        <v>826</v>
      </c>
      <c r="C67" s="681"/>
      <c r="D67" s="665" t="s">
        <v>820</v>
      </c>
      <c r="E67" s="667"/>
      <c r="F67" s="667"/>
      <c r="G67" s="667"/>
      <c r="H67" s="667"/>
      <c r="I67" s="709"/>
      <c r="J67" s="668">
        <f>IF(AND(L64,O64),J66+J56,IF(AND(L61,O61),J63+J56,IF(L59,J56,0)))</f>
        <v>133576.1336</v>
      </c>
    </row>
    <row r="68" spans="1:16" ht="7.5" customHeight="1">
      <c r="A68" s="605"/>
      <c r="B68" s="710"/>
      <c r="C68" s="202"/>
      <c r="D68" s="711"/>
      <c r="E68" s="711"/>
      <c r="F68" s="711"/>
      <c r="G68" s="711"/>
      <c r="H68" s="711"/>
      <c r="I68" s="19"/>
      <c r="J68" s="19"/>
      <c r="L68" s="140"/>
      <c r="P68" s="61"/>
    </row>
    <row r="69" spans="1:16" ht="16.600000000000001" customHeight="1">
      <c r="A69" s="605"/>
      <c r="B69" s="712">
        <v>8</v>
      </c>
      <c r="C69" s="597" t="s">
        <v>827</v>
      </c>
      <c r="D69" s="713"/>
      <c r="E69" s="713"/>
      <c r="F69" s="713"/>
      <c r="G69" s="713"/>
      <c r="H69" s="713"/>
      <c r="I69" s="713"/>
      <c r="J69" s="45"/>
      <c r="P69" s="61"/>
    </row>
    <row r="70" spans="1:16" ht="16.600000000000001" customHeight="1">
      <c r="A70" s="605"/>
      <c r="B70" s="635" t="s">
        <v>343</v>
      </c>
      <c r="C70" s="714"/>
      <c r="D70" s="1572" t="s">
        <v>828</v>
      </c>
      <c r="E70" s="1573"/>
      <c r="F70" s="1573"/>
      <c r="G70" s="1573"/>
      <c r="H70" s="1573"/>
      <c r="I70" s="1574"/>
      <c r="J70" s="65"/>
      <c r="L70" s="155" t="b">
        <v>0</v>
      </c>
      <c r="P70" s="61"/>
    </row>
    <row r="71" spans="1:16" ht="43.2" customHeight="1">
      <c r="A71" s="605"/>
      <c r="B71" s="699"/>
      <c r="C71" s="66"/>
      <c r="D71" s="1575" t="s">
        <v>918</v>
      </c>
      <c r="E71" s="1575"/>
      <c r="F71" s="1575"/>
      <c r="G71" s="1575"/>
      <c r="H71" s="1575"/>
      <c r="I71" s="1575"/>
      <c r="J71" s="65"/>
      <c r="M71" s="715"/>
    </row>
    <row r="72" spans="1:16" ht="16.600000000000001" customHeight="1">
      <c r="A72" s="228" t="str">
        <f>IF(AND(L70,I72=""),"è","")</f>
        <v/>
      </c>
      <c r="B72" s="678" t="s">
        <v>829</v>
      </c>
      <c r="C72" s="716"/>
      <c r="D72" s="1576" t="s">
        <v>830</v>
      </c>
      <c r="E72" s="1576"/>
      <c r="F72" s="1576"/>
      <c r="G72" s="1576"/>
      <c r="H72" s="1577"/>
      <c r="I72" s="717"/>
      <c r="J72" s="46"/>
      <c r="L72" s="140"/>
      <c r="M72" s="715"/>
      <c r="N72" s="204"/>
      <c r="O72" s="204"/>
    </row>
    <row r="73" spans="1:16" ht="16.600000000000001" customHeight="1">
      <c r="A73" s="605"/>
      <c r="B73" s="678" t="s">
        <v>831</v>
      </c>
      <c r="C73" s="718"/>
      <c r="D73" s="7" t="str">
        <f>IF(L70,IF(I72&lt;&gt;"","Die Minderung der v.H.-Sätze der Leistungsphasen 1 bis 6 beträgt",""),"keine Wiederholungen")</f>
        <v>keine Wiederholungen</v>
      </c>
      <c r="E73" s="719"/>
      <c r="F73" s="719"/>
      <c r="G73" s="719"/>
      <c r="H73" s="719"/>
      <c r="I73" s="98" t="str">
        <f>IF(AND(L70,I72&lt;&gt;""),IF(ROUND(I72,0)&lt;1,0,IF(ROUND(I72,0)&lt;5,50%,IF(ROUND(I72,0)&lt;8,60%,90%))),"")</f>
        <v/>
      </c>
      <c r="J73" s="53"/>
      <c r="L73" s="140"/>
      <c r="N73" s="204"/>
      <c r="O73" s="720"/>
    </row>
    <row r="74" spans="1:16" ht="16.600000000000001" customHeight="1">
      <c r="A74" s="605"/>
      <c r="B74" s="678" t="s">
        <v>832</v>
      </c>
      <c r="C74" s="595"/>
      <c r="D74" s="596" t="str">
        <f>IF(AND(L70,I72&lt;&gt;""),IF(AND(L61,I61&gt;0),"Es ergibt sich eine Honorarminderung inkl. Umbauzuschlag in Höhe von","Es ergibt sich eine Honorarminderung in Höhe von"),"")</f>
        <v/>
      </c>
      <c r="E74" s="721"/>
      <c r="F74" s="721"/>
      <c r="G74" s="721"/>
      <c r="H74" s="721"/>
      <c r="I74" s="839">
        <f>IF(AND(L70,I73&lt;&gt;"",I73&gt;0),SUM(P116:P121)/100*I73,0)</f>
        <v>0</v>
      </c>
      <c r="J74" s="722">
        <f>IF(AND(L70,I73&gt;0,J54&gt;0),IF(J50&gt;0,IF(J63&gt;0,J50*(1+I62/100)*I74,J50*I74),IF(J63&gt;0,J41*(1+I62)*I74,J41*I74)),0)</f>
        <v>0</v>
      </c>
      <c r="L74" s="213" t="s">
        <v>917</v>
      </c>
      <c r="N74" s="840">
        <f>SUM(P116:P121)</f>
        <v>76.7</v>
      </c>
      <c r="O74" s="207"/>
    </row>
    <row r="75" spans="1:16" ht="16.600000000000001" customHeight="1">
      <c r="A75" s="605"/>
      <c r="B75" s="637" t="s">
        <v>833</v>
      </c>
      <c r="C75" s="681"/>
      <c r="D75" s="665" t="s">
        <v>820</v>
      </c>
      <c r="E75" s="667"/>
      <c r="F75" s="667"/>
      <c r="G75" s="667"/>
      <c r="H75" s="667"/>
      <c r="I75" s="723"/>
      <c r="J75" s="668">
        <f>IF(NOT(L70),J67,IF(L70,-J74+J67,IF(AND(L70,L18=FALSE,L19=FALSE),-J74+J56,0)))</f>
        <v>133576.1336</v>
      </c>
    </row>
    <row r="76" spans="1:16" ht="7.5" customHeight="1">
      <c r="A76" s="605"/>
      <c r="B76" s="710"/>
      <c r="C76" s="202"/>
      <c r="D76" s="711"/>
      <c r="E76" s="711"/>
      <c r="F76" s="711"/>
      <c r="G76" s="711"/>
      <c r="H76" s="711"/>
      <c r="I76" s="711"/>
      <c r="J76" s="711"/>
      <c r="L76" s="140"/>
      <c r="N76" s="204"/>
      <c r="O76" s="204"/>
    </row>
    <row r="77" spans="1:16" ht="16.600000000000001" customHeight="1">
      <c r="A77" s="605"/>
      <c r="B77" s="621">
        <v>9</v>
      </c>
      <c r="C77" s="8" t="s">
        <v>834</v>
      </c>
      <c r="D77" s="597"/>
      <c r="E77" s="597"/>
      <c r="F77" s="597"/>
      <c r="G77" s="724"/>
      <c r="H77" s="623" t="str">
        <f>IF(Projektgrundlagen!I21,"siehe Teil StB-D1",IF(Projektgrundlagen!I22,"siehe Teil HB-D1",IF(Projektgrundlagen!I23,"siehe Teil HB-D2","")))</f>
        <v>siehe Teil StB-D1</v>
      </c>
      <c r="I77" s="597"/>
      <c r="J77" s="198"/>
    </row>
    <row r="78" spans="1:16" ht="16.600000000000001" customHeight="1">
      <c r="A78" s="605"/>
      <c r="B78" s="678" t="s">
        <v>146</v>
      </c>
      <c r="C78" s="705"/>
      <c r="D78" s="596" t="s">
        <v>835</v>
      </c>
      <c r="E78" s="596"/>
      <c r="F78" s="725"/>
      <c r="G78" s="725"/>
      <c r="H78" s="725"/>
      <c r="I78" s="726"/>
      <c r="J78" s="83">
        <f>SUM('StB-D1 Besondere Lstg'!K221,'HB-D1 Besondere Lstg Land'!K129,'HB-D2 Besondere Lstg Bund'!K112)</f>
        <v>0</v>
      </c>
    </row>
    <row r="79" spans="1:16" ht="16.600000000000001" customHeight="1">
      <c r="A79" s="605"/>
      <c r="B79" s="102" t="s">
        <v>147</v>
      </c>
      <c r="C79" s="681"/>
      <c r="D79" s="665" t="s">
        <v>836</v>
      </c>
      <c r="E79" s="667"/>
      <c r="F79" s="667"/>
      <c r="G79" s="667"/>
      <c r="H79" s="667"/>
      <c r="I79" s="723"/>
      <c r="J79" s="668">
        <f>IF(L70,J78+J75,J78+J67)</f>
        <v>133576.1336</v>
      </c>
    </row>
    <row r="80" spans="1:16" ht="7.5" customHeight="1">
      <c r="A80" s="605"/>
      <c r="B80" s="710"/>
      <c r="C80" s="202"/>
      <c r="D80" s="711"/>
      <c r="E80" s="711"/>
      <c r="F80" s="711"/>
      <c r="G80" s="711"/>
      <c r="H80" s="711"/>
      <c r="I80" s="711"/>
      <c r="J80" s="711"/>
    </row>
    <row r="81" spans="1:17" ht="16.600000000000001" customHeight="1">
      <c r="A81" s="605"/>
      <c r="B81" s="103">
        <v>10</v>
      </c>
      <c r="C81" s="127" t="s">
        <v>837</v>
      </c>
      <c r="D81" s="128"/>
      <c r="E81" s="128"/>
      <c r="F81" s="203"/>
      <c r="G81" s="696"/>
      <c r="H81" s="203"/>
      <c r="I81" s="203"/>
      <c r="J81" s="138"/>
      <c r="M81" s="634" t="s">
        <v>472</v>
      </c>
      <c r="N81" s="634" t="s">
        <v>471</v>
      </c>
      <c r="O81" s="634" t="s">
        <v>474</v>
      </c>
    </row>
    <row r="82" spans="1:17" ht="16.600000000000001" customHeight="1">
      <c r="A82" s="228" t="str">
        <f>IF(COUNTIF($L$82:$L$85,TRUE)&lt;&gt;1,"è","")</f>
        <v/>
      </c>
      <c r="B82" s="651" t="s">
        <v>400</v>
      </c>
      <c r="C82" s="727"/>
      <c r="D82" s="728" t="s">
        <v>838</v>
      </c>
      <c r="E82" s="729"/>
      <c r="F82" s="730"/>
      <c r="G82" s="731"/>
      <c r="H82" s="730"/>
      <c r="I82" s="732"/>
      <c r="J82" s="733"/>
      <c r="L82" s="719" t="b">
        <v>0</v>
      </c>
      <c r="M82" s="201" t="b">
        <f>IF(COUNTIF(L82:L85,TRUE)=0,TRUE,FALSE)</f>
        <v>0</v>
      </c>
      <c r="N82" s="201" t="b">
        <f>IF(COUNTIF(L82:L85,TRUE)&gt;1,TRUE,FALSE)</f>
        <v>0</v>
      </c>
      <c r="O82" s="140" t="b">
        <f>AND(NOT(M82),NOT(N82),J79&lt;&gt;"")</f>
        <v>1</v>
      </c>
    </row>
    <row r="83" spans="1:17" ht="16.600000000000001" customHeight="1">
      <c r="A83" s="228" t="str">
        <f t="shared" ref="A83:A85" si="0">IF(COUNTIF($L$82:$L$85,TRUE)&lt;&gt;1,"è","")</f>
        <v/>
      </c>
      <c r="B83" s="652" t="s">
        <v>839</v>
      </c>
      <c r="C83" s="734"/>
      <c r="D83" s="735" t="s">
        <v>479</v>
      </c>
      <c r="E83" s="736"/>
      <c r="F83" s="737"/>
      <c r="G83" s="737"/>
      <c r="H83" s="738"/>
      <c r="I83" s="120"/>
      <c r="J83" s="82">
        <f>IF(AND(L83,O83,$O$82),I83*$J$79,0)</f>
        <v>0</v>
      </c>
      <c r="K83" s="183"/>
      <c r="L83" s="719" t="b">
        <v>1</v>
      </c>
      <c r="O83" s="140" t="b">
        <f>AND(I83&gt;=0%,I83&lt;=100%,I83&lt;&gt;"")</f>
        <v>0</v>
      </c>
      <c r="Q83" s="210"/>
    </row>
    <row r="84" spans="1:17" ht="16.600000000000001" customHeight="1">
      <c r="A84" s="228" t="str">
        <f t="shared" si="0"/>
        <v/>
      </c>
      <c r="B84" s="651" t="s">
        <v>840</v>
      </c>
      <c r="C84" s="734"/>
      <c r="D84" s="735" t="s">
        <v>480</v>
      </c>
      <c r="E84" s="736"/>
      <c r="F84" s="737"/>
      <c r="G84" s="737"/>
      <c r="H84" s="738"/>
      <c r="I84" s="142"/>
      <c r="J84" s="82">
        <f>IF(AND(L84,O84,$O$82),I84,0)</f>
        <v>0</v>
      </c>
      <c r="L84" s="1653" t="b">
        <v>0</v>
      </c>
      <c r="O84" s="739" t="b">
        <f>AND(I84&gt;=0,I84&lt;&gt;"")</f>
        <v>0</v>
      </c>
    </row>
    <row r="85" spans="1:17" ht="16.600000000000001" customHeight="1">
      <c r="A85" s="228" t="str">
        <f t="shared" si="0"/>
        <v/>
      </c>
      <c r="B85" s="652" t="s">
        <v>841</v>
      </c>
      <c r="C85" s="734"/>
      <c r="D85" s="740" t="s">
        <v>842</v>
      </c>
      <c r="E85" s="740"/>
      <c r="F85" s="741"/>
      <c r="G85" s="741"/>
      <c r="H85" s="742"/>
      <c r="I85" s="743"/>
      <c r="J85" s="82"/>
      <c r="L85" s="1653" t="b">
        <v>0</v>
      </c>
      <c r="O85" s="739"/>
    </row>
    <row r="86" spans="1:17" ht="16.600000000000001" customHeight="1">
      <c r="A86" s="605"/>
      <c r="B86" s="652" t="s">
        <v>843</v>
      </c>
      <c r="C86" s="247">
        <v>1</v>
      </c>
      <c r="D86" s="744" t="s">
        <v>337</v>
      </c>
      <c r="E86" s="247"/>
      <c r="F86" s="744"/>
      <c r="G86" s="745"/>
      <c r="H86" s="746" t="str">
        <f>IF(Projektgrundlagen!$I$22,"(Leistungsstufe 1A)",IF(Projektgrundlagen!$I$23,"(Leistungsstufe 1)",""))</f>
        <v/>
      </c>
      <c r="I86" s="120"/>
      <c r="J86" s="82">
        <f>IF(AND($L$85,O86,$O$82),I86*($J$75/$P$125*P116+SUM(Q116,R116)),0)</f>
        <v>0</v>
      </c>
      <c r="O86" s="739" t="b">
        <f>IF(O116,AND(I86&gt;=0,I86&lt;&gt;""),"")</f>
        <v>0</v>
      </c>
    </row>
    <row r="87" spans="1:17" ht="16.600000000000001" customHeight="1">
      <c r="A87" s="605"/>
      <c r="B87" s="652" t="s">
        <v>844</v>
      </c>
      <c r="C87" s="247">
        <v>2</v>
      </c>
      <c r="D87" s="247" t="s">
        <v>845</v>
      </c>
      <c r="E87" s="247"/>
      <c r="F87" s="247"/>
      <c r="G87" s="747"/>
      <c r="H87" s="746" t="str">
        <f>IF(Projektgrundlagen!$I$22,"(Leistungsstufe 1B)",IF(Projektgrundlagen!$I$23,"(Leistungsstufe 1)",""))</f>
        <v/>
      </c>
      <c r="I87" s="120"/>
      <c r="J87" s="82">
        <f>IF(AND($L$85,O87,$O$82),I87*($J$75/$P$125*P117+SUM(Q117,R117)),0)</f>
        <v>0</v>
      </c>
      <c r="O87" s="739" t="b">
        <f>IF(O117,AND(I87&gt;=0,I87&lt;&gt;""),"")</f>
        <v>0</v>
      </c>
    </row>
    <row r="88" spans="1:17" ht="16.600000000000001" customHeight="1">
      <c r="A88" s="605"/>
      <c r="B88" s="652" t="s">
        <v>846</v>
      </c>
      <c r="C88" s="247">
        <v>3</v>
      </c>
      <c r="D88" s="247" t="s">
        <v>847</v>
      </c>
      <c r="E88" s="247"/>
      <c r="F88" s="247"/>
      <c r="G88" s="747"/>
      <c r="H88" s="746" t="str">
        <f>IF(Projektgrundlagen!$I$22,"(Leistungsstufe 1C)",IF(Projektgrundlagen!$I$23,"(Leistungsstufe 1)",""))</f>
        <v/>
      </c>
      <c r="I88" s="120"/>
      <c r="J88" s="82">
        <f>IF(AND($L$85,O88,$O$82),I88*($J$75/$P$125*P118+SUM(Q118,R118)),0)</f>
        <v>0</v>
      </c>
      <c r="O88" s="739" t="b">
        <f>IF(O118,AND(I88&gt;=0,I88&lt;&gt;""),"")</f>
        <v>0</v>
      </c>
    </row>
    <row r="89" spans="1:17" ht="16.600000000000001" customHeight="1">
      <c r="A89" s="605"/>
      <c r="B89" s="652" t="s">
        <v>848</v>
      </c>
      <c r="C89" s="247">
        <v>4</v>
      </c>
      <c r="D89" s="247" t="s">
        <v>849</v>
      </c>
      <c r="E89" s="247"/>
      <c r="F89" s="247"/>
      <c r="G89" s="747"/>
      <c r="H89" s="746" t="str">
        <f>IF(Projektgrundlagen!$I$22,"(Leistungsstufe 1D)",IF(Projektgrundlagen!$I$23,"(Leistungsstufe 1)",""))</f>
        <v/>
      </c>
      <c r="I89" s="120"/>
      <c r="J89" s="82">
        <f>IF(AND($L$85,O89,$O$82),I89*($J$75/$P$125*P119+SUM(Q119,R119)),0)</f>
        <v>0</v>
      </c>
      <c r="M89" s="207"/>
      <c r="O89" s="739" t="b">
        <f>IF(O119,AND(I89&gt;=0,I89&lt;&gt;""),"")</f>
        <v>0</v>
      </c>
    </row>
    <row r="90" spans="1:17" ht="16.600000000000001" customHeight="1">
      <c r="A90" s="605"/>
      <c r="B90" s="652" t="s">
        <v>850</v>
      </c>
      <c r="C90" s="247"/>
      <c r="D90" s="247" t="str">
        <f>IF(Projektgrundlagen!$I$23,"Besondere Leistungen","")</f>
        <v/>
      </c>
      <c r="E90" s="247"/>
      <c r="F90" s="247"/>
      <c r="G90" s="745"/>
      <c r="H90" s="746" t="str">
        <f>IF(Projektgrundlagen!$I$23,"(Leistungsstufe 1)","")</f>
        <v/>
      </c>
      <c r="I90" s="120"/>
      <c r="J90" s="82">
        <f>IF(AND($L$85,O89,$O$82),I89*(SUM(S119)),0)</f>
        <v>0</v>
      </c>
      <c r="M90" s="207"/>
      <c r="O90" s="739" t="str">
        <f>IF(T119,AND(I90&gt;=0,I90&lt;&gt;""),"")</f>
        <v/>
      </c>
    </row>
    <row r="91" spans="1:17" ht="16.600000000000001" customHeight="1">
      <c r="A91" s="605"/>
      <c r="B91" s="652" t="s">
        <v>851</v>
      </c>
      <c r="C91" s="247">
        <v>5</v>
      </c>
      <c r="D91" s="247" t="s">
        <v>852</v>
      </c>
      <c r="E91" s="247"/>
      <c r="F91" s="247"/>
      <c r="G91" s="747"/>
      <c r="H91" s="746" t="str">
        <f>IF(Projektgrundlagen!$I$22,"(Leistungsstufe 2)",IF(Projektgrundlagen!$I$23,"(Leistungsstufe 2)",""))</f>
        <v/>
      </c>
      <c r="I91" s="120"/>
      <c r="J91" s="82">
        <f>IF(AND($L$85,O91,$O$82),I91*($J$75/$P$125*P120+SUM(Q120:S120)),0)</f>
        <v>0</v>
      </c>
      <c r="O91" s="739" t="b">
        <f>IF(O120,AND(I91&gt;=0,I91&lt;&gt;""),"")</f>
        <v>0</v>
      </c>
    </row>
    <row r="92" spans="1:17" ht="16.600000000000001" customHeight="1">
      <c r="A92" s="605"/>
      <c r="B92" s="652" t="s">
        <v>853</v>
      </c>
      <c r="C92" s="247">
        <v>6</v>
      </c>
      <c r="D92" s="247" t="s">
        <v>346</v>
      </c>
      <c r="E92" s="247"/>
      <c r="F92" s="247"/>
      <c r="G92" s="747"/>
      <c r="H92" s="746" t="str">
        <f>IF(Projektgrundlagen!$I$22,"(Leistungsstufe 3A)",IF(Projektgrundlagen!$I$23,"(Leistungsstufe 3)",""))</f>
        <v/>
      </c>
      <c r="I92" s="120"/>
      <c r="J92" s="82">
        <f>IF(AND($L$85,O92,$O$82),I92*($J$75/$P$125*P121+SUM(Q121,R121)),0)</f>
        <v>0</v>
      </c>
      <c r="O92" s="739" t="b">
        <f>IF(O121,AND(I92&gt;=0,I92&lt;&gt;""),"")</f>
        <v>0</v>
      </c>
    </row>
    <row r="93" spans="1:17" ht="16.600000000000001" customHeight="1">
      <c r="A93" s="605"/>
      <c r="B93" s="652" t="s">
        <v>854</v>
      </c>
      <c r="C93" s="247">
        <v>7</v>
      </c>
      <c r="D93" s="247" t="s">
        <v>855</v>
      </c>
      <c r="E93" s="247"/>
      <c r="F93" s="247"/>
      <c r="G93" s="747"/>
      <c r="H93" s="746" t="str">
        <f>IF(Projektgrundlagen!$I$22,"(Leistungsstufe 3B)",IF(Projektgrundlagen!$I$23,"(Leistungsstufe 3)",""))</f>
        <v/>
      </c>
      <c r="I93" s="120"/>
      <c r="J93" s="82">
        <f>IF(AND($L$85,O93,$O$82),I93*($J$75/$P$125*P122+SUM(Q122,R122)),0)</f>
        <v>0</v>
      </c>
      <c r="O93" s="739" t="str">
        <f>IF(O122,AND(I93&gt;=0,I93&lt;&gt;""),"")</f>
        <v/>
      </c>
    </row>
    <row r="94" spans="1:17" ht="16.600000000000001" customHeight="1">
      <c r="A94" s="605"/>
      <c r="B94" s="652" t="s">
        <v>856</v>
      </c>
      <c r="C94" s="247"/>
      <c r="D94" s="247" t="str">
        <f>IF(Projektgrundlagen!$I$23,"Besondere Leistungen","")</f>
        <v/>
      </c>
      <c r="E94" s="247"/>
      <c r="F94" s="247"/>
      <c r="G94" s="745"/>
      <c r="H94" s="746" t="str">
        <f>IF(Projektgrundlagen!$I$23,"(Leistungsstufe 3)","")</f>
        <v/>
      </c>
      <c r="I94" s="120"/>
      <c r="J94" s="82">
        <f>IF(AND($L$85,O94,$O$82),I94*(SUM(S122)),0)</f>
        <v>0</v>
      </c>
      <c r="O94" s="739" t="str">
        <f>IF(T122,AND(I94&gt;=0,I94&lt;&gt;""),"")</f>
        <v/>
      </c>
    </row>
    <row r="95" spans="1:17" ht="16.600000000000001" customHeight="1">
      <c r="A95" s="605"/>
      <c r="B95" s="652" t="s">
        <v>857</v>
      </c>
      <c r="C95" s="247">
        <v>8</v>
      </c>
      <c r="D95" s="247" t="s">
        <v>858</v>
      </c>
      <c r="E95" s="247"/>
      <c r="F95" s="247"/>
      <c r="G95" s="747"/>
      <c r="H95" s="746" t="str">
        <f>IF(Projektgrundlagen!$I$22,"(Leistungsstufe 4)",IF(Projektgrundlagen!$I$23,"(Leistungsstufe 4)",""))</f>
        <v/>
      </c>
      <c r="I95" s="120"/>
      <c r="J95" s="82">
        <f>IF(AND($L$85,O95,$O$82),I95*($J$75/$P$125*P123+SUM(Q123:S123)),0)</f>
        <v>0</v>
      </c>
      <c r="O95" s="739" t="b">
        <f>IF(O123,AND(I95&gt;=0,I95&lt;&gt;""),"")</f>
        <v>0</v>
      </c>
    </row>
    <row r="96" spans="1:17" ht="16.600000000000001" customHeight="1">
      <c r="A96" s="605"/>
      <c r="B96" s="652" t="s">
        <v>859</v>
      </c>
      <c r="C96" s="247">
        <v>9</v>
      </c>
      <c r="D96" s="247" t="s">
        <v>336</v>
      </c>
      <c r="E96" s="247"/>
      <c r="F96" s="247"/>
      <c r="G96" s="747"/>
      <c r="H96" s="746" t="str">
        <f>IF(Projektgrundlagen!$I$22,"(Leistungsstufe 5)",IF(Projektgrundlagen!$I$23,"(Leistungsstufe 5)",""))</f>
        <v/>
      </c>
      <c r="I96" s="120"/>
      <c r="J96" s="82">
        <f>IF(AND($L$85,O96,$O$82),I96*($J$75/$P$125*P124+SUM(Q124:S124)),0)</f>
        <v>0</v>
      </c>
      <c r="O96" s="739" t="str">
        <f>IF(O124,AND(I96&gt;=0,I96&lt;&gt;""),"")</f>
        <v/>
      </c>
    </row>
    <row r="97" spans="1:15" ht="16.600000000000001" customHeight="1">
      <c r="A97" s="605"/>
      <c r="B97" s="626">
        <v>11</v>
      </c>
      <c r="C97" s="277"/>
      <c r="D97" s="748" t="s">
        <v>481</v>
      </c>
      <c r="E97" s="748"/>
      <c r="F97" s="118"/>
      <c r="G97" s="118"/>
      <c r="H97" s="119"/>
      <c r="I97" s="749"/>
      <c r="J97" s="139"/>
      <c r="L97" s="644" t="b">
        <v>0</v>
      </c>
    </row>
    <row r="98" spans="1:15" ht="16.600000000000001" customHeight="1">
      <c r="A98" s="605"/>
      <c r="B98" s="652" t="s">
        <v>149</v>
      </c>
      <c r="C98" s="160"/>
      <c r="D98" s="661"/>
      <c r="E98" s="750" t="s">
        <v>860</v>
      </c>
      <c r="F98" s="750"/>
      <c r="G98" s="750"/>
      <c r="H98" s="751"/>
      <c r="I98" s="752"/>
      <c r="J98" s="181"/>
      <c r="L98" s="644" t="b">
        <v>0</v>
      </c>
      <c r="N98" s="205"/>
    </row>
    <row r="99" spans="1:15" ht="16.600000000000001" customHeight="1">
      <c r="A99" s="605"/>
      <c r="B99" s="652"/>
      <c r="C99" s="160"/>
      <c r="D99" s="748" t="s">
        <v>861</v>
      </c>
      <c r="E99" s="748"/>
      <c r="F99" s="118"/>
      <c r="G99" s="118"/>
      <c r="H99" s="119"/>
      <c r="I99" s="753"/>
      <c r="J99" s="181"/>
      <c r="L99" s="644"/>
    </row>
    <row r="100" spans="1:15" ht="16.600000000000001" customHeight="1">
      <c r="A100" s="605"/>
      <c r="B100" s="56" t="s">
        <v>150</v>
      </c>
      <c r="C100" s="160"/>
      <c r="D100" s="661"/>
      <c r="E100" s="1292" t="s">
        <v>409</v>
      </c>
      <c r="F100" s="1293"/>
      <c r="G100" s="1293"/>
      <c r="H100" s="1293"/>
      <c r="I100" s="750"/>
      <c r="J100" s="181"/>
      <c r="L100" s="644" t="b">
        <v>0</v>
      </c>
      <c r="N100" s="205"/>
    </row>
    <row r="101" spans="1:15" ht="16.600000000000001" customHeight="1">
      <c r="A101" s="605"/>
      <c r="B101" s="56" t="s">
        <v>151</v>
      </c>
      <c r="C101" s="4"/>
      <c r="D101" s="661"/>
      <c r="E101" s="1578" t="s">
        <v>468</v>
      </c>
      <c r="F101" s="1579"/>
      <c r="G101" s="1579"/>
      <c r="H101" s="1579"/>
      <c r="I101" s="1580"/>
      <c r="J101" s="180"/>
      <c r="L101" s="644" t="b">
        <v>0</v>
      </c>
    </row>
    <row r="102" spans="1:15" ht="7.5" customHeight="1">
      <c r="A102" s="605"/>
      <c r="B102" s="641"/>
      <c r="C102" s="121"/>
      <c r="D102" s="121"/>
      <c r="E102" s="121"/>
      <c r="F102" s="642"/>
      <c r="G102" s="643"/>
      <c r="H102" s="643"/>
      <c r="I102" s="643"/>
      <c r="J102" s="137"/>
      <c r="L102" s="644"/>
    </row>
    <row r="103" spans="1:15" s="157" customFormat="1" ht="16.7">
      <c r="A103" s="614"/>
      <c r="B103" s="615"/>
      <c r="C103" s="616" t="s">
        <v>862</v>
      </c>
      <c r="D103" s="617"/>
      <c r="E103" s="617"/>
      <c r="F103" s="617"/>
      <c r="G103" s="617"/>
      <c r="H103" s="617"/>
      <c r="I103" s="618"/>
      <c r="J103" s="754"/>
      <c r="L103" s="645"/>
      <c r="M103" s="164"/>
      <c r="N103" s="755"/>
      <c r="O103" s="164"/>
    </row>
    <row r="104" spans="1:15" ht="16.600000000000001" customHeight="1">
      <c r="A104" s="605"/>
      <c r="B104" s="756">
        <v>12</v>
      </c>
      <c r="C104" s="130"/>
      <c r="D104" s="131" t="str">
        <f>"Honorar "&amp;B2&amp;" netto"</f>
        <v>Honorar Objektplanung Verkehrsanlagen netto</v>
      </c>
      <c r="E104" s="131"/>
      <c r="F104" s="131"/>
      <c r="G104" s="131"/>
      <c r="H104" s="131"/>
      <c r="I104" s="132"/>
      <c r="J104" s="83">
        <f>IF(AND(OR(J56&gt;0,J79&gt;0),O82),SUM(J83:J96)+J79,0)</f>
        <v>133576.1336</v>
      </c>
      <c r="M104" s="207"/>
    </row>
    <row r="105" spans="1:15" ht="16.600000000000001" customHeight="1">
      <c r="A105" s="605"/>
      <c r="B105" s="757">
        <v>13</v>
      </c>
      <c r="C105" s="758"/>
      <c r="D105" s="759" t="s">
        <v>484</v>
      </c>
      <c r="E105" s="759"/>
      <c r="F105" s="759"/>
      <c r="G105" s="759"/>
      <c r="H105" s="759"/>
      <c r="I105" s="141">
        <v>0.19</v>
      </c>
      <c r="J105" s="760">
        <f>J104*I105</f>
        <v>25379.465383999999</v>
      </c>
      <c r="L105" s="761"/>
      <c r="M105" s="209"/>
    </row>
    <row r="106" spans="1:15" ht="17.3" thickBot="1">
      <c r="A106" s="605"/>
      <c r="B106" s="762"/>
      <c r="C106" s="763"/>
      <c r="D106" s="9"/>
      <c r="E106" s="9"/>
      <c r="F106" s="9"/>
      <c r="G106" s="9"/>
      <c r="H106" s="9"/>
      <c r="I106" s="9"/>
      <c r="J106" s="764"/>
    </row>
    <row r="107" spans="1:15" ht="29.95" customHeight="1" thickBot="1">
      <c r="A107" s="605"/>
      <c r="B107" s="765">
        <v>14</v>
      </c>
      <c r="C107" s="766" t="str">
        <f>IF(I105&gt;0,"Honorar "&amp;B2&amp;" brutto","Honorar für "&amp;B2&amp;" netto")</f>
        <v>Honorar Objektplanung Verkehrsanlagen brutto</v>
      </c>
      <c r="D107" s="767"/>
      <c r="E107" s="767"/>
      <c r="F107" s="767"/>
      <c r="G107" s="767"/>
      <c r="H107" s="767"/>
      <c r="I107" s="768" t="str">
        <f>IF(AND(L18,NOT(L19)),"[vorläufig]  ",IF(AND(NOT(L18),L19),"[endgültig]  ",""))</f>
        <v xml:space="preserve">[vorläufig]  </v>
      </c>
      <c r="J107" s="294">
        <f>J105+J104</f>
        <v>158955.59898400001</v>
      </c>
      <c r="M107" s="207"/>
    </row>
    <row r="108" spans="1:15" ht="16.7">
      <c r="A108" s="605"/>
      <c r="C108" s="222"/>
    </row>
    <row r="109" spans="1:15" s="157" customFormat="1" ht="16.7">
      <c r="A109" s="614"/>
      <c r="B109" s="615"/>
      <c r="C109" s="616" t="s">
        <v>338</v>
      </c>
      <c r="D109" s="617"/>
      <c r="E109" s="617"/>
      <c r="F109" s="617"/>
      <c r="G109" s="617"/>
      <c r="H109" s="617"/>
      <c r="I109" s="618"/>
      <c r="J109" s="619"/>
      <c r="L109" s="645"/>
      <c r="M109" s="164"/>
      <c r="N109" s="164"/>
      <c r="O109" s="164"/>
    </row>
    <row r="110" spans="1:15" ht="16.600000000000001" customHeight="1">
      <c r="A110" s="605"/>
      <c r="B110" s="621">
        <v>15</v>
      </c>
      <c r="C110" s="130" t="s">
        <v>156</v>
      </c>
      <c r="D110" s="769"/>
      <c r="E110" s="128"/>
      <c r="F110" s="128"/>
      <c r="G110" s="128"/>
      <c r="H110" s="128"/>
      <c r="I110" s="128"/>
      <c r="J110" s="138"/>
    </row>
    <row r="111" spans="1:15" ht="16.600000000000001" customHeight="1">
      <c r="A111" s="605"/>
      <c r="B111" s="651" t="s">
        <v>344</v>
      </c>
      <c r="C111" s="770"/>
      <c r="D111" s="1581" t="s">
        <v>157</v>
      </c>
      <c r="E111" s="1582"/>
      <c r="F111" s="1582"/>
      <c r="G111" s="1582"/>
      <c r="H111" s="771" t="s">
        <v>410</v>
      </c>
      <c r="I111" s="772"/>
      <c r="J111" s="181"/>
      <c r="L111" s="140" t="b">
        <v>1</v>
      </c>
      <c r="O111" s="208"/>
    </row>
    <row r="112" spans="1:15" ht="16.600000000000001" customHeight="1">
      <c r="A112" s="605"/>
      <c r="B112" s="651" t="s">
        <v>863</v>
      </c>
      <c r="C112" s="773"/>
      <c r="D112" s="1581" t="s">
        <v>158</v>
      </c>
      <c r="E112" s="1582"/>
      <c r="F112" s="1582"/>
      <c r="G112" s="1582"/>
      <c r="H112" s="771" t="s">
        <v>410</v>
      </c>
      <c r="I112" s="774"/>
      <c r="J112" s="181"/>
      <c r="L112" s="140" t="b">
        <v>1</v>
      </c>
    </row>
    <row r="113" spans="1:22" ht="16.600000000000001" customHeight="1">
      <c r="A113" s="605"/>
      <c r="B113" s="652" t="s">
        <v>864</v>
      </c>
      <c r="C113" s="773"/>
      <c r="D113" s="1583" t="s">
        <v>865</v>
      </c>
      <c r="E113" s="1584"/>
      <c r="F113" s="1584"/>
      <c r="G113" s="1584"/>
      <c r="H113" s="775" t="s">
        <v>410</v>
      </c>
      <c r="I113" s="772"/>
      <c r="J113" s="181"/>
      <c r="L113" s="140" t="b">
        <v>1</v>
      </c>
      <c r="N113" s="209" t="s">
        <v>914</v>
      </c>
    </row>
    <row r="114" spans="1:22" ht="7.5" customHeight="1">
      <c r="A114" s="605"/>
      <c r="B114" s="641"/>
      <c r="C114" s="121"/>
      <c r="D114" s="121"/>
      <c r="E114" s="121"/>
      <c r="F114" s="642"/>
      <c r="G114" s="643"/>
      <c r="H114" s="643"/>
      <c r="I114" s="643"/>
      <c r="J114" s="137"/>
      <c r="L114" s="644"/>
    </row>
    <row r="115" spans="1:22" ht="16.600000000000001" customHeight="1">
      <c r="A115" s="605"/>
      <c r="B115" s="621">
        <v>16</v>
      </c>
      <c r="C115" s="776" t="s">
        <v>866</v>
      </c>
      <c r="D115" s="777"/>
      <c r="E115" s="777"/>
      <c r="F115" s="777"/>
      <c r="G115" s="777"/>
      <c r="H115" s="673"/>
      <c r="I115" s="778"/>
      <c r="J115" s="779"/>
      <c r="N115" s="780"/>
      <c r="O115" s="781" t="s">
        <v>867</v>
      </c>
      <c r="P115" s="781" t="s">
        <v>868</v>
      </c>
      <c r="Q115" s="781" t="s">
        <v>535</v>
      </c>
      <c r="R115" s="781" t="s">
        <v>537</v>
      </c>
      <c r="S115" s="781" t="s">
        <v>538</v>
      </c>
      <c r="T115" s="782"/>
      <c r="U115" s="783"/>
    </row>
    <row r="116" spans="1:22" ht="16.600000000000001" customHeight="1">
      <c r="A116" s="605"/>
      <c r="B116" s="57"/>
      <c r="C116" s="758"/>
      <c r="D116" s="759" t="s">
        <v>345</v>
      </c>
      <c r="E116" s="759"/>
      <c r="F116" s="759"/>
      <c r="G116" s="759"/>
      <c r="H116" s="784" t="s">
        <v>339</v>
      </c>
      <c r="I116" s="785"/>
      <c r="J116" s="195"/>
      <c r="N116" s="786" t="s">
        <v>869</v>
      </c>
      <c r="O116" s="206" t="b">
        <f>IF(SUM(P116:R116)&gt;0,TRUE,FALSE)</f>
        <v>1</v>
      </c>
      <c r="P116" s="184">
        <f>'StB-C1 Grundlstg'!J42+'HB-C1 Grundlstg Land'!J27+'HB-C2 Grundlstg Bund'!J27</f>
        <v>1.7</v>
      </c>
      <c r="Q116" s="109" t="str">
        <f>'StB-D1 Besondere Lstg'!K24</f>
        <v/>
      </c>
      <c r="R116" s="109">
        <f>'HB-D1 Besondere Lstg Land'!K20</f>
        <v>0</v>
      </c>
      <c r="S116" s="184"/>
      <c r="T116" s="109"/>
      <c r="U116" s="787"/>
      <c r="V116" s="184"/>
    </row>
    <row r="117" spans="1:22" ht="16.600000000000001" customHeight="1">
      <c r="A117" s="605"/>
      <c r="B117" s="792"/>
      <c r="C117" s="139"/>
      <c r="D117" s="793"/>
      <c r="E117" s="9" t="s">
        <v>1224</v>
      </c>
      <c r="F117" s="9"/>
      <c r="G117" s="12"/>
      <c r="H117" s="9"/>
      <c r="I117" s="29"/>
      <c r="J117" s="46"/>
      <c r="L117" s="155" t="b">
        <v>0</v>
      </c>
      <c r="N117" s="786" t="s">
        <v>872</v>
      </c>
      <c r="O117" s="206" t="b">
        <f>IF(SUM(P117:R117)&gt;0,TRUE,FALSE)</f>
        <v>1</v>
      </c>
      <c r="P117" s="184">
        <f>'StB-C1 Grundlstg'!J115+'HB-C1 Grundlstg Land'!J58+'HB-C2 Grundlstg Bund'!J58</f>
        <v>19</v>
      </c>
      <c r="Q117" s="109" t="str">
        <f>'StB-D1 Besondere Lstg'!K47</f>
        <v/>
      </c>
      <c r="R117" s="109">
        <f>'HB-D1 Besondere Lstg Land'!K29</f>
        <v>0</v>
      </c>
      <c r="S117" s="184"/>
      <c r="T117" s="109"/>
      <c r="U117" s="787"/>
    </row>
    <row r="118" spans="1:22" ht="16.600000000000001" customHeight="1">
      <c r="A118" s="605"/>
      <c r="B118" s="792"/>
      <c r="C118" s="180"/>
      <c r="D118" s="793"/>
      <c r="E118" s="596" t="s">
        <v>877</v>
      </c>
      <c r="F118" s="596"/>
      <c r="G118" s="595"/>
      <c r="H118" s="596"/>
      <c r="I118" s="794"/>
      <c r="J118" s="46"/>
      <c r="L118" s="155" t="b">
        <v>0</v>
      </c>
      <c r="N118" s="786" t="s">
        <v>875</v>
      </c>
      <c r="O118" s="206" t="b">
        <f>IF(SUM(P118:R118)&gt;0,TRUE,FALSE)</f>
        <v>1</v>
      </c>
      <c r="P118" s="184">
        <f>'StB-C1 Grundlstg'!J209+'HB-C1 Grundlstg Land'!J93+'HB-C2 Grundlstg Bund'!J95</f>
        <v>23.5</v>
      </c>
      <c r="Q118" s="109" t="str">
        <f>'StB-D1 Besondere Lstg'!K80</f>
        <v/>
      </c>
      <c r="R118" s="109">
        <f>'HB-D1 Besondere Lstg Land'!K38</f>
        <v>0</v>
      </c>
      <c r="S118" s="184"/>
      <c r="T118" s="109"/>
      <c r="U118" s="787"/>
    </row>
    <row r="119" spans="1:22" ht="16.600000000000001" customHeight="1">
      <c r="A119" s="605"/>
      <c r="B119" s="652" t="s">
        <v>870</v>
      </c>
      <c r="C119" s="788" t="str">
        <f>IF(AND(L117,NOT(L118)),"","1")</f>
        <v>1</v>
      </c>
      <c r="D119" s="789" t="str">
        <f>IF(AND(L117,NOT(L118)),"alle vertraglichen Leistungsphasen",D86)</f>
        <v>Grundlagenermittlung</v>
      </c>
      <c r="E119" s="789"/>
      <c r="F119" s="789"/>
      <c r="G119" s="790" t="s">
        <v>871</v>
      </c>
      <c r="H119" s="1563"/>
      <c r="I119" s="1564"/>
      <c r="J119" s="46"/>
      <c r="N119" s="786" t="s">
        <v>876</v>
      </c>
      <c r="O119" s="206" t="b">
        <f>IF(SUM(P119:R119)&gt;0,TRUE,FALSE)</f>
        <v>1</v>
      </c>
      <c r="P119" s="184">
        <f>'StB-C1 Grundlstg'!J242+'HB-C1 Grundlstg Land'!J108+'HB-C2 Grundlstg Bund'!J110</f>
        <v>8</v>
      </c>
      <c r="Q119" s="109" t="str">
        <f>'StB-D1 Besondere Lstg'!K93</f>
        <v/>
      </c>
      <c r="R119" s="109">
        <f>'HB-D1 Besondere Lstg Land'!K47</f>
        <v>0</v>
      </c>
      <c r="S119" s="184">
        <f>'HB-D2 Besondere Lstg Bund'!K28</f>
        <v>0</v>
      </c>
      <c r="T119" s="109" t="b">
        <f>AND(Projektgrundlagen!$I$33,IF(COUNTIF('HB-D2 Besondere Lstg Bund'!M14:M27,TRUE)&gt;0,1,0))</f>
        <v>0</v>
      </c>
      <c r="U119" s="787"/>
    </row>
    <row r="120" spans="1:22" ht="16.600000000000001" customHeight="1">
      <c r="A120" s="605"/>
      <c r="B120" s="652" t="s">
        <v>873</v>
      </c>
      <c r="C120" s="10"/>
      <c r="D120" s="11"/>
      <c r="E120" s="11"/>
      <c r="F120" s="11"/>
      <c r="G120" s="791" t="s">
        <v>874</v>
      </c>
      <c r="H120" s="1561"/>
      <c r="I120" s="1562"/>
      <c r="J120" s="46"/>
      <c r="N120" s="786" t="s">
        <v>878</v>
      </c>
      <c r="O120" s="206" t="b">
        <f>IF(SUM(P120:S120)&gt;0,TRUE,FALSE)</f>
        <v>1</v>
      </c>
      <c r="P120" s="184">
        <f>'StB-C1 Grundlstg'!J291+'HB-C1 Grundlstg Land'!J119+'HB-C2 Grundlstg Bund'!J123</f>
        <v>15</v>
      </c>
      <c r="Q120" s="109" t="str">
        <f>'StB-D1 Besondere Lstg'!K106</f>
        <v/>
      </c>
      <c r="R120" s="109">
        <f>'HB-D1 Besondere Lstg Land'!K56</f>
        <v>0</v>
      </c>
      <c r="S120" s="184">
        <f>'HB-D2 Besondere Lstg Bund'!K43</f>
        <v>0</v>
      </c>
      <c r="T120" s="109"/>
      <c r="U120" s="787"/>
    </row>
    <row r="121" spans="1:22" ht="16.600000000000001" customHeight="1">
      <c r="A121" s="605"/>
      <c r="B121" s="56" t="s">
        <v>879</v>
      </c>
      <c r="C121" s="795">
        <v>2</v>
      </c>
      <c r="D121" s="789" t="str">
        <f>D87</f>
        <v xml:space="preserve">Vorplanung </v>
      </c>
      <c r="E121" s="789"/>
      <c r="F121" s="789"/>
      <c r="G121" s="790" t="s">
        <v>871</v>
      </c>
      <c r="H121" s="1563"/>
      <c r="I121" s="1564"/>
      <c r="J121" s="46"/>
      <c r="N121" s="786" t="s">
        <v>880</v>
      </c>
      <c r="O121" s="206" t="b">
        <f>IF(SUM(P121:R121)&gt;0,TRUE,FALSE)</f>
        <v>1</v>
      </c>
      <c r="P121" s="184">
        <f>'StB-C1 Grundlstg'!J319+'HB-C1 Grundlstg Land'!J137+'HB-C2 Grundlstg Bund'!J141</f>
        <v>9.5</v>
      </c>
      <c r="Q121" s="109" t="str">
        <f>'StB-D1 Besondere Lstg'!K115</f>
        <v/>
      </c>
      <c r="R121" s="109">
        <f>'HB-D1 Besondere Lstg Land'!K65</f>
        <v>0</v>
      </c>
      <c r="S121" s="184"/>
      <c r="T121" s="109"/>
      <c r="U121" s="787"/>
    </row>
    <row r="122" spans="1:22" ht="16.600000000000001" customHeight="1">
      <c r="A122" s="605"/>
      <c r="B122" s="56" t="s">
        <v>881</v>
      </c>
      <c r="C122" s="10"/>
      <c r="D122" s="11"/>
      <c r="E122" s="11"/>
      <c r="F122" s="11"/>
      <c r="G122" s="791" t="s">
        <v>874</v>
      </c>
      <c r="H122" s="1561"/>
      <c r="I122" s="1562"/>
      <c r="J122" s="46"/>
      <c r="N122" s="786" t="s">
        <v>882</v>
      </c>
      <c r="O122" s="206" t="b">
        <f>IF(SUM(P122:R122)&gt;0,TRUE,FALSE)</f>
        <v>0</v>
      </c>
      <c r="P122" s="184">
        <f>'StB-C1 Grundlstg'!J350+'HB-C1 Grundlstg Land'!J160+'HB-C2 Grundlstg Bund'!J164</f>
        <v>0</v>
      </c>
      <c r="Q122" s="109" t="str">
        <f>'StB-D1 Besondere Lstg'!K124</f>
        <v/>
      </c>
      <c r="R122" s="109">
        <f>'HB-D1 Besondere Lstg Land'!K74</f>
        <v>0</v>
      </c>
      <c r="S122" s="184">
        <f>'HB-D2 Besondere Lstg Bund'!K58</f>
        <v>0</v>
      </c>
      <c r="T122" s="109" t="b">
        <f>AND(Projektgrundlagen!$I$33,IF(COUNTIF('HB-D2 Besondere Lstg Bund'!M46:M57,TRUE)&gt;0,1,0))</f>
        <v>0</v>
      </c>
      <c r="U122" s="787"/>
    </row>
    <row r="123" spans="1:22" ht="16.600000000000001" customHeight="1">
      <c r="A123" s="605"/>
      <c r="B123" s="56" t="s">
        <v>883</v>
      </c>
      <c r="C123" s="795">
        <v>3</v>
      </c>
      <c r="D123" s="789" t="str">
        <f>D88</f>
        <v xml:space="preserve">Entwurfsplanung </v>
      </c>
      <c r="E123" s="789"/>
      <c r="F123" s="789"/>
      <c r="G123" s="790" t="s">
        <v>871</v>
      </c>
      <c r="H123" s="1563"/>
      <c r="I123" s="1564"/>
      <c r="J123" s="46"/>
      <c r="N123" s="786" t="s">
        <v>884</v>
      </c>
      <c r="O123" s="206" t="b">
        <f>IF(SUM(P123:S123)&gt;0,TRUE,FALSE)</f>
        <v>1</v>
      </c>
      <c r="P123" s="184">
        <f>'StB-C1 Grundlstg'!J384+'HB-C1 Grundlstg Land'!J186+'HB-C2 Grundlstg Bund'!J192</f>
        <v>9</v>
      </c>
      <c r="Q123" s="109">
        <f>'StB-D1 Besondere Lstg'!K212</f>
        <v>0</v>
      </c>
      <c r="R123" s="109">
        <f>'HB-D1 Besondere Lstg Land'!K111</f>
        <v>0</v>
      </c>
      <c r="S123" s="184">
        <f>'HB-D2 Besondere Lstg Bund'!K95</f>
        <v>0</v>
      </c>
      <c r="T123" s="109"/>
      <c r="U123" s="787"/>
    </row>
    <row r="124" spans="1:22" ht="16.600000000000001" customHeight="1">
      <c r="A124" s="605"/>
      <c r="B124" s="56" t="s">
        <v>885</v>
      </c>
      <c r="C124" s="10"/>
      <c r="D124" s="11"/>
      <c r="E124" s="11"/>
      <c r="F124" s="11"/>
      <c r="G124" s="791" t="s">
        <v>874</v>
      </c>
      <c r="H124" s="1561"/>
      <c r="I124" s="1562"/>
      <c r="J124" s="46"/>
      <c r="N124" s="786" t="s">
        <v>886</v>
      </c>
      <c r="O124" s="206" t="b">
        <f>IF(SUM(P124:S124)&gt;0,TRUE,FALSE)</f>
        <v>0</v>
      </c>
      <c r="P124" s="184">
        <f>'StB-C1 Grundlstg'!J396+'HB-C1 Grundlstg Land'!J195+'HB-C2 Grundlstg Bund'!J201</f>
        <v>0</v>
      </c>
      <c r="Q124" s="109" t="str">
        <f>'StB-D1 Besondere Lstg'!K219</f>
        <v/>
      </c>
      <c r="R124" s="109">
        <f>'HB-D1 Besondere Lstg Land'!K127</f>
        <v>0</v>
      </c>
      <c r="S124" s="184">
        <f>'HB-D2 Besondere Lstg Bund'!K110</f>
        <v>0</v>
      </c>
      <c r="T124" s="109"/>
      <c r="U124" s="787"/>
    </row>
    <row r="125" spans="1:22" ht="16.600000000000001" customHeight="1">
      <c r="A125" s="605"/>
      <c r="B125" s="56" t="s">
        <v>887</v>
      </c>
      <c r="C125" s="795">
        <v>4</v>
      </c>
      <c r="D125" s="789" t="str">
        <f>D89</f>
        <v xml:space="preserve">Genehmigungsplanung </v>
      </c>
      <c r="E125" s="789"/>
      <c r="F125" s="789"/>
      <c r="G125" s="790" t="s">
        <v>871</v>
      </c>
      <c r="H125" s="1563"/>
      <c r="I125" s="1564"/>
      <c r="J125" s="46"/>
      <c r="N125" s="796" t="s">
        <v>888</v>
      </c>
      <c r="O125" s="797"/>
      <c r="P125" s="798">
        <f>SUM(P116:P124)</f>
        <v>85.7</v>
      </c>
      <c r="Q125" s="798">
        <f t="shared" ref="Q125:S125" si="1">SUM(Q116:Q124)</f>
        <v>0</v>
      </c>
      <c r="R125" s="798">
        <f t="shared" si="1"/>
        <v>0</v>
      </c>
      <c r="S125" s="798">
        <f t="shared" si="1"/>
        <v>0</v>
      </c>
      <c r="T125" s="799"/>
      <c r="U125" s="783"/>
    </row>
    <row r="126" spans="1:22" ht="16.600000000000001" customHeight="1">
      <c r="A126" s="605"/>
      <c r="B126" s="56" t="s">
        <v>889</v>
      </c>
      <c r="C126" s="10"/>
      <c r="D126" s="11"/>
      <c r="E126" s="11"/>
      <c r="F126" s="11"/>
      <c r="G126" s="791" t="s">
        <v>874</v>
      </c>
      <c r="H126" s="1561"/>
      <c r="I126" s="1562"/>
      <c r="J126" s="46"/>
    </row>
    <row r="127" spans="1:22" ht="16.600000000000001" customHeight="1">
      <c r="A127" s="605"/>
      <c r="B127" s="56" t="s">
        <v>890</v>
      </c>
      <c r="C127" s="795">
        <v>5</v>
      </c>
      <c r="D127" s="789" t="str">
        <f>D91</f>
        <v xml:space="preserve">Ausführungsplanung </v>
      </c>
      <c r="E127" s="789"/>
      <c r="F127" s="789"/>
      <c r="G127" s="790" t="s">
        <v>871</v>
      </c>
      <c r="H127" s="1563"/>
      <c r="I127" s="1564"/>
      <c r="J127" s="46"/>
    </row>
    <row r="128" spans="1:22" ht="16.600000000000001" customHeight="1">
      <c r="A128" s="605"/>
      <c r="B128" s="56" t="s">
        <v>891</v>
      </c>
      <c r="C128" s="10"/>
      <c r="D128" s="11"/>
      <c r="E128" s="11"/>
      <c r="F128" s="11"/>
      <c r="G128" s="791" t="s">
        <v>874</v>
      </c>
      <c r="H128" s="1561"/>
      <c r="I128" s="1562"/>
      <c r="J128" s="46"/>
    </row>
    <row r="129" spans="1:12" ht="16.600000000000001" customHeight="1">
      <c r="A129" s="605"/>
      <c r="B129" s="56" t="s">
        <v>892</v>
      </c>
      <c r="C129" s="795">
        <v>6</v>
      </c>
      <c r="D129" s="789" t="str">
        <f>D92</f>
        <v>Vorbereitung der Vergabe</v>
      </c>
      <c r="E129" s="789"/>
      <c r="F129" s="789"/>
      <c r="G129" s="790" t="s">
        <v>871</v>
      </c>
      <c r="H129" s="1563"/>
      <c r="I129" s="1564"/>
      <c r="J129" s="46"/>
    </row>
    <row r="130" spans="1:12" ht="16.600000000000001" customHeight="1">
      <c r="A130" s="605"/>
      <c r="B130" s="56" t="s">
        <v>893</v>
      </c>
      <c r="C130" s="10"/>
      <c r="D130" s="11"/>
      <c r="E130" s="11"/>
      <c r="F130" s="11"/>
      <c r="G130" s="791" t="s">
        <v>874</v>
      </c>
      <c r="H130" s="1561"/>
      <c r="I130" s="1562"/>
      <c r="J130" s="46"/>
    </row>
    <row r="131" spans="1:12" ht="16.600000000000001" customHeight="1">
      <c r="A131" s="605"/>
      <c r="B131" s="56" t="s">
        <v>894</v>
      </c>
      <c r="C131" s="795">
        <v>7</v>
      </c>
      <c r="D131" s="789" t="str">
        <f>D93</f>
        <v>Mitwirkung bei der Vergabe</v>
      </c>
      <c r="E131" s="789"/>
      <c r="F131" s="789"/>
      <c r="G131" s="790" t="s">
        <v>871</v>
      </c>
      <c r="H131" s="1563"/>
      <c r="I131" s="1564"/>
      <c r="J131" s="46"/>
    </row>
    <row r="132" spans="1:12" ht="16.600000000000001" customHeight="1">
      <c r="A132" s="605"/>
      <c r="B132" s="56" t="s">
        <v>895</v>
      </c>
      <c r="C132" s="10"/>
      <c r="D132" s="11"/>
      <c r="E132" s="11"/>
      <c r="F132" s="11"/>
      <c r="G132" s="791" t="s">
        <v>874</v>
      </c>
      <c r="H132" s="1561"/>
      <c r="I132" s="1562"/>
      <c r="J132" s="46"/>
    </row>
    <row r="133" spans="1:12" ht="16.600000000000001" customHeight="1">
      <c r="A133" s="605"/>
      <c r="B133" s="56" t="s">
        <v>896</v>
      </c>
      <c r="C133" s="795">
        <v>8</v>
      </c>
      <c r="D133" s="789" t="str">
        <f>D95</f>
        <v xml:space="preserve">Bauoberleitung </v>
      </c>
      <c r="E133" s="789"/>
      <c r="F133" s="789"/>
      <c r="G133" s="790" t="s">
        <v>871</v>
      </c>
      <c r="H133" s="1563"/>
      <c r="I133" s="1564"/>
      <c r="J133" s="46"/>
    </row>
    <row r="134" spans="1:12" ht="16.600000000000001" customHeight="1">
      <c r="A134" s="605"/>
      <c r="B134" s="56" t="s">
        <v>897</v>
      </c>
      <c r="C134" s="10"/>
      <c r="D134" s="11"/>
      <c r="E134" s="11"/>
      <c r="F134" s="11"/>
      <c r="G134" s="791" t="s">
        <v>874</v>
      </c>
      <c r="H134" s="1561"/>
      <c r="I134" s="1562"/>
      <c r="J134" s="46"/>
    </row>
    <row r="135" spans="1:12" ht="16.600000000000001" customHeight="1">
      <c r="A135" s="605"/>
      <c r="B135" s="56" t="s">
        <v>898</v>
      </c>
      <c r="C135" s="795">
        <v>9</v>
      </c>
      <c r="D135" s="789" t="str">
        <f>D96</f>
        <v>Objektbetreuung</v>
      </c>
      <c r="E135" s="789"/>
      <c r="F135" s="789"/>
      <c r="G135" s="790" t="s">
        <v>871</v>
      </c>
      <c r="H135" s="1563"/>
      <c r="I135" s="1564"/>
      <c r="J135" s="46"/>
    </row>
    <row r="136" spans="1:12" ht="16.600000000000001" customHeight="1">
      <c r="A136" s="605"/>
      <c r="B136" s="102" t="s">
        <v>899</v>
      </c>
      <c r="C136" s="10"/>
      <c r="D136" s="11"/>
      <c r="E136" s="11"/>
      <c r="F136" s="11"/>
      <c r="G136" s="791" t="s">
        <v>874</v>
      </c>
      <c r="H136" s="1561"/>
      <c r="I136" s="1562"/>
      <c r="J136" s="53"/>
    </row>
    <row r="137" spans="1:12" ht="16.7">
      <c r="A137" s="605"/>
      <c r="B137" s="762"/>
      <c r="C137" s="9"/>
      <c r="D137" s="9"/>
      <c r="E137" s="9"/>
      <c r="F137" s="9"/>
      <c r="G137" s="9"/>
      <c r="H137" s="9"/>
      <c r="I137" s="9"/>
      <c r="J137" s="9"/>
    </row>
    <row r="138" spans="1:12" ht="18" customHeight="1">
      <c r="A138" s="605"/>
      <c r="B138" s="800" t="s">
        <v>900</v>
      </c>
      <c r="C138" s="801" t="s">
        <v>467</v>
      </c>
      <c r="D138" s="801"/>
      <c r="E138" s="801"/>
      <c r="F138" s="801"/>
      <c r="G138" s="801"/>
      <c r="H138" s="801"/>
      <c r="I138" s="801"/>
      <c r="J138" s="802"/>
      <c r="L138" s="155" t="b">
        <v>0</v>
      </c>
    </row>
    <row r="139" spans="1:12" ht="16.600000000000001" customHeight="1">
      <c r="A139" s="605"/>
      <c r="B139" s="803"/>
      <c r="C139" s="12"/>
      <c r="D139" s="9" t="s">
        <v>418</v>
      </c>
      <c r="E139" s="9"/>
      <c r="F139" s="9"/>
      <c r="G139" s="9"/>
      <c r="H139" s="9"/>
      <c r="I139" s="9"/>
      <c r="J139" s="104"/>
    </row>
    <row r="140" spans="1:12" ht="16.600000000000001" customHeight="1">
      <c r="A140" s="605"/>
      <c r="B140" s="626" t="s">
        <v>901</v>
      </c>
      <c r="C140" s="735" t="s">
        <v>403</v>
      </c>
      <c r="D140" s="247"/>
      <c r="E140" s="247"/>
      <c r="F140" s="782"/>
      <c r="G140" s="782"/>
      <c r="H140" s="782"/>
      <c r="I140" s="804"/>
      <c r="J140" s="180"/>
    </row>
    <row r="141" spans="1:12" ht="16.600000000000001" customHeight="1">
      <c r="A141" s="605"/>
      <c r="B141" s="678" t="s">
        <v>902</v>
      </c>
      <c r="C141" s="594"/>
      <c r="D141" s="736" t="str">
        <f>D111</f>
        <v>Ingenieur nach Ing.-Gesetz</v>
      </c>
      <c r="E141" s="247"/>
      <c r="F141" s="247"/>
      <c r="G141" s="736"/>
      <c r="H141" s="771" t="s">
        <v>89</v>
      </c>
      <c r="I141" s="805"/>
      <c r="J141" s="182" t="str">
        <f>IF(AND(L138,L111,J107&gt;0,I141&gt;0),I111*I141,"")</f>
        <v/>
      </c>
    </row>
    <row r="142" spans="1:12" ht="16.600000000000001" customHeight="1">
      <c r="A142" s="605"/>
      <c r="B142" s="678" t="s">
        <v>903</v>
      </c>
      <c r="C142" s="594"/>
      <c r="D142" s="736" t="str">
        <f>D112</f>
        <v>Techniker</v>
      </c>
      <c r="E142" s="247"/>
      <c r="F142" s="247"/>
      <c r="G142" s="736"/>
      <c r="H142" s="771" t="s">
        <v>89</v>
      </c>
      <c r="I142" s="805"/>
      <c r="J142" s="182" t="str">
        <f>IF(AND(L138,L112,J107&gt;0,I142&gt;0),I112*I142,"")</f>
        <v/>
      </c>
    </row>
    <row r="143" spans="1:12" ht="16.600000000000001" customHeight="1">
      <c r="A143" s="605"/>
      <c r="B143" s="635" t="s">
        <v>904</v>
      </c>
      <c r="C143" s="806"/>
      <c r="D143" s="807" t="str">
        <f>D113</f>
        <v xml:space="preserve">Technische Zeichner, sonst. Mitarbeiter </v>
      </c>
      <c r="E143" s="782"/>
      <c r="F143" s="782"/>
      <c r="G143" s="808"/>
      <c r="H143" s="809" t="s">
        <v>89</v>
      </c>
      <c r="I143" s="805"/>
      <c r="J143" s="182" t="str">
        <f>IF(AND(L138,L113,J107&gt;0,I143&gt;0),I113*I143,"")</f>
        <v/>
      </c>
    </row>
    <row r="144" spans="1:12" ht="16.600000000000001" customHeight="1">
      <c r="A144" s="605"/>
      <c r="B144" s="712">
        <v>18</v>
      </c>
      <c r="C144" s="810" t="s">
        <v>411</v>
      </c>
      <c r="D144" s="789"/>
      <c r="E144" s="789"/>
      <c r="F144" s="789"/>
      <c r="G144" s="811"/>
      <c r="H144" s="812" t="s">
        <v>133</v>
      </c>
      <c r="I144" s="813" t="s">
        <v>905</v>
      </c>
      <c r="J144" s="814"/>
    </row>
    <row r="145" spans="1:15" ht="16.600000000000001" customHeight="1">
      <c r="A145" s="605"/>
      <c r="B145" s="635" t="s">
        <v>402</v>
      </c>
      <c r="C145" s="815"/>
      <c r="D145" s="1565" t="str">
        <f>IF(AND(L97,L101),IF(E101="","",E101),"Inhalt aus Z 11.3")</f>
        <v>Inhalt aus Z 11.3</v>
      </c>
      <c r="E145" s="1565"/>
      <c r="F145" s="1565"/>
      <c r="G145" s="1566"/>
      <c r="H145" s="805"/>
      <c r="I145" s="816"/>
      <c r="J145" s="196" t="str">
        <f>IF(AND(L138,L97,L101,J107&gt;0,H145&gt;0),H145*I145,"")</f>
        <v/>
      </c>
      <c r="M145" s="209" t="s">
        <v>477</v>
      </c>
    </row>
    <row r="146" spans="1:15" ht="16.600000000000001" customHeight="1">
      <c r="A146" s="605"/>
      <c r="B146" s="635" t="s">
        <v>906</v>
      </c>
      <c r="C146" s="817"/>
      <c r="D146" s="1559"/>
      <c r="E146" s="1559"/>
      <c r="F146" s="1559"/>
      <c r="G146" s="1560"/>
      <c r="H146" s="96"/>
      <c r="I146" s="199"/>
      <c r="J146" s="182" t="str">
        <f>IF(AND(L138,J107&gt;0,H146&gt;0),H146*I146,"")</f>
        <v/>
      </c>
    </row>
    <row r="147" spans="1:15" ht="16.600000000000001" customHeight="1">
      <c r="A147" s="605"/>
      <c r="B147" s="712">
        <v>19</v>
      </c>
      <c r="C147" s="666" t="s">
        <v>408</v>
      </c>
      <c r="D147" s="666"/>
      <c r="E147" s="666"/>
      <c r="F147" s="666"/>
      <c r="G147" s="666"/>
      <c r="H147" s="666"/>
      <c r="I147" s="818"/>
      <c r="J147" s="289" t="str">
        <f>IF(L138,SUM(J141:J146),"")</f>
        <v/>
      </c>
    </row>
    <row r="148" spans="1:15" ht="7.5" customHeight="1">
      <c r="A148" s="605"/>
      <c r="B148" s="819"/>
      <c r="C148" s="117"/>
      <c r="D148" s="137"/>
      <c r="E148" s="137"/>
      <c r="F148" s="137"/>
      <c r="G148" s="137"/>
      <c r="H148" s="137"/>
      <c r="I148" s="137"/>
      <c r="J148" s="287"/>
    </row>
    <row r="149" spans="1:15" s="157" customFormat="1" ht="19.45" customHeight="1">
      <c r="A149" s="614"/>
      <c r="B149" s="615"/>
      <c r="C149" s="616" t="s">
        <v>907</v>
      </c>
      <c r="D149" s="617"/>
      <c r="E149" s="617"/>
      <c r="F149" s="617"/>
      <c r="G149" s="617"/>
      <c r="H149" s="617"/>
      <c r="I149" s="618"/>
      <c r="J149" s="754"/>
      <c r="L149" s="645"/>
      <c r="M149" s="164"/>
      <c r="N149" s="164"/>
      <c r="O149" s="164"/>
    </row>
    <row r="150" spans="1:15" ht="16.600000000000001" customHeight="1">
      <c r="A150" s="605"/>
      <c r="B150" s="756">
        <v>20</v>
      </c>
      <c r="C150" s="137"/>
      <c r="D150" s="117" t="s">
        <v>908</v>
      </c>
      <c r="E150" s="137"/>
      <c r="F150" s="137"/>
      <c r="G150" s="820"/>
      <c r="H150" s="137"/>
      <c r="I150" s="27"/>
      <c r="J150" s="82">
        <f>SUM(J104,J147)</f>
        <v>133576.1336</v>
      </c>
    </row>
    <row r="151" spans="1:15" ht="16.600000000000001" customHeight="1">
      <c r="A151" s="605"/>
      <c r="B151" s="757">
        <v>21</v>
      </c>
      <c r="C151" s="759"/>
      <c r="D151" s="759" t="s">
        <v>484</v>
      </c>
      <c r="E151" s="759"/>
      <c r="F151" s="759"/>
      <c r="G151" s="759"/>
      <c r="H151" s="759"/>
      <c r="I151" s="821">
        <f>I105</f>
        <v>0.19</v>
      </c>
      <c r="J151" s="822">
        <f>J150*I151</f>
        <v>25379.465383999999</v>
      </c>
    </row>
    <row r="152" spans="1:15" ht="17.3" thickBot="1">
      <c r="B152" s="762"/>
      <c r="C152" s="763"/>
      <c r="D152" s="9"/>
      <c r="E152" s="9"/>
      <c r="F152" s="9"/>
      <c r="G152" s="9"/>
      <c r="H152" s="9"/>
      <c r="I152" s="9"/>
      <c r="J152" s="764"/>
    </row>
    <row r="153" spans="1:15" ht="29.95" customHeight="1" thickBot="1">
      <c r="B153" s="765">
        <v>22</v>
      </c>
      <c r="C153" s="767" t="str">
        <f>IF(I151&lt;=0,"Angebotssumme netto","Angebotssumme brutto")</f>
        <v>Angebotssumme brutto</v>
      </c>
      <c r="D153" s="767"/>
      <c r="E153" s="767"/>
      <c r="F153" s="767"/>
      <c r="G153" s="767"/>
      <c r="H153" s="767"/>
      <c r="I153" s="823"/>
      <c r="J153" s="294">
        <f>J151+J150</f>
        <v>158955.59898400001</v>
      </c>
    </row>
    <row r="154" spans="1:15" ht="16.7">
      <c r="C154" s="222"/>
      <c r="D154" s="222" t="s">
        <v>909</v>
      </c>
      <c r="E154" s="222"/>
    </row>
    <row r="155" spans="1:15" ht="16.7"/>
    <row r="156" spans="1:15" ht="16.7" hidden="1"/>
    <row r="157" spans="1:15" ht="16.7" hidden="1"/>
    <row r="158" spans="1:15" ht="16.7" hidden="1"/>
    <row r="159" spans="1:15" ht="16.7" hidden="1"/>
    <row r="160" spans="1:15" ht="16.7" hidden="1"/>
    <row r="161" spans="2:23" ht="16.7" hidden="1"/>
    <row r="162" spans="2:23" ht="16.7" hidden="1"/>
    <row r="163" spans="2:23" ht="16.7" hidden="1"/>
    <row r="164" spans="2:23" ht="16.7" hidden="1"/>
    <row r="165" spans="2:23" ht="16.7" hidden="1"/>
    <row r="166" spans="2:23" ht="16.7" hidden="1"/>
    <row r="167" spans="2:23" ht="16.7" hidden="1"/>
    <row r="168" spans="2:23" ht="16.7" hidden="1"/>
    <row r="169" spans="2:23" ht="16.7" hidden="1"/>
    <row r="170" spans="2:23" s="218" customFormat="1" ht="16.7" hidden="1">
      <c r="B170" s="600"/>
      <c r="C170" s="7"/>
      <c r="D170" s="7"/>
      <c r="E170" s="7"/>
      <c r="F170" s="7"/>
      <c r="G170" s="7"/>
      <c r="H170" s="7"/>
      <c r="I170" s="7"/>
      <c r="J170" s="7"/>
      <c r="K170" s="7"/>
      <c r="L170" s="155"/>
      <c r="M170" s="140"/>
      <c r="N170" s="140"/>
      <c r="O170" s="140"/>
      <c r="P170" s="7"/>
      <c r="Q170" s="7"/>
      <c r="R170" s="7"/>
      <c r="S170" s="7"/>
      <c r="T170" s="7"/>
      <c r="U170" s="7"/>
      <c r="V170" s="7"/>
      <c r="W170" s="7"/>
    </row>
    <row r="171" spans="2:23" s="218" customFormat="1" ht="16.7" hidden="1">
      <c r="B171" s="600"/>
      <c r="C171" s="7"/>
      <c r="D171" s="7"/>
      <c r="E171" s="7"/>
      <c r="F171" s="7"/>
      <c r="G171" s="7"/>
      <c r="H171" s="7"/>
      <c r="I171" s="7"/>
      <c r="J171" s="7"/>
      <c r="K171" s="7"/>
      <c r="L171" s="155"/>
      <c r="M171" s="140"/>
      <c r="N171" s="140"/>
      <c r="O171" s="140"/>
      <c r="P171" s="7"/>
      <c r="Q171" s="7"/>
      <c r="R171" s="7"/>
      <c r="S171" s="7"/>
      <c r="T171" s="7"/>
      <c r="U171" s="7"/>
      <c r="V171" s="7"/>
      <c r="W171" s="7"/>
    </row>
    <row r="172" spans="2:23" s="218" customFormat="1" ht="16.7" hidden="1">
      <c r="B172" s="600"/>
      <c r="C172" s="7"/>
      <c r="D172" s="7"/>
      <c r="E172" s="7"/>
      <c r="F172" s="7"/>
      <c r="G172" s="7"/>
      <c r="H172" s="7"/>
      <c r="I172" s="7"/>
      <c r="J172" s="7"/>
      <c r="K172" s="7"/>
      <c r="L172" s="155"/>
      <c r="M172" s="140"/>
      <c r="N172" s="140"/>
      <c r="O172" s="140"/>
      <c r="P172" s="7"/>
      <c r="Q172" s="7"/>
      <c r="R172" s="7"/>
      <c r="S172" s="7"/>
      <c r="T172" s="7"/>
      <c r="U172" s="7"/>
      <c r="V172" s="7"/>
      <c r="W172" s="7"/>
    </row>
    <row r="173" spans="2:23" s="218" customFormat="1" ht="16.7" hidden="1">
      <c r="B173" s="600"/>
      <c r="C173" s="7"/>
      <c r="D173" s="7"/>
      <c r="E173" s="7"/>
      <c r="F173" s="7"/>
      <c r="G173" s="7"/>
      <c r="H173" s="7"/>
      <c r="I173" s="7"/>
      <c r="J173" s="7"/>
      <c r="K173" s="7"/>
      <c r="L173" s="155"/>
      <c r="M173" s="140"/>
      <c r="N173" s="140"/>
      <c r="O173" s="140"/>
      <c r="P173" s="7"/>
      <c r="Q173" s="7"/>
      <c r="R173" s="7"/>
      <c r="S173" s="7"/>
      <c r="T173" s="7"/>
      <c r="U173" s="7"/>
      <c r="V173" s="7"/>
      <c r="W173" s="7"/>
    </row>
    <row r="174" spans="2:23" s="218" customFormat="1" ht="16.7" hidden="1">
      <c r="B174" s="600"/>
      <c r="C174" s="7"/>
      <c r="D174" s="7"/>
      <c r="E174" s="7"/>
      <c r="F174" s="7"/>
      <c r="G174" s="7"/>
      <c r="H174" s="7"/>
      <c r="I174" s="7"/>
      <c r="J174" s="7"/>
      <c r="K174" s="7"/>
      <c r="L174" s="155"/>
      <c r="M174" s="140"/>
      <c r="N174" s="140"/>
      <c r="O174" s="140"/>
      <c r="P174" s="7"/>
      <c r="Q174" s="7"/>
      <c r="R174" s="7"/>
      <c r="S174" s="7"/>
      <c r="T174" s="7"/>
      <c r="U174" s="7"/>
      <c r="V174" s="7"/>
      <c r="W174" s="7"/>
    </row>
    <row r="175" spans="2:23" s="218" customFormat="1" ht="16.7" hidden="1">
      <c r="B175" s="600"/>
      <c r="C175" s="7"/>
      <c r="D175" s="7"/>
      <c r="E175" s="7"/>
      <c r="F175" s="7"/>
      <c r="G175" s="7"/>
      <c r="H175" s="7"/>
      <c r="I175" s="7"/>
      <c r="J175" s="7"/>
      <c r="K175" s="7"/>
      <c r="L175" s="155"/>
      <c r="M175" s="140"/>
      <c r="N175" s="140"/>
      <c r="O175" s="140"/>
      <c r="P175" s="7"/>
      <c r="Q175" s="7"/>
      <c r="R175" s="7"/>
      <c r="S175" s="7"/>
      <c r="T175" s="7"/>
      <c r="U175" s="7"/>
      <c r="V175" s="7"/>
      <c r="W175" s="7"/>
    </row>
    <row r="176" spans="2:23" s="218" customFormat="1" ht="16.7" hidden="1">
      <c r="B176" s="600"/>
      <c r="C176" s="7"/>
      <c r="D176" s="7"/>
      <c r="E176" s="7"/>
      <c r="F176" s="7"/>
      <c r="G176" s="7"/>
      <c r="H176" s="7"/>
      <c r="I176" s="7"/>
      <c r="J176" s="7"/>
      <c r="K176" s="7"/>
      <c r="L176" s="155"/>
      <c r="M176" s="140"/>
      <c r="N176" s="140"/>
      <c r="O176" s="140"/>
      <c r="P176" s="7"/>
      <c r="Q176" s="7"/>
      <c r="R176" s="7"/>
      <c r="S176" s="7"/>
      <c r="T176" s="7"/>
      <c r="U176" s="7"/>
      <c r="V176" s="7"/>
      <c r="W176" s="7"/>
    </row>
    <row r="177" spans="2:23" s="218" customFormat="1" ht="16.7" hidden="1">
      <c r="B177" s="600"/>
      <c r="C177" s="7"/>
      <c r="D177" s="7"/>
      <c r="E177" s="7"/>
      <c r="F177" s="7"/>
      <c r="G177" s="7"/>
      <c r="H177" s="7"/>
      <c r="I177" s="7"/>
      <c r="J177" s="7"/>
      <c r="K177" s="7"/>
      <c r="L177" s="155"/>
      <c r="M177" s="140"/>
      <c r="N177" s="140"/>
      <c r="O177" s="140"/>
      <c r="P177" s="7"/>
      <c r="Q177" s="7"/>
      <c r="R177" s="7"/>
      <c r="S177" s="7"/>
      <c r="T177" s="7"/>
      <c r="U177" s="7"/>
      <c r="V177" s="7"/>
      <c r="W177" s="7"/>
    </row>
    <row r="178" spans="2:23" s="218" customFormat="1" ht="16.7" hidden="1">
      <c r="B178" s="600"/>
      <c r="C178" s="7"/>
      <c r="D178" s="7"/>
      <c r="E178" s="7"/>
      <c r="F178" s="7"/>
      <c r="G178" s="7"/>
      <c r="H178" s="7"/>
      <c r="I178" s="7"/>
      <c r="J178" s="7"/>
      <c r="K178" s="7"/>
      <c r="L178" s="155"/>
      <c r="M178" s="140"/>
      <c r="N178" s="140"/>
      <c r="O178" s="140"/>
      <c r="P178" s="7"/>
      <c r="Q178" s="7"/>
      <c r="R178" s="7"/>
      <c r="S178" s="7"/>
      <c r="T178" s="7"/>
      <c r="U178" s="7"/>
      <c r="V178" s="7"/>
      <c r="W178" s="7"/>
    </row>
    <row r="179" spans="2:23" s="218" customFormat="1" ht="16.7" hidden="1">
      <c r="B179" s="600"/>
      <c r="C179" s="7"/>
      <c r="D179" s="7"/>
      <c r="E179" s="7"/>
      <c r="F179" s="7"/>
      <c r="G179" s="7"/>
      <c r="H179" s="7"/>
      <c r="I179" s="7"/>
      <c r="J179" s="7"/>
      <c r="K179" s="7"/>
      <c r="L179" s="155"/>
      <c r="M179" s="140"/>
      <c r="N179" s="140"/>
      <c r="O179" s="140"/>
      <c r="P179" s="7"/>
      <c r="Q179" s="7"/>
      <c r="R179" s="7"/>
      <c r="S179" s="7"/>
      <c r="T179" s="7"/>
      <c r="U179" s="7"/>
      <c r="V179" s="7"/>
      <c r="W179" s="7"/>
    </row>
    <row r="180" spans="2:23" s="218" customFormat="1" ht="16.7" hidden="1">
      <c r="B180" s="600"/>
      <c r="C180" s="7"/>
      <c r="D180" s="7"/>
      <c r="E180" s="7"/>
      <c r="F180" s="7"/>
      <c r="G180" s="7"/>
      <c r="H180" s="7"/>
      <c r="I180" s="7"/>
      <c r="J180" s="7"/>
      <c r="K180" s="7"/>
      <c r="L180" s="155"/>
      <c r="M180" s="140"/>
      <c r="N180" s="140"/>
      <c r="O180" s="140"/>
      <c r="P180" s="7"/>
      <c r="Q180" s="7"/>
      <c r="R180" s="7"/>
      <c r="S180" s="7"/>
      <c r="T180" s="7"/>
      <c r="U180" s="7"/>
      <c r="V180" s="7"/>
      <c r="W180" s="7"/>
    </row>
    <row r="181" spans="2:23" s="218" customFormat="1" ht="16.7" hidden="1">
      <c r="B181" s="600"/>
      <c r="C181" s="7"/>
      <c r="D181" s="7"/>
      <c r="E181" s="7"/>
      <c r="F181" s="7"/>
      <c r="G181" s="7"/>
      <c r="H181" s="7"/>
      <c r="I181" s="7"/>
      <c r="J181" s="7"/>
      <c r="K181" s="7"/>
      <c r="L181" s="155"/>
      <c r="M181" s="140"/>
      <c r="N181" s="140"/>
      <c r="O181" s="140"/>
      <c r="P181" s="7"/>
      <c r="Q181" s="7"/>
      <c r="R181" s="7"/>
      <c r="S181" s="7"/>
      <c r="T181" s="7"/>
      <c r="U181" s="7"/>
      <c r="V181" s="7"/>
      <c r="W181" s="7"/>
    </row>
    <row r="182" spans="2:23" s="218" customFormat="1" ht="16.7" hidden="1">
      <c r="B182" s="600"/>
      <c r="C182" s="7"/>
      <c r="D182" s="7"/>
      <c r="E182" s="7"/>
      <c r="F182" s="7"/>
      <c r="G182" s="7"/>
      <c r="H182" s="7"/>
      <c r="I182" s="7"/>
      <c r="J182" s="7"/>
      <c r="K182" s="7"/>
      <c r="L182" s="155"/>
      <c r="M182" s="140"/>
      <c r="N182" s="140"/>
      <c r="O182" s="140"/>
      <c r="P182" s="7"/>
      <c r="Q182" s="7"/>
      <c r="R182" s="7"/>
      <c r="S182" s="7"/>
      <c r="T182" s="7"/>
      <c r="U182" s="7"/>
      <c r="V182" s="7"/>
      <c r="W182" s="7"/>
    </row>
    <row r="183" spans="2:23" s="218" customFormat="1" ht="16.7" hidden="1">
      <c r="B183" s="600"/>
      <c r="C183" s="7"/>
      <c r="D183" s="7"/>
      <c r="E183" s="7"/>
      <c r="F183" s="7"/>
      <c r="G183" s="7"/>
      <c r="H183" s="7"/>
      <c r="I183" s="7"/>
      <c r="J183" s="7"/>
      <c r="K183" s="7"/>
      <c r="L183" s="155"/>
      <c r="M183" s="140"/>
      <c r="N183" s="140"/>
      <c r="O183" s="140"/>
      <c r="P183" s="7"/>
      <c r="Q183" s="7"/>
      <c r="R183" s="7"/>
      <c r="S183" s="7"/>
      <c r="T183" s="7"/>
      <c r="U183" s="7"/>
      <c r="V183" s="7"/>
      <c r="W183" s="7"/>
    </row>
    <row r="184" spans="2:23" s="218" customFormat="1" ht="16.7" hidden="1">
      <c r="B184" s="600"/>
      <c r="C184" s="7"/>
      <c r="D184" s="7"/>
      <c r="E184" s="7"/>
      <c r="F184" s="7"/>
      <c r="G184" s="7"/>
      <c r="H184" s="7"/>
      <c r="I184" s="7"/>
      <c r="J184" s="7"/>
      <c r="K184" s="7"/>
      <c r="L184" s="155"/>
      <c r="M184" s="140"/>
      <c r="N184" s="140"/>
      <c r="O184" s="140"/>
      <c r="P184" s="7"/>
      <c r="Q184" s="7"/>
      <c r="R184" s="7"/>
      <c r="S184" s="7"/>
      <c r="T184" s="7"/>
      <c r="U184" s="7"/>
      <c r="V184" s="7"/>
      <c r="W184" s="7"/>
    </row>
    <row r="185" spans="2:23" s="218" customFormat="1" ht="16.7" hidden="1">
      <c r="B185" s="600"/>
      <c r="C185" s="7"/>
      <c r="D185" s="7"/>
      <c r="E185" s="7"/>
      <c r="F185" s="7"/>
      <c r="G185" s="7"/>
      <c r="H185" s="7"/>
      <c r="I185" s="7"/>
      <c r="J185" s="7"/>
      <c r="K185" s="7"/>
      <c r="L185" s="155"/>
      <c r="M185" s="140"/>
      <c r="N185" s="140"/>
      <c r="O185" s="140"/>
      <c r="P185" s="7"/>
      <c r="Q185" s="7"/>
      <c r="R185" s="7"/>
      <c r="S185" s="7"/>
      <c r="T185" s="7"/>
      <c r="U185" s="7"/>
      <c r="V185" s="7"/>
      <c r="W185" s="7"/>
    </row>
    <row r="186" spans="2:23" s="218" customFormat="1" ht="16.7" hidden="1">
      <c r="B186" s="600"/>
      <c r="C186" s="7"/>
      <c r="D186" s="7"/>
      <c r="E186" s="7"/>
      <c r="F186" s="7"/>
      <c r="G186" s="7"/>
      <c r="H186" s="7"/>
      <c r="I186" s="7"/>
      <c r="J186" s="7"/>
      <c r="K186" s="7"/>
      <c r="L186" s="155"/>
      <c r="M186" s="140"/>
      <c r="N186" s="140"/>
      <c r="O186" s="140"/>
      <c r="P186" s="7"/>
      <c r="Q186" s="7"/>
      <c r="R186" s="7"/>
      <c r="S186" s="7"/>
      <c r="T186" s="7"/>
      <c r="U186" s="7"/>
      <c r="V186" s="7"/>
      <c r="W186" s="7"/>
    </row>
    <row r="187" spans="2:23" s="218" customFormat="1" ht="16.7" hidden="1">
      <c r="B187" s="600"/>
      <c r="C187" s="7"/>
      <c r="D187" s="7"/>
      <c r="E187" s="7"/>
      <c r="F187" s="7"/>
      <c r="G187" s="7"/>
      <c r="H187" s="7"/>
      <c r="I187" s="7"/>
      <c r="J187" s="7"/>
      <c r="K187" s="7"/>
      <c r="L187" s="155"/>
      <c r="M187" s="140"/>
      <c r="N187" s="140"/>
      <c r="O187" s="140"/>
      <c r="P187" s="7"/>
      <c r="Q187" s="7"/>
      <c r="R187" s="7"/>
      <c r="S187" s="7"/>
      <c r="T187" s="7"/>
      <c r="U187" s="7"/>
      <c r="V187" s="7"/>
      <c r="W187" s="7"/>
    </row>
    <row r="188" spans="2:23" s="218" customFormat="1" ht="16.7" hidden="1">
      <c r="B188" s="600"/>
      <c r="C188" s="7"/>
      <c r="D188" s="7"/>
      <c r="E188" s="7"/>
      <c r="F188" s="7"/>
      <c r="G188" s="7"/>
      <c r="H188" s="7"/>
      <c r="I188" s="7"/>
      <c r="J188" s="7"/>
      <c r="K188" s="7"/>
      <c r="L188" s="155"/>
      <c r="M188" s="140"/>
      <c r="N188" s="140"/>
      <c r="O188" s="140"/>
      <c r="P188" s="7"/>
      <c r="Q188" s="7"/>
      <c r="R188" s="7"/>
      <c r="S188" s="7"/>
      <c r="T188" s="7"/>
      <c r="U188" s="7"/>
      <c r="V188" s="7"/>
      <c r="W188" s="7"/>
    </row>
    <row r="189" spans="2:23" s="218" customFormat="1" ht="16.7" hidden="1">
      <c r="B189" s="600"/>
      <c r="C189" s="7"/>
      <c r="D189" s="7"/>
      <c r="E189" s="7"/>
      <c r="F189" s="7"/>
      <c r="G189" s="7"/>
      <c r="H189" s="7"/>
      <c r="I189" s="7"/>
      <c r="J189" s="7"/>
      <c r="K189" s="7"/>
      <c r="L189" s="155"/>
      <c r="M189" s="140"/>
      <c r="N189" s="140"/>
      <c r="O189" s="140"/>
      <c r="P189" s="7"/>
      <c r="Q189" s="7"/>
      <c r="R189" s="7"/>
      <c r="S189" s="7"/>
      <c r="T189" s="7"/>
      <c r="U189" s="7"/>
      <c r="V189" s="7"/>
      <c r="W189" s="7"/>
    </row>
    <row r="190" spans="2:23" s="218" customFormat="1" ht="16.7" hidden="1">
      <c r="B190" s="600"/>
      <c r="C190" s="7"/>
      <c r="D190" s="7"/>
      <c r="E190" s="7"/>
      <c r="F190" s="7"/>
      <c r="G190" s="7"/>
      <c r="H190" s="7"/>
      <c r="I190" s="7"/>
      <c r="J190" s="7"/>
      <c r="K190" s="7"/>
      <c r="L190" s="155"/>
      <c r="M190" s="140"/>
      <c r="N190" s="140"/>
      <c r="O190" s="140"/>
      <c r="P190" s="7"/>
      <c r="Q190" s="7"/>
      <c r="R190" s="7"/>
      <c r="S190" s="7"/>
      <c r="T190" s="7"/>
      <c r="U190" s="7"/>
      <c r="V190" s="7"/>
      <c r="W190" s="7"/>
    </row>
    <row r="191" spans="2:23" s="218" customFormat="1" ht="16.7" hidden="1">
      <c r="B191" s="600"/>
      <c r="C191" s="7"/>
      <c r="D191" s="7"/>
      <c r="E191" s="7"/>
      <c r="F191" s="7"/>
      <c r="G191" s="7"/>
      <c r="H191" s="7"/>
      <c r="I191" s="7"/>
      <c r="J191" s="7"/>
      <c r="K191" s="7"/>
      <c r="L191" s="155"/>
      <c r="M191" s="140"/>
      <c r="N191" s="140"/>
      <c r="O191" s="140"/>
      <c r="P191" s="7"/>
      <c r="Q191" s="7"/>
      <c r="R191" s="7"/>
      <c r="S191" s="7"/>
      <c r="T191" s="7"/>
      <c r="U191" s="7"/>
      <c r="V191" s="7"/>
      <c r="W191" s="7"/>
    </row>
    <row r="192" spans="2:23" s="218" customFormat="1" ht="16.7" hidden="1">
      <c r="B192" s="600"/>
      <c r="C192" s="7"/>
      <c r="D192" s="7"/>
      <c r="E192" s="7"/>
      <c r="F192" s="7"/>
      <c r="G192" s="7"/>
      <c r="H192" s="7"/>
      <c r="I192" s="7"/>
      <c r="J192" s="7"/>
      <c r="K192" s="7"/>
      <c r="L192" s="155"/>
      <c r="M192" s="140"/>
      <c r="N192" s="140"/>
      <c r="O192" s="140"/>
      <c r="P192" s="7"/>
      <c r="Q192" s="7"/>
      <c r="R192" s="7"/>
      <c r="S192" s="7"/>
      <c r="T192" s="7"/>
      <c r="U192" s="7"/>
      <c r="V192" s="7"/>
      <c r="W192" s="7"/>
    </row>
    <row r="193" spans="2:23" s="218" customFormat="1" ht="16.7" hidden="1">
      <c r="B193" s="600"/>
      <c r="C193" s="7"/>
      <c r="D193" s="7"/>
      <c r="E193" s="7"/>
      <c r="F193" s="7"/>
      <c r="G193" s="7"/>
      <c r="H193" s="7"/>
      <c r="I193" s="7"/>
      <c r="J193" s="7"/>
      <c r="K193" s="7"/>
      <c r="L193" s="155"/>
      <c r="M193" s="140"/>
      <c r="N193" s="140"/>
      <c r="O193" s="140"/>
      <c r="P193" s="7"/>
      <c r="Q193" s="7"/>
      <c r="R193" s="7"/>
      <c r="S193" s="7"/>
      <c r="T193" s="7"/>
      <c r="U193" s="7"/>
      <c r="V193" s="7"/>
      <c r="W193" s="7"/>
    </row>
    <row r="194" spans="2:23" s="218" customFormat="1" ht="16.7" hidden="1">
      <c r="B194" s="600"/>
      <c r="C194" s="7"/>
      <c r="D194" s="7"/>
      <c r="E194" s="7"/>
      <c r="F194" s="7"/>
      <c r="G194" s="7"/>
      <c r="H194" s="7"/>
      <c r="I194" s="7"/>
      <c r="J194" s="7"/>
      <c r="K194" s="7"/>
      <c r="L194" s="155"/>
      <c r="M194" s="140"/>
      <c r="N194" s="140"/>
      <c r="O194" s="140"/>
      <c r="P194" s="7"/>
      <c r="Q194" s="7"/>
      <c r="R194" s="7"/>
      <c r="S194" s="7"/>
      <c r="T194" s="7"/>
      <c r="U194" s="7"/>
      <c r="V194" s="7"/>
      <c r="W194" s="7"/>
    </row>
    <row r="195" spans="2:23" s="218" customFormat="1" ht="16.7" hidden="1">
      <c r="B195" s="600"/>
      <c r="C195" s="7"/>
      <c r="D195" s="7"/>
      <c r="E195" s="7"/>
      <c r="F195" s="7"/>
      <c r="G195" s="7"/>
      <c r="H195" s="7"/>
      <c r="I195" s="7"/>
      <c r="J195" s="7"/>
      <c r="K195" s="7"/>
      <c r="L195" s="155"/>
      <c r="M195" s="140"/>
      <c r="N195" s="140"/>
      <c r="O195" s="140"/>
      <c r="P195" s="7"/>
      <c r="Q195" s="7"/>
      <c r="R195" s="7"/>
      <c r="S195" s="7"/>
      <c r="T195" s="7"/>
      <c r="U195" s="7"/>
      <c r="V195" s="7"/>
      <c r="W195" s="7"/>
    </row>
    <row r="196" spans="2:23" s="218" customFormat="1" ht="16.7" hidden="1">
      <c r="B196" s="600"/>
      <c r="C196" s="7"/>
      <c r="D196" s="7"/>
      <c r="E196" s="7"/>
      <c r="F196" s="7"/>
      <c r="G196" s="7"/>
      <c r="H196" s="7"/>
      <c r="I196" s="7"/>
      <c r="J196" s="7"/>
      <c r="K196" s="7"/>
      <c r="L196" s="155"/>
      <c r="M196" s="140"/>
      <c r="N196" s="140"/>
      <c r="O196" s="140"/>
      <c r="P196" s="7"/>
      <c r="Q196" s="7"/>
      <c r="R196" s="7"/>
      <c r="S196" s="7"/>
      <c r="T196" s="7"/>
      <c r="U196" s="7"/>
      <c r="V196" s="7"/>
      <c r="W196" s="7"/>
    </row>
    <row r="197" spans="2:23" s="218" customFormat="1" ht="16.7" hidden="1">
      <c r="B197" s="600"/>
      <c r="C197" s="7"/>
      <c r="D197" s="7"/>
      <c r="E197" s="7"/>
      <c r="F197" s="7"/>
      <c r="G197" s="7"/>
      <c r="H197" s="7"/>
      <c r="I197" s="7"/>
      <c r="J197" s="7"/>
      <c r="K197" s="7"/>
      <c r="L197" s="155"/>
      <c r="M197" s="140"/>
      <c r="N197" s="140"/>
      <c r="O197" s="140"/>
      <c r="P197" s="7"/>
      <c r="Q197" s="7"/>
      <c r="R197" s="7"/>
      <c r="S197" s="7"/>
      <c r="T197" s="7"/>
      <c r="U197" s="7"/>
      <c r="V197" s="7"/>
      <c r="W197" s="7"/>
    </row>
    <row r="198" spans="2:23" s="218" customFormat="1" ht="16.7" hidden="1">
      <c r="B198" s="600"/>
      <c r="C198" s="7"/>
      <c r="D198" s="7"/>
      <c r="E198" s="7"/>
      <c r="F198" s="7"/>
      <c r="G198" s="7"/>
      <c r="H198" s="7"/>
      <c r="I198" s="7"/>
      <c r="J198" s="7"/>
      <c r="K198" s="7"/>
      <c r="L198" s="155"/>
      <c r="M198" s="140"/>
      <c r="N198" s="140"/>
      <c r="O198" s="140"/>
      <c r="P198" s="7"/>
      <c r="Q198" s="7"/>
      <c r="R198" s="7"/>
      <c r="S198" s="7"/>
      <c r="T198" s="7"/>
      <c r="U198" s="7"/>
      <c r="V198" s="7"/>
      <c r="W198" s="7"/>
    </row>
    <row r="199" spans="2:23" s="218" customFormat="1" ht="16.7" hidden="1">
      <c r="B199" s="600"/>
      <c r="C199" s="7"/>
      <c r="D199" s="7"/>
      <c r="E199" s="7"/>
      <c r="F199" s="7"/>
      <c r="G199" s="7"/>
      <c r="H199" s="7"/>
      <c r="I199" s="7"/>
      <c r="J199" s="7"/>
      <c r="K199" s="7"/>
      <c r="L199" s="155"/>
      <c r="M199" s="140"/>
      <c r="N199" s="140"/>
      <c r="O199" s="140"/>
      <c r="P199" s="7"/>
      <c r="Q199" s="7"/>
      <c r="R199" s="7"/>
      <c r="S199" s="7"/>
      <c r="T199" s="7"/>
      <c r="U199" s="7"/>
      <c r="V199" s="7"/>
      <c r="W199" s="7"/>
    </row>
    <row r="200" spans="2:23" s="218" customFormat="1" ht="16.7" hidden="1">
      <c r="B200" s="600"/>
      <c r="C200" s="7"/>
      <c r="D200" s="7"/>
      <c r="E200" s="7"/>
      <c r="F200" s="7"/>
      <c r="G200" s="7"/>
      <c r="H200" s="7"/>
      <c r="I200" s="7"/>
      <c r="J200" s="7"/>
      <c r="K200" s="7"/>
      <c r="L200" s="155"/>
      <c r="M200" s="140"/>
      <c r="N200" s="140"/>
      <c r="O200" s="140"/>
      <c r="P200" s="7"/>
      <c r="Q200" s="7"/>
      <c r="R200" s="7"/>
      <c r="S200" s="7"/>
      <c r="T200" s="7"/>
      <c r="U200" s="7"/>
      <c r="V200" s="7"/>
      <c r="W200" s="7"/>
    </row>
    <row r="201" spans="2:23" ht="16.850000000000001" hidden="1" customHeight="1"/>
    <row r="202" spans="2:23" ht="16.850000000000001" hidden="1" customHeight="1"/>
    <row r="203" spans="2:23" ht="16.850000000000001" hidden="1" customHeight="1"/>
    <row r="204" spans="2:23" ht="16.850000000000001" hidden="1" customHeight="1"/>
    <row r="205" spans="2:23" ht="16.850000000000001" hidden="1" customHeight="1"/>
  </sheetData>
  <sheetProtection sheet="1" formatRows="0"/>
  <dataConsolidate/>
  <mergeCells count="56">
    <mergeCell ref="B2:H2"/>
    <mergeCell ref="K2:K8"/>
    <mergeCell ref="B3:H3"/>
    <mergeCell ref="B5:E5"/>
    <mergeCell ref="F5:H5"/>
    <mergeCell ref="B6:E6"/>
    <mergeCell ref="F6:J6"/>
    <mergeCell ref="B7:E7"/>
    <mergeCell ref="F7:J7"/>
    <mergeCell ref="B8:E8"/>
    <mergeCell ref="D47:G47"/>
    <mergeCell ref="F8:J8"/>
    <mergeCell ref="B10:F10"/>
    <mergeCell ref="G10:H10"/>
    <mergeCell ref="D18:H18"/>
    <mergeCell ref="D19:H19"/>
    <mergeCell ref="E27:I27"/>
    <mergeCell ref="E28:I28"/>
    <mergeCell ref="E34:I34"/>
    <mergeCell ref="E40:I40"/>
    <mergeCell ref="E45:I45"/>
    <mergeCell ref="D46:G46"/>
    <mergeCell ref="H119:I119"/>
    <mergeCell ref="D59:I59"/>
    <mergeCell ref="D60:I60"/>
    <mergeCell ref="D61:I61"/>
    <mergeCell ref="D62:H62"/>
    <mergeCell ref="D64:I64"/>
    <mergeCell ref="D65:H65"/>
    <mergeCell ref="D70:I70"/>
    <mergeCell ref="D71:I71"/>
    <mergeCell ref="D72:H72"/>
    <mergeCell ref="E100:H100"/>
    <mergeCell ref="E101:I101"/>
    <mergeCell ref="D111:G111"/>
    <mergeCell ref="D112:G112"/>
    <mergeCell ref="D113:G113"/>
    <mergeCell ref="H131:I131"/>
    <mergeCell ref="H120:I120"/>
    <mergeCell ref="H121:I121"/>
    <mergeCell ref="H122:I122"/>
    <mergeCell ref="H123:I123"/>
    <mergeCell ref="H124:I124"/>
    <mergeCell ref="H125:I125"/>
    <mergeCell ref="H126:I126"/>
    <mergeCell ref="H127:I127"/>
    <mergeCell ref="H128:I128"/>
    <mergeCell ref="H129:I129"/>
    <mergeCell ref="H130:I130"/>
    <mergeCell ref="D146:G146"/>
    <mergeCell ref="H132:I132"/>
    <mergeCell ref="H133:I133"/>
    <mergeCell ref="H134:I134"/>
    <mergeCell ref="H135:I135"/>
    <mergeCell ref="H136:I136"/>
    <mergeCell ref="D145:G145"/>
  </mergeCells>
  <conditionalFormatting sqref="B121:I136">
    <cfRule type="expression" dxfId="131" priority="34">
      <formula>AND($L$117,$L$118=FALSE)</formula>
    </cfRule>
  </conditionalFormatting>
  <conditionalFormatting sqref="C18:C19">
    <cfRule type="expression" dxfId="130" priority="159">
      <formula>OR(AND($L$16,$M$18),AND($L$16,$N$18))</formula>
    </cfRule>
  </conditionalFormatting>
  <conditionalFormatting sqref="C29">
    <cfRule type="expression" dxfId="129" priority="33">
      <formula>AND(L29,L35)</formula>
    </cfRule>
  </conditionalFormatting>
  <conditionalFormatting sqref="C35">
    <cfRule type="expression" dxfId="128" priority="32">
      <formula>AND(L29,L35)</formula>
    </cfRule>
  </conditionalFormatting>
  <conditionalFormatting sqref="C59">
    <cfRule type="expression" dxfId="127" priority="118">
      <formula>NOT(O59)</formula>
    </cfRule>
  </conditionalFormatting>
  <conditionalFormatting sqref="C61">
    <cfRule type="expression" dxfId="126" priority="119">
      <formula>NOT(O59)</formula>
    </cfRule>
  </conditionalFormatting>
  <conditionalFormatting sqref="C64">
    <cfRule type="expression" dxfId="125" priority="1">
      <formula>$G$10="Straßenbau"</formula>
    </cfRule>
    <cfRule type="expression" dxfId="124" priority="2">
      <formula>NOT(O59)</formula>
    </cfRule>
  </conditionalFormatting>
  <conditionalFormatting sqref="C82:C85">
    <cfRule type="expression" dxfId="123" priority="80">
      <formula>OR($M$82,$N$82)</formula>
    </cfRule>
  </conditionalFormatting>
  <conditionalFormatting sqref="C111">
    <cfRule type="expression" dxfId="122" priority="3282">
      <formula>AND(L138,L97,L100,NOT(L111))</formula>
    </cfRule>
  </conditionalFormatting>
  <conditionalFormatting sqref="C145">
    <cfRule type="expression" dxfId="121" priority="147">
      <formula>AND(NOT(M97),NOT(M101))</formula>
    </cfRule>
  </conditionalFormatting>
  <conditionalFormatting sqref="C146">
    <cfRule type="expression" dxfId="120" priority="136">
      <formula>NOT(M138)</formula>
    </cfRule>
  </conditionalFormatting>
  <conditionalFormatting sqref="C147">
    <cfRule type="expression" dxfId="119" priority="24">
      <formula>$L$138</formula>
    </cfRule>
  </conditionalFormatting>
  <conditionalFormatting sqref="C23:D24">
    <cfRule type="expression" dxfId="118" priority="31">
      <formula>$L$14</formula>
    </cfRule>
  </conditionalFormatting>
  <conditionalFormatting sqref="C25:D25">
    <cfRule type="expression" dxfId="117" priority="30">
      <formula>$M$14</formula>
    </cfRule>
  </conditionalFormatting>
  <conditionalFormatting sqref="C138:J138 C140 C144">
    <cfRule type="expression" dxfId="116" priority="25">
      <formula>$L$138</formula>
    </cfRule>
  </conditionalFormatting>
  <conditionalFormatting sqref="D98">
    <cfRule type="expression" dxfId="115" priority="28">
      <formula>OR($L$83,$L$84,$L$85)</formula>
    </cfRule>
    <cfRule type="expression" dxfId="114" priority="26">
      <formula>NOT(L97)</formula>
    </cfRule>
  </conditionalFormatting>
  <conditionalFormatting sqref="D100">
    <cfRule type="expression" dxfId="113" priority="47">
      <formula>NOT(L97)</formula>
    </cfRule>
  </conditionalFormatting>
  <conditionalFormatting sqref="D101">
    <cfRule type="expression" dxfId="112" priority="48">
      <formula>NOT(L97)</formula>
    </cfRule>
  </conditionalFormatting>
  <conditionalFormatting sqref="D117">
    <cfRule type="expression" dxfId="111" priority="89">
      <formula>OR(AND(L117,L118),AND(L117=FALSE,L118=FALSE))</formula>
    </cfRule>
  </conditionalFormatting>
  <conditionalFormatting sqref="D118">
    <cfRule type="expression" dxfId="110" priority="90">
      <formula>OR(AND(L117,L118),AND(L117=FALSE,L118=FALSE))</formula>
    </cfRule>
  </conditionalFormatting>
  <conditionalFormatting sqref="D145">
    <cfRule type="expression" dxfId="109" priority="146">
      <formula>AND(NOT(L97),NOT(L101))</formula>
    </cfRule>
  </conditionalFormatting>
  <conditionalFormatting sqref="D146">
    <cfRule type="expression" dxfId="108" priority="141">
      <formula>NOT(L138)</formula>
    </cfRule>
  </conditionalFormatting>
  <conditionalFormatting sqref="D18:H18">
    <cfRule type="expression" dxfId="107" priority="50">
      <formula>AND(L18,NOT(L19))</formula>
    </cfRule>
  </conditionalFormatting>
  <conditionalFormatting sqref="D19:H19">
    <cfRule type="expression" dxfId="106" priority="49">
      <formula>AND(L19,NOT(L18))</formula>
    </cfRule>
  </conditionalFormatting>
  <conditionalFormatting sqref="D30:H32">
    <cfRule type="expression" dxfId="105" priority="6">
      <formula>OR($M$18,$N$18)</formula>
    </cfRule>
  </conditionalFormatting>
  <conditionalFormatting sqref="D65:H65">
    <cfRule type="expression" dxfId="104" priority="3">
      <formula>$G$10="Straßenbau"</formula>
    </cfRule>
  </conditionalFormatting>
  <conditionalFormatting sqref="D36:I36 D37:H38 J37:J38">
    <cfRule type="expression" dxfId="103" priority="35">
      <formula>OR($M$18,$N$18)</formula>
    </cfRule>
  </conditionalFormatting>
  <conditionalFormatting sqref="D64:I64">
    <cfRule type="expression" dxfId="102" priority="4">
      <formula>$G$10="Straßenbau"</formula>
    </cfRule>
  </conditionalFormatting>
  <conditionalFormatting sqref="E28">
    <cfRule type="expression" dxfId="101" priority="51">
      <formula>NOT(O20)</formula>
    </cfRule>
  </conditionalFormatting>
  <conditionalFormatting sqref="E34">
    <cfRule type="expression" dxfId="100" priority="14">
      <formula>OR(NOT(L29),AND(L29,L35))</formula>
    </cfRule>
  </conditionalFormatting>
  <conditionalFormatting sqref="E40">
    <cfRule type="expression" dxfId="99" priority="11">
      <formula>OR(NOT(L35),AND(L29,L35))</formula>
    </cfRule>
  </conditionalFormatting>
  <conditionalFormatting sqref="E98">
    <cfRule type="expression" dxfId="98" priority="27">
      <formula>NOT(L97)</formula>
    </cfRule>
  </conditionalFormatting>
  <conditionalFormatting sqref="E100">
    <cfRule type="expression" dxfId="97" priority="72">
      <formula>L97=FALSE</formula>
    </cfRule>
  </conditionalFormatting>
  <conditionalFormatting sqref="E101">
    <cfRule type="expression" dxfId="96" priority="71">
      <formula>L97=FALSE</formula>
    </cfRule>
  </conditionalFormatting>
  <conditionalFormatting sqref="E98:G98 I98">
    <cfRule type="expression" dxfId="95" priority="29">
      <formula>OR($L$83,$L$84,$L$85)</formula>
    </cfRule>
  </conditionalFormatting>
  <conditionalFormatting sqref="E33:I34">
    <cfRule type="expression" dxfId="94" priority="13">
      <formula>OR($M$18,$N$18)</formula>
    </cfRule>
  </conditionalFormatting>
  <conditionalFormatting sqref="E34:I34">
    <cfRule type="expression" dxfId="93" priority="15">
      <formula>AND(L29,NOT(L35),E34="")</formula>
    </cfRule>
  </conditionalFormatting>
  <conditionalFormatting sqref="E40:I40">
    <cfRule type="expression" dxfId="92" priority="12">
      <formula>AND(L35,E40="")</formula>
    </cfRule>
  </conditionalFormatting>
  <conditionalFormatting sqref="E39:J40">
    <cfRule type="expression" dxfId="91" priority="10">
      <formula>OR($M$18,$N$18)</formula>
    </cfRule>
  </conditionalFormatting>
  <conditionalFormatting sqref="G117">
    <cfRule type="expression" dxfId="90" priority="151">
      <formula>OR(AND(M119,M120),AND(M119=FALSE,M120=FALSE))</formula>
    </cfRule>
  </conditionalFormatting>
  <conditionalFormatting sqref="G118">
    <cfRule type="expression" dxfId="89" priority="150">
      <formula>OR(AND(M119,M120),AND(M119=FALSE,M120=FALSE))</formula>
    </cfRule>
  </conditionalFormatting>
  <conditionalFormatting sqref="H145">
    <cfRule type="expression" dxfId="88" priority="145">
      <formula>AND($L$138,L97,L101,H145="")</formula>
    </cfRule>
    <cfRule type="expression" dxfId="87" priority="144">
      <formula>AND($L$138,L96,L101)</formula>
    </cfRule>
  </conditionalFormatting>
  <conditionalFormatting sqref="H146">
    <cfRule type="expression" dxfId="86" priority="138">
      <formula>AND($L$138,D146&lt;&gt;"",H146="")</formula>
    </cfRule>
    <cfRule type="expression" dxfId="85" priority="137">
      <formula>NOT(L138)</formula>
    </cfRule>
  </conditionalFormatting>
  <conditionalFormatting sqref="H33:I33">
    <cfRule type="expression" dxfId="84" priority="74">
      <formula>L29=FALSE</formula>
    </cfRule>
  </conditionalFormatting>
  <conditionalFormatting sqref="H39:I39">
    <cfRule type="expression" dxfId="83" priority="171">
      <formula>L35=FALSE</formula>
    </cfRule>
  </conditionalFormatting>
  <conditionalFormatting sqref="H119:I119">
    <cfRule type="expression" dxfId="82" priority="3276">
      <formula>AND(NOT($O116),NOT($L117))</formula>
    </cfRule>
    <cfRule type="expression" dxfId="81" priority="3275">
      <formula>OR(AND($O116,$H119=""),AND($L117,$H119=""))</formula>
    </cfRule>
  </conditionalFormatting>
  <conditionalFormatting sqref="H120:I120">
    <cfRule type="expression" dxfId="80" priority="3278">
      <formula>AND(NOT($O116),NOT($L117))</formula>
    </cfRule>
    <cfRule type="expression" dxfId="79" priority="3277">
      <formula>OR(AND($O116,$H120=""),AND($L117,$H120=""))</formula>
    </cfRule>
  </conditionalFormatting>
  <conditionalFormatting sqref="H121:I121">
    <cfRule type="expression" dxfId="78" priority="3271">
      <formula>IF(AND($H121="",$O117),1,0)</formula>
    </cfRule>
    <cfRule type="expression" dxfId="77" priority="88">
      <formula>$O117=FALSE</formula>
    </cfRule>
  </conditionalFormatting>
  <conditionalFormatting sqref="H122:I123">
    <cfRule type="expression" dxfId="76" priority="67">
      <formula>$O117=FALSE</formula>
    </cfRule>
    <cfRule type="expression" dxfId="75" priority="111">
      <formula>IF(AND($H122="",$O117),1,0)</formula>
    </cfRule>
  </conditionalFormatting>
  <conditionalFormatting sqref="H124:I125">
    <cfRule type="expression" dxfId="74" priority="65">
      <formula>$O118=FALSE</formula>
    </cfRule>
    <cfRule type="expression" dxfId="73" priority="87">
      <formula>IF(AND($H124="",$O118),1,0)</formula>
    </cfRule>
  </conditionalFormatting>
  <conditionalFormatting sqref="H126:I127">
    <cfRule type="expression" dxfId="72" priority="63">
      <formula>$O119=FALSE</formula>
    </cfRule>
    <cfRule type="expression" dxfId="71" priority="86">
      <formula>IF(AND($H126="",$O119),1,0)</formula>
    </cfRule>
  </conditionalFormatting>
  <conditionalFormatting sqref="H128:I129">
    <cfRule type="expression" dxfId="70" priority="61">
      <formula>$O120=FALSE</formula>
    </cfRule>
    <cfRule type="expression" dxfId="69" priority="85">
      <formula>IF(AND($H128="",$O120),1,0)</formula>
    </cfRule>
  </conditionalFormatting>
  <conditionalFormatting sqref="H130:I131">
    <cfRule type="expression" dxfId="68" priority="84">
      <formula>IF(AND($H130="",$O121),1,0)</formula>
    </cfRule>
    <cfRule type="expression" dxfId="67" priority="58">
      <formula>$O121=FALSE</formula>
    </cfRule>
  </conditionalFormatting>
  <conditionalFormatting sqref="H132:I133">
    <cfRule type="expression" dxfId="66" priority="83">
      <formula>IF(AND($H132="",$O122),1,0)</formula>
    </cfRule>
    <cfRule type="expression" dxfId="65" priority="57">
      <formula>$O122=FALSE</formula>
    </cfRule>
  </conditionalFormatting>
  <conditionalFormatting sqref="H134:I135">
    <cfRule type="expression" dxfId="64" priority="82">
      <formula>IF(AND($H134="",$O123),1,0)</formula>
    </cfRule>
    <cfRule type="expression" dxfId="63" priority="55">
      <formula>$O123=FALSE</formula>
    </cfRule>
  </conditionalFormatting>
  <conditionalFormatting sqref="H136:I136">
    <cfRule type="expression" dxfId="62" priority="54">
      <formula>$O124=FALSE</formula>
    </cfRule>
    <cfRule type="expression" dxfId="61" priority="81">
      <formula>IF(AND($H136="",$O124),1,0)</formula>
    </cfRule>
  </conditionalFormatting>
  <conditionalFormatting sqref="I25">
    <cfRule type="expression" dxfId="60" priority="160">
      <formula>AND(M14,I25="")</formula>
    </cfRule>
    <cfRule type="expression" dxfId="59" priority="161">
      <formula>NOT(O20)</formula>
    </cfRule>
  </conditionalFormatting>
  <conditionalFormatting sqref="I26">
    <cfRule type="expression" dxfId="58" priority="2312">
      <formula>AND(O20,I26&lt;&gt;"",$I$26&lt;=$I$25)</formula>
    </cfRule>
    <cfRule type="expression" dxfId="57" priority="2311">
      <formula>AND(M14,L29,I26="")</formula>
    </cfRule>
    <cfRule type="expression" dxfId="56" priority="2310">
      <formula>NOT(O20)</formula>
    </cfRule>
  </conditionalFormatting>
  <conditionalFormatting sqref="I30">
    <cfRule type="expression" dxfId="55" priority="121">
      <formula>OR(I30&lt;0,I30&gt;100)</formula>
    </cfRule>
    <cfRule type="expression" dxfId="54" priority="120">
      <formula>OR(NOT(L29),AND(L29,L35))</formula>
    </cfRule>
    <cfRule type="expression" dxfId="53" priority="122">
      <formula>AND($L$29,NOT(L35),$I$30="")</formula>
    </cfRule>
  </conditionalFormatting>
  <conditionalFormatting sqref="I30:I32">
    <cfRule type="expression" dxfId="52" priority="5">
      <formula>OR($M$18,$N$18)</formula>
    </cfRule>
  </conditionalFormatting>
  <conditionalFormatting sqref="I36">
    <cfRule type="expression" dxfId="51" priority="123">
      <formula>OR(NOT(L35),AND(L29,L35))</formula>
    </cfRule>
    <cfRule type="expression" dxfId="50" priority="124">
      <formula>OR(I36&lt;0,I36&gt;100)</formula>
    </cfRule>
    <cfRule type="expression" dxfId="49" priority="125">
      <formula>AND($L$35,NOT(L29),I36="")</formula>
    </cfRule>
  </conditionalFormatting>
  <conditionalFormatting sqref="I46">
    <cfRule type="expression" dxfId="48" priority="94">
      <formula>AND($I$46&lt;&gt;0,NOT($O$45))</formula>
    </cfRule>
  </conditionalFormatting>
  <conditionalFormatting sqref="I46:I47">
    <cfRule type="expression" dxfId="47" priority="91">
      <formula>OR(AND($M$45,I46&lt;&gt;0),AND($N$45,I46&lt;&gt;0))</formula>
    </cfRule>
  </conditionalFormatting>
  <conditionalFormatting sqref="I47">
    <cfRule type="expression" dxfId="46" priority="92">
      <formula>AND($I$47&lt;&gt;0,NOT($O$45))</formula>
    </cfRule>
  </conditionalFormatting>
  <conditionalFormatting sqref="I62">
    <cfRule type="expression" dxfId="45" priority="2301">
      <formula>AND($O$59,$L$61,NOT($O$61))</formula>
    </cfRule>
    <cfRule type="expression" dxfId="44" priority="2299">
      <formula>OR(NOT(L61),NOT(O59))</formula>
    </cfRule>
    <cfRule type="expression" dxfId="43" priority="2300">
      <formula>OR(NOT(O59),I62&gt;33)</formula>
    </cfRule>
  </conditionalFormatting>
  <conditionalFormatting sqref="I65">
    <cfRule type="expression" dxfId="42" priority="2340">
      <formula>AND($O$59,$L$64,NOT($O$64))</formula>
    </cfRule>
    <cfRule type="expression" dxfId="41" priority="2339">
      <formula>OR(NOT(O59),I65&gt;50)</formula>
    </cfRule>
    <cfRule type="expression" dxfId="40" priority="2338">
      <formula>OR(NOT(L64),NOT(O59))</formula>
    </cfRule>
  </conditionalFormatting>
  <conditionalFormatting sqref="I72">
    <cfRule type="expression" dxfId="39" priority="2336">
      <formula>L70=FALSE</formula>
    </cfRule>
    <cfRule type="expression" dxfId="38" priority="2337">
      <formula>AND(O18,L70,I72="")</formula>
    </cfRule>
  </conditionalFormatting>
  <conditionalFormatting sqref="I83">
    <cfRule type="expression" dxfId="37" priority="98">
      <formula>AND(NOT($M$82),NOT($N$82),L83,NOT(O83))</formula>
    </cfRule>
    <cfRule type="expression" dxfId="36" priority="97">
      <formula>I83&gt;100%</formula>
    </cfRule>
  </conditionalFormatting>
  <conditionalFormatting sqref="I83:I84">
    <cfRule type="expression" dxfId="35" priority="78">
      <formula>OR(($M$82),($N$82),NOT(L83))</formula>
    </cfRule>
  </conditionalFormatting>
  <conditionalFormatting sqref="I84">
    <cfRule type="expression" dxfId="34" priority="95">
      <formula>AND(NOT($M$82),NOT($N$82),L84,NOT(O84))</formula>
    </cfRule>
    <cfRule type="expression" dxfId="33" priority="96">
      <formula>$I$83&lt;0</formula>
    </cfRule>
  </conditionalFormatting>
  <conditionalFormatting sqref="I86:I89">
    <cfRule type="expression" dxfId="32" priority="165">
      <formula>OR(NOT($L$85),NOT(O116),$M$82,$N$82)</formula>
    </cfRule>
    <cfRule type="expression" dxfId="31" priority="166">
      <formula>I86&gt;100%</formula>
    </cfRule>
    <cfRule type="expression" dxfId="30" priority="167">
      <formula>AND(NOT($M$82),NOT($N$82),$L$85,NOT(O86))</formula>
    </cfRule>
  </conditionalFormatting>
  <conditionalFormatting sqref="I90">
    <cfRule type="expression" dxfId="29" priority="158">
      <formula>AND(NOT($M$82),NOT($N$82),$L$85,NOT(O90))</formula>
    </cfRule>
    <cfRule type="expression" dxfId="28" priority="157">
      <formula>I90&gt;100%</formula>
    </cfRule>
    <cfRule type="expression" dxfId="27" priority="156">
      <formula>OR(NOT($L$85),NOT(T119),$M$82,$N$82)</formula>
    </cfRule>
  </conditionalFormatting>
  <conditionalFormatting sqref="I91:I93">
    <cfRule type="expression" dxfId="26" priority="75">
      <formula>OR(NOT($L$85),NOT(O120),$M$82,$N$82)</formula>
    </cfRule>
    <cfRule type="expression" dxfId="25" priority="77">
      <formula>AND(NOT($M$82),NOT($N$82),$L$85,NOT(O91))</formula>
    </cfRule>
    <cfRule type="expression" dxfId="24" priority="76">
      <formula>I91&gt;100%</formula>
    </cfRule>
  </conditionalFormatting>
  <conditionalFormatting sqref="I94">
    <cfRule type="expression" dxfId="23" priority="41">
      <formula>AND(NOT($M$82),NOT($N$82),$L$85,NOT(O94))</formula>
    </cfRule>
    <cfRule type="expression" dxfId="22" priority="40">
      <formula>I94&gt;100%</formula>
    </cfRule>
    <cfRule type="expression" dxfId="21" priority="39">
      <formula>OR(NOT($L$85),NOT(T122),$M$82,$N$82)</formula>
    </cfRule>
  </conditionalFormatting>
  <conditionalFormatting sqref="I95:I96">
    <cfRule type="expression" dxfId="20" priority="43">
      <formula>I95&gt;100%</formula>
    </cfRule>
    <cfRule type="expression" dxfId="19" priority="42">
      <formula>OR(NOT($L$85),NOT(O123),$M$82,$N$82)</formula>
    </cfRule>
    <cfRule type="expression" dxfId="18" priority="44">
      <formula>AND(NOT($M$82),NOT($N$82),$L$85,NOT(O95))</formula>
    </cfRule>
  </conditionalFormatting>
  <conditionalFormatting sqref="I100">
    <cfRule type="expression" dxfId="17" priority="148">
      <formula>O97=FALSE</formula>
    </cfRule>
  </conditionalFormatting>
  <conditionalFormatting sqref="I111:I113">
    <cfRule type="expression" dxfId="16" priority="68">
      <formula>L111=FALSE</formula>
    </cfRule>
    <cfRule type="expression" dxfId="15" priority="100">
      <formula>AND(L111,I111="")</formula>
    </cfRule>
  </conditionalFormatting>
  <conditionalFormatting sqref="I141">
    <cfRule type="expression" dxfId="14" priority="108">
      <formula>AND($L$138,$L$111,$I$141="")</formula>
    </cfRule>
    <cfRule type="expression" dxfId="13" priority="104">
      <formula>AND($L$138,$L$111)</formula>
    </cfRule>
  </conditionalFormatting>
  <conditionalFormatting sqref="I142">
    <cfRule type="expression" dxfId="12" priority="103">
      <formula>AND($L$138,$L$112)</formula>
    </cfRule>
  </conditionalFormatting>
  <conditionalFormatting sqref="I142:I143">
    <cfRule type="expression" dxfId="11" priority="106">
      <formula>AND($L$138,L112,I142="")</formula>
    </cfRule>
  </conditionalFormatting>
  <conditionalFormatting sqref="I143">
    <cfRule type="expression" dxfId="10" priority="102">
      <formula>AND($L$138,$L$113)</formula>
    </cfRule>
  </conditionalFormatting>
  <conditionalFormatting sqref="I145">
    <cfRule type="expression" dxfId="9" priority="143">
      <formula>AND($L$138,L97,L101)</formula>
    </cfRule>
    <cfRule type="expression" dxfId="8" priority="142">
      <formula>AND($L$138,$L$97,$L$101,$H$145&gt;0,$I$145="")</formula>
    </cfRule>
  </conditionalFormatting>
  <conditionalFormatting sqref="I146">
    <cfRule type="expression" dxfId="7" priority="139">
      <formula>AND($L$138,$D$146&lt;&gt;"",$H$146&gt;0,$I$146="")</formula>
    </cfRule>
    <cfRule type="expression" dxfId="6" priority="140">
      <formula>AND($L$138,$D$146&lt;&gt;"",H146&gt;0,I146&gt;=0)</formula>
    </cfRule>
  </conditionalFormatting>
  <conditionalFormatting sqref="J34">
    <cfRule type="expression" dxfId="5" priority="36">
      <formula>OR($M$18,$N$18)</formula>
    </cfRule>
  </conditionalFormatting>
  <dataValidations count="10">
    <dataValidation operator="lessThanOrEqual" allowBlank="1" showInputMessage="1" showErrorMessage="1" promptTitle="Instandhaltungszuschlag" prompt="Positive Zahl eingeben._x000a_Zuschlag von max. 50 v.H möglich!" sqref="I65" xr:uid="{00000000-0002-0000-0900-000000000000}"/>
    <dataValidation allowBlank="1" showErrorMessage="1" promptTitle="Nebenkosten in EURO" prompt="Positive Zahl in EURO" sqref="I85" xr:uid="{00000000-0002-0000-0900-000001000000}"/>
    <dataValidation allowBlank="1" showInputMessage="1" showErrorMessage="1" promptTitle="Nebenkosten in EURO" prompt="Positive Zahl in EURO" sqref="I84" xr:uid="{00000000-0002-0000-0900-000002000000}"/>
    <dataValidation allowBlank="1" showInputMessage="1" showErrorMessage="1" promptTitle="Abweichung vom Honorar nach HOAI" prompt="Positive Zahl zwischen 0 und 100_x000a_" sqref="I47" xr:uid="{00000000-0002-0000-0900-000003000000}"/>
    <dataValidation allowBlank="1" showInputMessage="1" showErrorMessage="1" promptTitle="Abweichung vom Honorar nach HOAI" prompt="Positive Zahl zwischen 0 und 100" sqref="I46" xr:uid="{00000000-0002-0000-0900-000004000000}"/>
    <dataValidation showInputMessage="1" showErrorMessage="1" errorTitle="Achtung!" error="Eingabe bitte überprüfen" promptTitle="Abweichung vom Mindestsatz" prompt="Positive Zahl zwischen 0 und 100" sqref="I36:I38" xr:uid="{00000000-0002-0000-0900-000005000000}"/>
    <dataValidation showInputMessage="1" showErrorMessage="1" errorTitle="Achtung!" error="Bitte Eingabe überprüfen!" promptTitle="Abweichung vom Mindestsatz" prompt="Positive Prozentzahl zwischen 0 und 100" sqref="I30" xr:uid="{00000000-0002-0000-0900-000006000000}"/>
    <dataValidation operator="lessThanOrEqual" allowBlank="1" showInputMessage="1" showErrorMessage="1" promptTitle="Umbauzuschlag" prompt="Positive Zahl eingeben._x000a_Zuschlag von max. 33 v.H möglich!" sqref="I62" xr:uid="{00000000-0002-0000-0900-000007000000}"/>
    <dataValidation allowBlank="1" showInputMessage="1" showErrorMessage="1" error="keine Eingabe zulässig" promptTitle="Nebenkosten in Prozent" prompt="Positive Prozentzahl" sqref="I83 I86:I96" xr:uid="{00000000-0002-0000-0900-000008000000}"/>
    <dataValidation operator="greaterThan" allowBlank="1" showInputMessage="1" showErrorMessage="1" errorTitle="Falsche Eingabe" promptTitle="Wiederholungen" prompt="Positive ganze Zahlen eingeben." sqref="I72 I80" xr:uid="{00000000-0002-0000-0900-000009000000}"/>
  </dataValidation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Januar 2024&amp;R&amp;P</oddFooter>
  </headerFooter>
  <rowBreaks count="4" manualBreakCount="4">
    <brk id="52" max="10" man="1"/>
    <brk id="80" max="10" man="1"/>
    <brk id="108" max="10" man="1"/>
    <brk id="137"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ltText="3 Fahrstreifen">
                <anchor moveWithCells="1">
                  <from>
                    <xdr:col>2</xdr:col>
                    <xdr:colOff>0</xdr:colOff>
                    <xdr:row>83</xdr:row>
                    <xdr:rowOff>0</xdr:rowOff>
                  </from>
                  <to>
                    <xdr:col>3</xdr:col>
                    <xdr:colOff>7315</xdr:colOff>
                    <xdr:row>84</xdr:row>
                    <xdr:rowOff>7315</xdr:rowOff>
                  </to>
                </anchor>
              </controlPr>
            </control>
          </mc:Choice>
        </mc:AlternateContent>
        <mc:AlternateContent xmlns:mc="http://schemas.openxmlformats.org/markup-compatibility/2006">
          <mc:Choice Requires="x14">
            <control shapeId="58370" r:id="rId5" name="Check Box 2">
              <controlPr defaultSize="0" autoFill="0" autoLine="0" autoPict="0" altText="3 Fahrstreifen">
                <anchor moveWithCells="1">
                  <from>
                    <xdr:col>2</xdr:col>
                    <xdr:colOff>0</xdr:colOff>
                    <xdr:row>82</xdr:row>
                    <xdr:rowOff>0</xdr:rowOff>
                  </from>
                  <to>
                    <xdr:col>3</xdr:col>
                    <xdr:colOff>7315</xdr:colOff>
                    <xdr:row>83</xdr:row>
                    <xdr:rowOff>7315</xdr:rowOff>
                  </to>
                </anchor>
              </controlPr>
            </control>
          </mc:Choice>
        </mc:AlternateContent>
        <mc:AlternateContent xmlns:mc="http://schemas.openxmlformats.org/markup-compatibility/2006">
          <mc:Choice Requires="x14">
            <control shapeId="58371" r:id="rId6" name="Check Box 3">
              <controlPr defaultSize="0" autoFill="0" autoLine="0" autoPict="0" altText="">
                <anchor moveWithCells="1">
                  <from>
                    <xdr:col>2</xdr:col>
                    <xdr:colOff>0</xdr:colOff>
                    <xdr:row>28</xdr:row>
                    <xdr:rowOff>0</xdr:rowOff>
                  </from>
                  <to>
                    <xdr:col>3</xdr:col>
                    <xdr:colOff>7315</xdr:colOff>
                    <xdr:row>29</xdr:row>
                    <xdr:rowOff>7315</xdr:rowOff>
                  </to>
                </anchor>
              </controlPr>
            </control>
          </mc:Choice>
        </mc:AlternateContent>
        <mc:AlternateContent xmlns:mc="http://schemas.openxmlformats.org/markup-compatibility/2006">
          <mc:Choice Requires="x14">
            <control shapeId="58372" r:id="rId7" name="Check Box 4">
              <controlPr defaultSize="0" autoFill="0" autoLine="0" autoPict="0" altText="">
                <anchor moveWithCells="1">
                  <from>
                    <xdr:col>2</xdr:col>
                    <xdr:colOff>0</xdr:colOff>
                    <xdr:row>69</xdr:row>
                    <xdr:rowOff>0</xdr:rowOff>
                  </from>
                  <to>
                    <xdr:col>3</xdr:col>
                    <xdr:colOff>7315</xdr:colOff>
                    <xdr:row>69</xdr:row>
                    <xdr:rowOff>190195</xdr:rowOff>
                  </to>
                </anchor>
              </controlPr>
            </control>
          </mc:Choice>
        </mc:AlternateContent>
        <mc:AlternateContent xmlns:mc="http://schemas.openxmlformats.org/markup-compatibility/2006">
          <mc:Choice Requires="x14">
            <control shapeId="58373" r:id="rId8" name="Check Box 5">
              <controlPr defaultSize="0" autoFill="0" autoLine="0" autoPict="0" altText="">
                <anchor moveWithCells="1">
                  <from>
                    <xdr:col>2</xdr:col>
                    <xdr:colOff>0</xdr:colOff>
                    <xdr:row>60</xdr:row>
                    <xdr:rowOff>0</xdr:rowOff>
                  </from>
                  <to>
                    <xdr:col>3</xdr:col>
                    <xdr:colOff>7315</xdr:colOff>
                    <xdr:row>60</xdr:row>
                    <xdr:rowOff>190195</xdr:rowOff>
                  </to>
                </anchor>
              </controlPr>
            </control>
          </mc:Choice>
        </mc:AlternateContent>
        <mc:AlternateContent xmlns:mc="http://schemas.openxmlformats.org/markup-compatibility/2006">
          <mc:Choice Requires="x14">
            <control shapeId="58374" r:id="rId9" name="Check Box 6">
              <controlPr defaultSize="0" autoFill="0" autoLine="0" autoPict="0" altText="">
                <anchor moveWithCells="1">
                  <from>
                    <xdr:col>2</xdr:col>
                    <xdr:colOff>0</xdr:colOff>
                    <xdr:row>34</xdr:row>
                    <xdr:rowOff>0</xdr:rowOff>
                  </from>
                  <to>
                    <xdr:col>3</xdr:col>
                    <xdr:colOff>7315</xdr:colOff>
                    <xdr:row>35</xdr:row>
                    <xdr:rowOff>7315</xdr:rowOff>
                  </to>
                </anchor>
              </controlPr>
            </control>
          </mc:Choice>
        </mc:AlternateContent>
        <mc:AlternateContent xmlns:mc="http://schemas.openxmlformats.org/markup-compatibility/2006">
          <mc:Choice Requires="x14">
            <control shapeId="58375" r:id="rId10" name="Check Box 7">
              <controlPr defaultSize="0" autoFill="0" autoLine="0" autoPict="0">
                <anchor moveWithCells="1">
                  <from>
                    <xdr:col>2</xdr:col>
                    <xdr:colOff>0</xdr:colOff>
                    <xdr:row>110</xdr:row>
                    <xdr:rowOff>0</xdr:rowOff>
                  </from>
                  <to>
                    <xdr:col>3</xdr:col>
                    <xdr:colOff>7315</xdr:colOff>
                    <xdr:row>111</xdr:row>
                    <xdr:rowOff>7315</xdr:rowOff>
                  </to>
                </anchor>
              </controlPr>
            </control>
          </mc:Choice>
        </mc:AlternateContent>
        <mc:AlternateContent xmlns:mc="http://schemas.openxmlformats.org/markup-compatibility/2006">
          <mc:Choice Requires="x14">
            <control shapeId="58376" r:id="rId11" name="Check Box 8">
              <controlPr defaultSize="0" autoFill="0" autoLine="0" autoPict="0">
                <anchor moveWithCells="1">
                  <from>
                    <xdr:col>2</xdr:col>
                    <xdr:colOff>0</xdr:colOff>
                    <xdr:row>111</xdr:row>
                    <xdr:rowOff>0</xdr:rowOff>
                  </from>
                  <to>
                    <xdr:col>3</xdr:col>
                    <xdr:colOff>7315</xdr:colOff>
                    <xdr:row>112</xdr:row>
                    <xdr:rowOff>21946</xdr:rowOff>
                  </to>
                </anchor>
              </controlPr>
            </control>
          </mc:Choice>
        </mc:AlternateContent>
        <mc:AlternateContent xmlns:mc="http://schemas.openxmlformats.org/markup-compatibility/2006">
          <mc:Choice Requires="x14">
            <control shapeId="58377" r:id="rId12" name="Check Box 9">
              <controlPr defaultSize="0" autoFill="0" autoLine="0" autoPict="0">
                <anchor moveWithCells="1">
                  <from>
                    <xdr:col>2</xdr:col>
                    <xdr:colOff>0</xdr:colOff>
                    <xdr:row>112</xdr:row>
                    <xdr:rowOff>0</xdr:rowOff>
                  </from>
                  <to>
                    <xdr:col>3</xdr:col>
                    <xdr:colOff>7315</xdr:colOff>
                    <xdr:row>113</xdr:row>
                    <xdr:rowOff>21946</xdr:rowOff>
                  </to>
                </anchor>
              </controlPr>
            </control>
          </mc:Choice>
        </mc:AlternateContent>
        <mc:AlternateContent xmlns:mc="http://schemas.openxmlformats.org/markup-compatibility/2006">
          <mc:Choice Requires="x14">
            <control shapeId="58378" r:id="rId13" name="Check Box 10">
              <controlPr defaultSize="0" autoFill="0" autoLine="0" autoPict="0" altText="3 Fahrstreifen">
                <anchor moveWithCells="1">
                  <from>
                    <xdr:col>3</xdr:col>
                    <xdr:colOff>0</xdr:colOff>
                    <xdr:row>99</xdr:row>
                    <xdr:rowOff>0</xdr:rowOff>
                  </from>
                  <to>
                    <xdr:col>4</xdr:col>
                    <xdr:colOff>0</xdr:colOff>
                    <xdr:row>100</xdr:row>
                    <xdr:rowOff>0</xdr:rowOff>
                  </to>
                </anchor>
              </controlPr>
            </control>
          </mc:Choice>
        </mc:AlternateContent>
        <mc:AlternateContent xmlns:mc="http://schemas.openxmlformats.org/markup-compatibility/2006">
          <mc:Choice Requires="x14">
            <control shapeId="58379" r:id="rId14" name="Check Box 11">
              <controlPr defaultSize="0" autoFill="0" autoLine="0" autoPict="0" altText="3 Fahrstreifen">
                <anchor moveWithCells="1">
                  <from>
                    <xdr:col>3</xdr:col>
                    <xdr:colOff>0</xdr:colOff>
                    <xdr:row>100</xdr:row>
                    <xdr:rowOff>0</xdr:rowOff>
                  </from>
                  <to>
                    <xdr:col>4</xdr:col>
                    <xdr:colOff>0</xdr:colOff>
                    <xdr:row>101</xdr:row>
                    <xdr:rowOff>0</xdr:rowOff>
                  </to>
                </anchor>
              </controlPr>
            </control>
          </mc:Choice>
        </mc:AlternateContent>
        <mc:AlternateContent xmlns:mc="http://schemas.openxmlformats.org/markup-compatibility/2006">
          <mc:Choice Requires="x14">
            <control shapeId="58380" r:id="rId15" name="Check Box 12">
              <controlPr defaultSize="0" autoFill="0" autoLine="0" autoPict="0">
                <anchor moveWithCells="1">
                  <from>
                    <xdr:col>2</xdr:col>
                    <xdr:colOff>0</xdr:colOff>
                    <xdr:row>96</xdr:row>
                    <xdr:rowOff>0</xdr:rowOff>
                  </from>
                  <to>
                    <xdr:col>3</xdr:col>
                    <xdr:colOff>7315</xdr:colOff>
                    <xdr:row>97</xdr:row>
                    <xdr:rowOff>0</xdr:rowOff>
                  </to>
                </anchor>
              </controlPr>
            </control>
          </mc:Choice>
        </mc:AlternateContent>
        <mc:AlternateContent xmlns:mc="http://schemas.openxmlformats.org/markup-compatibility/2006">
          <mc:Choice Requires="x14">
            <control shapeId="58381" r:id="rId16" name="Check Box 13">
              <controlPr defaultSize="0" autoFill="0" autoLine="0" autoPict="0" altText="">
                <anchor moveWithCells="1">
                  <from>
                    <xdr:col>2</xdr:col>
                    <xdr:colOff>0</xdr:colOff>
                    <xdr:row>17</xdr:row>
                    <xdr:rowOff>0</xdr:rowOff>
                  </from>
                  <to>
                    <xdr:col>3</xdr:col>
                    <xdr:colOff>7315</xdr:colOff>
                    <xdr:row>18</xdr:row>
                    <xdr:rowOff>0</xdr:rowOff>
                  </to>
                </anchor>
              </controlPr>
            </control>
          </mc:Choice>
        </mc:AlternateContent>
        <mc:AlternateContent xmlns:mc="http://schemas.openxmlformats.org/markup-compatibility/2006">
          <mc:Choice Requires="x14">
            <control shapeId="58382" r:id="rId17" name="Check Box 14">
              <controlPr defaultSize="0" autoFill="0" autoLine="0" autoPict="0">
                <anchor moveWithCells="1">
                  <from>
                    <xdr:col>1</xdr:col>
                    <xdr:colOff>0</xdr:colOff>
                    <xdr:row>137</xdr:row>
                    <xdr:rowOff>0</xdr:rowOff>
                  </from>
                  <to>
                    <xdr:col>2</xdr:col>
                    <xdr:colOff>0</xdr:colOff>
                    <xdr:row>138</xdr:row>
                    <xdr:rowOff>0</xdr:rowOff>
                  </to>
                </anchor>
              </controlPr>
            </control>
          </mc:Choice>
        </mc:AlternateContent>
        <mc:AlternateContent xmlns:mc="http://schemas.openxmlformats.org/markup-compatibility/2006">
          <mc:Choice Requires="x14">
            <control shapeId="58383" r:id="rId18" name="Check Box 15">
              <controlPr defaultSize="0" autoFill="0" autoLine="0" autoPict="0" altText="">
                <anchor moveWithCells="1">
                  <from>
                    <xdr:col>2</xdr:col>
                    <xdr:colOff>0</xdr:colOff>
                    <xdr:row>18</xdr:row>
                    <xdr:rowOff>0</xdr:rowOff>
                  </from>
                  <to>
                    <xdr:col>3</xdr:col>
                    <xdr:colOff>7315</xdr:colOff>
                    <xdr:row>18</xdr:row>
                    <xdr:rowOff>190195</xdr:rowOff>
                  </to>
                </anchor>
              </controlPr>
            </control>
          </mc:Choice>
        </mc:AlternateContent>
        <mc:AlternateContent xmlns:mc="http://schemas.openxmlformats.org/markup-compatibility/2006">
          <mc:Choice Requires="x14">
            <control shapeId="58384" r:id="rId19" name="Check Box 16">
              <controlPr defaultSize="0" autoFill="0" autoLine="0" autoPict="0" altText="">
                <anchor moveWithCells="1">
                  <from>
                    <xdr:col>2</xdr:col>
                    <xdr:colOff>0</xdr:colOff>
                    <xdr:row>58</xdr:row>
                    <xdr:rowOff>0</xdr:rowOff>
                  </from>
                  <to>
                    <xdr:col>3</xdr:col>
                    <xdr:colOff>7315</xdr:colOff>
                    <xdr:row>58</xdr:row>
                    <xdr:rowOff>190195</xdr:rowOff>
                  </to>
                </anchor>
              </controlPr>
            </control>
          </mc:Choice>
        </mc:AlternateContent>
        <mc:AlternateContent xmlns:mc="http://schemas.openxmlformats.org/markup-compatibility/2006">
          <mc:Choice Requires="x14">
            <control shapeId="58385" r:id="rId20" name="Check Box 17">
              <controlPr defaultSize="0" autoFill="0" autoLine="0" autoPict="0" altText="3 Fahrstreifen">
                <anchor moveWithCells="1">
                  <from>
                    <xdr:col>2</xdr:col>
                    <xdr:colOff>0</xdr:colOff>
                    <xdr:row>81</xdr:row>
                    <xdr:rowOff>0</xdr:rowOff>
                  </from>
                  <to>
                    <xdr:col>3</xdr:col>
                    <xdr:colOff>7315</xdr:colOff>
                    <xdr:row>82</xdr:row>
                    <xdr:rowOff>7315</xdr:rowOff>
                  </to>
                </anchor>
              </controlPr>
            </control>
          </mc:Choice>
        </mc:AlternateContent>
        <mc:AlternateContent xmlns:mc="http://schemas.openxmlformats.org/markup-compatibility/2006">
          <mc:Choice Requires="x14">
            <control shapeId="58386" r:id="rId21" name="Check Box 18">
              <controlPr defaultSize="0" autoFill="0" autoLine="0" autoPict="0">
                <anchor moveWithCells="1">
                  <from>
                    <xdr:col>3</xdr:col>
                    <xdr:colOff>0</xdr:colOff>
                    <xdr:row>117</xdr:row>
                    <xdr:rowOff>0</xdr:rowOff>
                  </from>
                  <to>
                    <xdr:col>4</xdr:col>
                    <xdr:colOff>0</xdr:colOff>
                    <xdr:row>118</xdr:row>
                    <xdr:rowOff>21946</xdr:rowOff>
                  </to>
                </anchor>
              </controlPr>
            </control>
          </mc:Choice>
        </mc:AlternateContent>
        <mc:AlternateContent xmlns:mc="http://schemas.openxmlformats.org/markup-compatibility/2006">
          <mc:Choice Requires="x14">
            <control shapeId="58387" r:id="rId22" name="Check Box 19">
              <controlPr defaultSize="0" autoFill="0" autoLine="0" autoPict="0">
                <anchor moveWithCells="1">
                  <from>
                    <xdr:col>3</xdr:col>
                    <xdr:colOff>0</xdr:colOff>
                    <xdr:row>116</xdr:row>
                    <xdr:rowOff>0</xdr:rowOff>
                  </from>
                  <to>
                    <xdr:col>4</xdr:col>
                    <xdr:colOff>0</xdr:colOff>
                    <xdr:row>117</xdr:row>
                    <xdr:rowOff>21946</xdr:rowOff>
                  </to>
                </anchor>
              </controlPr>
            </control>
          </mc:Choice>
        </mc:AlternateContent>
        <mc:AlternateContent xmlns:mc="http://schemas.openxmlformats.org/markup-compatibility/2006">
          <mc:Choice Requires="x14">
            <control shapeId="58388" r:id="rId23" name="Check Box 20">
              <controlPr defaultSize="0" autoFill="0" autoLine="0" autoPict="0" altText="3 Fahrstreifen">
                <anchor moveWithCells="1">
                  <from>
                    <xdr:col>2</xdr:col>
                    <xdr:colOff>0</xdr:colOff>
                    <xdr:row>84</xdr:row>
                    <xdr:rowOff>0</xdr:rowOff>
                  </from>
                  <to>
                    <xdr:col>3</xdr:col>
                    <xdr:colOff>7315</xdr:colOff>
                    <xdr:row>85</xdr:row>
                    <xdr:rowOff>7315</xdr:rowOff>
                  </to>
                </anchor>
              </controlPr>
            </control>
          </mc:Choice>
        </mc:AlternateContent>
        <mc:AlternateContent xmlns:mc="http://schemas.openxmlformats.org/markup-compatibility/2006">
          <mc:Choice Requires="x14">
            <control shapeId="58390" r:id="rId24" name="Check Box 22">
              <controlPr defaultSize="0" autoFill="0" autoLine="0" autoPict="0" altText="3 Fahrstreifen">
                <anchor moveWithCells="1">
                  <from>
                    <xdr:col>3</xdr:col>
                    <xdr:colOff>0</xdr:colOff>
                    <xdr:row>97</xdr:row>
                    <xdr:rowOff>0</xdr:rowOff>
                  </from>
                  <to>
                    <xdr:col>4</xdr:col>
                    <xdr:colOff>0</xdr:colOff>
                    <xdr:row>98</xdr:row>
                    <xdr:rowOff>0</xdr:rowOff>
                  </to>
                </anchor>
              </controlPr>
            </control>
          </mc:Choice>
        </mc:AlternateContent>
        <mc:AlternateContent xmlns:mc="http://schemas.openxmlformats.org/markup-compatibility/2006">
          <mc:Choice Requires="x14">
            <control shapeId="58391" r:id="rId25" name="Check Box 23">
              <controlPr defaultSize="0" autoFill="0" autoLine="0" autoPict="0" altText="">
                <anchor moveWithCells="1">
                  <from>
                    <xdr:col>2</xdr:col>
                    <xdr:colOff>0</xdr:colOff>
                    <xdr:row>63</xdr:row>
                    <xdr:rowOff>0</xdr:rowOff>
                  </from>
                  <to>
                    <xdr:col>3</xdr:col>
                    <xdr:colOff>0</xdr:colOff>
                    <xdr:row>63</xdr:row>
                    <xdr:rowOff>190195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tabColor theme="0" tint="-0.14999847407452621"/>
    <pageSetUpPr fitToPage="1"/>
  </sheetPr>
  <dimension ref="A1:U35"/>
  <sheetViews>
    <sheetView showGridLines="0" tabSelected="1" topLeftCell="C1" zoomScaleNormal="100" zoomScaleSheetLayoutView="100" zoomScalePageLayoutView="50" workbookViewId="0">
      <selection activeCell="D5" sqref="D5:I5"/>
    </sheetView>
  </sheetViews>
  <sheetFormatPr baseColWidth="10" defaultColWidth="0" defaultRowHeight="16.7" zeroHeight="1"/>
  <cols>
    <col min="1" max="1" width="2.6640625" style="871" customWidth="1"/>
    <col min="2" max="2" width="9.109375" customWidth="1"/>
    <col min="3" max="3" width="22.33203125" customWidth="1"/>
    <col min="4" max="4" width="10.44140625" customWidth="1"/>
    <col min="5" max="5" width="10.5546875" customWidth="1"/>
    <col min="6" max="6" width="13.33203125" customWidth="1"/>
    <col min="7" max="15" width="15.109375" customWidth="1"/>
    <col min="16" max="16" width="2.6640625" customWidth="1"/>
    <col min="17" max="17" width="11.44140625" hidden="1" customWidth="1"/>
    <col min="18" max="21" width="0" hidden="1" customWidth="1"/>
    <col min="22" max="16384" width="11.44140625" hidden="1"/>
  </cols>
  <sheetData>
    <row r="1" spans="1:21"/>
    <row r="2" spans="1:21" s="7" customFormat="1" ht="18" customHeight="1">
      <c r="A2" s="218"/>
      <c r="B2" s="1285" t="str">
        <f>IF(Projektgrundlagen!B2="","",Projektgrundlagen!B2)</f>
        <v>Objektplanung Verkehrsanlagen</v>
      </c>
      <c r="C2" s="1285"/>
      <c r="D2" s="1285"/>
      <c r="E2" s="1285"/>
      <c r="F2" s="1285"/>
      <c r="G2" s="1285"/>
      <c r="H2" s="1285"/>
      <c r="I2" s="1286"/>
      <c r="J2" s="258" t="str">
        <f>IF(Projektgrundlagen!F2="","",Projektgrundlagen!F2)</f>
        <v>VII.15.4</v>
      </c>
      <c r="K2" s="257" t="s">
        <v>919</v>
      </c>
      <c r="L2" s="257"/>
      <c r="M2" s="257"/>
      <c r="N2" s="872"/>
      <c r="O2" s="268"/>
      <c r="P2" s="1287" t="s">
        <v>542</v>
      </c>
      <c r="S2" s="221" t="s">
        <v>502</v>
      </c>
    </row>
    <row r="3" spans="1:21" s="7" customFormat="1" ht="17.850000000000001">
      <c r="A3" s="218"/>
      <c r="B3" s="1496" t="s">
        <v>542</v>
      </c>
      <c r="C3" s="1496"/>
      <c r="D3" s="1496"/>
      <c r="E3" s="1496"/>
      <c r="F3" s="1496"/>
      <c r="G3" s="1496"/>
      <c r="H3" s="1496"/>
      <c r="I3" s="1497"/>
      <c r="J3" s="223" t="str">
        <f>IF(Projektgrundlagen!F3="","",Projektgrundlagen!F3)</f>
        <v>Vertragsnr.:</v>
      </c>
      <c r="K3" s="873" t="str">
        <f>IF(Projektgrundlagen!G3="","",Projektgrundlagen!G3)</f>
        <v/>
      </c>
      <c r="L3" s="599"/>
      <c r="M3" s="599"/>
      <c r="N3" s="874"/>
      <c r="O3" s="602"/>
      <c r="P3" s="1287"/>
      <c r="S3" s="140" t="str">
        <f ca="1">MID(CELL("dateiname",A2),FIND("]",CELL("dateiname",A2))+1,255)</f>
        <v>F Honorarübersicht</v>
      </c>
    </row>
    <row r="4" spans="1:21" s="7" customFormat="1" ht="7.5" customHeight="1">
      <c r="A4" s="218"/>
      <c r="B4" s="214"/>
      <c r="C4" s="214"/>
      <c r="D4" s="214"/>
      <c r="E4" s="214"/>
      <c r="F4" s="214"/>
      <c r="G4" s="214"/>
      <c r="H4" s="242"/>
      <c r="I4" s="242"/>
      <c r="J4" s="242"/>
      <c r="K4" s="875"/>
      <c r="L4" s="875"/>
      <c r="M4" s="241"/>
      <c r="N4" s="241"/>
      <c r="O4" s="240"/>
      <c r="P4" s="1287"/>
    </row>
    <row r="5" spans="1:21" s="7" customFormat="1">
      <c r="A5" s="218"/>
      <c r="B5" s="1290" t="str">
        <f>IF(Projektgrundlagen!B5="","",Projektgrundlagen!B5)</f>
        <v>Maßnahmennr:</v>
      </c>
      <c r="C5" s="1291"/>
      <c r="D5" s="1391" t="str">
        <f>IF(Projektgrundlagen!E5="","",Projektgrundlagen!E5)</f>
        <v>B11S.ALSR0138.00</v>
      </c>
      <c r="E5" s="1391"/>
      <c r="F5" s="1391"/>
      <c r="G5" s="1391"/>
      <c r="H5" s="1391"/>
      <c r="I5" s="1391"/>
      <c r="J5" s="230" t="str">
        <f>IF(Projektgrundlagen!F5="","",Projektgrundlagen!F5)</f>
        <v>Vergabenr.:</v>
      </c>
      <c r="K5" s="257" t="str">
        <f>IF(Projektgrundlagen!G5="","",Projektgrundlagen!G5)</f>
        <v>25-131201</v>
      </c>
      <c r="L5" s="876"/>
      <c r="M5" s="418"/>
      <c r="N5" s="877"/>
      <c r="O5" s="878"/>
      <c r="P5" s="1287"/>
    </row>
    <row r="6" spans="1:21" s="7" customFormat="1">
      <c r="A6" s="218"/>
      <c r="B6" s="1292" t="str">
        <f>IF(Projektgrundlagen!B6="","",Projektgrundlagen!B6)</f>
        <v>Maßnahme:</v>
      </c>
      <c r="C6" s="1293"/>
      <c r="D6" s="1601" t="str">
        <f>IF(Projektgrundlagen!E6="","",Projektgrundlagen!E6)</f>
        <v>St2054 Geh- und Radweg westl. Babenried - Jesenwang</v>
      </c>
      <c r="E6" s="1601"/>
      <c r="F6" s="1601"/>
      <c r="G6" s="1601"/>
      <c r="H6" s="1601"/>
      <c r="I6" s="1601"/>
      <c r="J6" s="1601"/>
      <c r="K6" s="1601"/>
      <c r="L6" s="1601"/>
      <c r="M6" s="1601"/>
      <c r="N6" s="1601"/>
      <c r="O6" s="1602"/>
      <c r="P6" s="1287"/>
    </row>
    <row r="7" spans="1:21" s="7" customFormat="1">
      <c r="A7" s="218"/>
      <c r="B7" s="1296"/>
      <c r="C7" s="1297"/>
      <c r="D7" s="1599" t="str">
        <f>IF(Projektgrundlagen!E7="","",Projektgrundlagen!E7)</f>
        <v/>
      </c>
      <c r="E7" s="1599"/>
      <c r="F7" s="1599"/>
      <c r="G7" s="1599"/>
      <c r="H7" s="1599"/>
      <c r="I7" s="1599"/>
      <c r="J7" s="1599"/>
      <c r="K7" s="1599"/>
      <c r="L7" s="1599"/>
      <c r="M7" s="1599"/>
      <c r="N7" s="1599"/>
      <c r="O7" s="1600"/>
      <c r="P7" s="1287"/>
      <c r="S7" s="1605" t="s">
        <v>920</v>
      </c>
      <c r="T7" s="1606"/>
      <c r="U7" s="1607"/>
    </row>
    <row r="8" spans="1:21" s="7" customFormat="1">
      <c r="A8" s="218"/>
      <c r="B8" s="1300" t="s">
        <v>475</v>
      </c>
      <c r="C8" s="1301"/>
      <c r="D8" s="1603" t="str">
        <f>IF(Projektgrundlagen!E8="","",Projektgrundlagen!E8)</f>
        <v/>
      </c>
      <c r="E8" s="1603"/>
      <c r="F8" s="1603"/>
      <c r="G8" s="1603"/>
      <c r="H8" s="1603"/>
      <c r="I8" s="1603"/>
      <c r="J8" s="1603"/>
      <c r="K8" s="1603"/>
      <c r="L8" s="1603"/>
      <c r="M8" s="1603"/>
      <c r="N8" s="1603"/>
      <c r="O8" s="1604"/>
      <c r="P8" s="1287"/>
      <c r="S8" s="1612" t="s">
        <v>404</v>
      </c>
      <c r="T8" s="1613"/>
      <c r="U8" s="1612" t="s">
        <v>476</v>
      </c>
    </row>
    <row r="9" spans="1:21" s="7" customFormat="1" ht="16.600000000000001" customHeight="1">
      <c r="A9" s="218"/>
      <c r="B9" s="273"/>
      <c r="C9" s="101"/>
      <c r="D9" s="101"/>
      <c r="E9" s="101"/>
      <c r="F9" s="101"/>
      <c r="G9" s="101"/>
      <c r="H9" s="101"/>
      <c r="I9" s="877"/>
      <c r="J9" s="877"/>
      <c r="K9" s="877"/>
      <c r="L9" s="877"/>
      <c r="M9" s="418"/>
      <c r="N9" s="877"/>
      <c r="O9" s="418"/>
      <c r="S9" s="1612"/>
      <c r="T9" s="1613"/>
      <c r="U9" s="1612"/>
    </row>
    <row r="10" spans="1:21" s="7" customFormat="1" ht="29.95" customHeight="1">
      <c r="A10" s="871"/>
      <c r="B10" s="879" t="str">
        <f>"Honorarübersicht   "&amp;IF(Projektgrundlagen!I21,"Straßenbau",("Hochbau - "&amp;IF(Projektgrundlagen!I22,"Land","Bund")))</f>
        <v>Honorarübersicht   Straßenbau</v>
      </c>
      <c r="C10" s="880"/>
      <c r="D10" s="880"/>
      <c r="E10" s="880"/>
      <c r="F10" s="880"/>
      <c r="G10" s="880"/>
      <c r="H10" s="880"/>
      <c r="I10" s="880"/>
      <c r="J10" s="880"/>
      <c r="K10" s="880"/>
      <c r="L10" s="880"/>
      <c r="M10" s="880"/>
      <c r="N10" s="880"/>
      <c r="O10" s="880"/>
      <c r="P10"/>
      <c r="R10" s="135"/>
      <c r="S10" s="881">
        <f>IF('E Honorarberechnung'!I74&gt;0,'E Honorarberechnung'!I73,0)</f>
        <v>0</v>
      </c>
      <c r="T10" s="882"/>
      <c r="U10" s="883">
        <f>IF(AND('E Honorarberechnung'!O45,'E Honorarberechnung'!O46),"Minderung",IF(AND('E Honorarberechnung'!O45,'E Honorarberechnung'!O47),"Erhöhung",0))</f>
        <v>0</v>
      </c>
    </row>
    <row r="11" spans="1:21" s="7" customFormat="1" ht="9.65" customHeight="1">
      <c r="A11" s="871"/>
      <c r="B11" s="884"/>
      <c r="C11" s="885"/>
      <c r="D11" s="885"/>
      <c r="E11" s="885"/>
      <c r="F11" s="885"/>
      <c r="G11" s="885"/>
      <c r="H11" s="885"/>
      <c r="I11" s="885"/>
      <c r="J11" s="885"/>
      <c r="K11" s="885"/>
      <c r="L11" s="885"/>
      <c r="M11" s="885"/>
      <c r="N11" s="885"/>
      <c r="O11" s="885"/>
      <c r="P11"/>
      <c r="S11" s="886"/>
      <c r="T11" s="660"/>
      <c r="U11" s="887"/>
    </row>
    <row r="12" spans="1:21" s="7" customFormat="1" ht="16.149999999999999" customHeight="1">
      <c r="A12" s="218"/>
      <c r="B12" s="68" t="s">
        <v>371</v>
      </c>
      <c r="C12" s="185"/>
      <c r="D12" s="1270" t="str">
        <f>IF('A anrechb Kosten'!I11,"nach Kostenrahmen",IF('A anrechb Kosten'!I12,'A anrechb Kosten'!D12,IF('A anrechb Kosten'!I13,'A anrechb Kosten'!D13,"")))</f>
        <v>nach Kostenschätzung</v>
      </c>
      <c r="E12" s="69"/>
      <c r="F12" s="70" t="s">
        <v>372</v>
      </c>
      <c r="G12" s="1616" t="s">
        <v>921</v>
      </c>
      <c r="H12" s="1617"/>
      <c r="I12" s="888">
        <f>'H §48 HOAI'!$E$7</f>
        <v>3</v>
      </c>
      <c r="J12" s="889" t="str">
        <f>IF('E Honorarberechnung'!M14,"Basishonorar außerhalb der Honorartafel","Basishonorar der Honorartafel")</f>
        <v>Basishonorar der Honorartafel</v>
      </c>
      <c r="K12" s="185"/>
      <c r="L12" s="185"/>
      <c r="M12" s="71"/>
      <c r="N12" s="890" t="str">
        <f>IF(OR('E Honorarberechnung'!L29,'E Honorarberechnung'!L35),"mit Abweichung","ohne Abweichung")</f>
        <v>ohne Abweichung</v>
      </c>
      <c r="O12" s="70" t="s">
        <v>372</v>
      </c>
    </row>
    <row r="13" spans="1:21" s="7" customFormat="1" ht="15" customHeight="1">
      <c r="A13" s="218"/>
      <c r="B13" s="72" t="s">
        <v>926</v>
      </c>
      <c r="C13" s="186"/>
      <c r="D13" s="211" t="str">
        <f>IF('E Honorarberechnung'!M11,"Außerhalb Honorartafel!","")</f>
        <v/>
      </c>
      <c r="E13" s="1620">
        <f>'A anrechb Kosten'!G63</f>
        <v>2400000</v>
      </c>
      <c r="F13" s="1621"/>
      <c r="G13" s="1618"/>
      <c r="H13" s="1619"/>
      <c r="I13" s="927"/>
      <c r="J13" s="72" t="str">
        <f>IF('E Honorarberechnung'!O18,"Leistungsphasen 1 bis 7 und 9 (Teil E Z 4.10)","Leistungsphasen 1 bis 9 (Teil E Z 4.10)")</f>
        <v>Leistungsphasen 1 bis 7 und 9 (Teil E Z 4.10)</v>
      </c>
      <c r="K13" s="186"/>
      <c r="L13" s="186"/>
      <c r="M13" s="187"/>
      <c r="N13" s="186"/>
      <c r="O13" s="1134">
        <f>'E Honorarberechnung'!J41</f>
        <v>155864.79999999999</v>
      </c>
    </row>
    <row r="14" spans="1:21" s="7" customFormat="1" ht="15" customHeight="1">
      <c r="A14" s="218"/>
      <c r="B14" s="74" t="s">
        <v>927</v>
      </c>
      <c r="C14" s="188"/>
      <c r="D14" s="212"/>
      <c r="E14" s="1614">
        <f>'A anrechb Kosten'!G77</f>
        <v>2400000</v>
      </c>
      <c r="F14" s="1615"/>
      <c r="G14" s="868"/>
      <c r="H14" s="868"/>
      <c r="I14" s="891"/>
      <c r="J14" s="74" t="str">
        <f>IF('E Honorarberechnung'!O18,"Leistungsphase 8 (Teil E Z 4.10)","")</f>
        <v>Leistungsphase 8 (Teil E Z 4.10)</v>
      </c>
      <c r="K14" s="188"/>
      <c r="L14" s="188"/>
      <c r="M14" s="189"/>
      <c r="N14" s="188"/>
      <c r="O14" s="928">
        <f>IF('E Honorarberechnung'!O18,'E Honorarberechnung'!J42,0)</f>
        <v>155864.79999999999</v>
      </c>
    </row>
    <row r="15" spans="1:21" s="7" customFormat="1" ht="29.25" customHeight="1">
      <c r="A15" s="218"/>
      <c r="B15" s="1622" t="str">
        <f>IF('E Honorarberechnung'!L70,"Wiederholung Nr.:        "&amp;'E Honorarberechnung'!I72,"")</f>
        <v/>
      </c>
      <c r="C15" s="1623"/>
      <c r="D15" s="1624" t="s">
        <v>331</v>
      </c>
      <c r="E15" s="1625"/>
      <c r="F15" s="1625"/>
      <c r="G15" s="1625"/>
      <c r="H15" s="1625"/>
      <c r="I15" s="1626"/>
      <c r="J15" s="892" t="s">
        <v>332</v>
      </c>
      <c r="K15" s="892" t="s">
        <v>922</v>
      </c>
      <c r="L15" s="893" t="s">
        <v>333</v>
      </c>
      <c r="M15" s="1608" t="str">
        <f>'E Honorarberechnung'!D104</f>
        <v>Honorar Objektplanung Verkehrsanlagen netto</v>
      </c>
      <c r="N15" s="90" t="s">
        <v>334</v>
      </c>
      <c r="O15" s="1608" t="str">
        <f>'E Honorarberechnung'!C107</f>
        <v>Honorar Objektplanung Verkehrsanlagen brutto</v>
      </c>
    </row>
    <row r="16" spans="1:21" s="7" customFormat="1" ht="38.299999999999997" customHeight="1">
      <c r="A16" s="218"/>
      <c r="B16" s="1610" t="s">
        <v>923</v>
      </c>
      <c r="C16" s="1611"/>
      <c r="D16" s="3" t="s">
        <v>129</v>
      </c>
      <c r="E16" s="49" t="s">
        <v>335</v>
      </c>
      <c r="F16" s="49" t="str">
        <f>IF(S10&gt;0%,"Wiederholung - Minderung Lph 1 bis 6 auf","Keine Wiederholung")</f>
        <v>Keine Wiederholung</v>
      </c>
      <c r="G16" s="49" t="str">
        <f>IF(S10&gt;0%,"Honorar für Wiederholung","Honorar")</f>
        <v>Honorar</v>
      </c>
      <c r="H16" s="49" t="str">
        <f>IF(U10=0,"Keine Minderung bzw. Erhöhung",IF(U10="Minderung","Honorar gemindert         (§ 7 HOAI)","Honorar erhöht       (§ 7 HOAI)"))</f>
        <v>Keine Minderung bzw. Erhöhung</v>
      </c>
      <c r="I16" s="49" t="str">
        <f>IF(AND('E Honorarberechnung'!O59,'E Honorarberechnung'!O61),"Honorar mit Umbauzuschlag",IF(AND('E Honorarberechnung'!O59,'E Honorarberechnung'!O64),"Honorar mit Instandsetzungs-zuschlag","Honorar - kein Umbau/ Instands.-zuschlag"))</f>
        <v>Honorar - kein Umbau/ Instands.-zuschlag</v>
      </c>
      <c r="J16" s="894" t="s">
        <v>924</v>
      </c>
      <c r="K16" s="895" t="s">
        <v>422</v>
      </c>
      <c r="L16" s="896"/>
      <c r="M16" s="1609"/>
      <c r="N16" s="143"/>
      <c r="O16" s="1609"/>
    </row>
    <row r="17" spans="1:21" s="7" customFormat="1" ht="12.85" customHeight="1">
      <c r="A17" s="218"/>
      <c r="B17" s="897"/>
      <c r="C17" s="51"/>
      <c r="D17" s="3" t="s">
        <v>815</v>
      </c>
      <c r="E17" s="3" t="s">
        <v>815</v>
      </c>
      <c r="F17" s="49" t="s">
        <v>925</v>
      </c>
      <c r="G17" s="49" t="s">
        <v>372</v>
      </c>
      <c r="H17" s="49" t="s">
        <v>372</v>
      </c>
      <c r="I17" s="49" t="s">
        <v>372</v>
      </c>
      <c r="J17" s="49" t="s">
        <v>372</v>
      </c>
      <c r="K17" s="49" t="s">
        <v>372</v>
      </c>
      <c r="L17" s="898" t="s">
        <v>372</v>
      </c>
      <c r="M17" s="49" t="s">
        <v>372</v>
      </c>
      <c r="N17" s="49" t="s">
        <v>372</v>
      </c>
      <c r="O17" s="49" t="s">
        <v>372</v>
      </c>
    </row>
    <row r="18" spans="1:21" s="7" customFormat="1">
      <c r="A18" s="218"/>
      <c r="B18" s="899" t="str">
        <f>IF(Projektgrundlagen!$I$21,"Lph 1",IF(Projektgrundlagen!$I$22,"Lst 1A",IF(Projektgrundlagen!$I$23,"Lph 1","")))</f>
        <v>Lph 1</v>
      </c>
      <c r="C18" s="900" t="str">
        <f>'E Honorarberechnung'!D86</f>
        <v>Grundlagenermittlung</v>
      </c>
      <c r="D18" s="901">
        <f>'StB-C1 Grundlstg'!I42+'HB-C1 Grundlstg Land'!I27+'HB-C2 Grundlstg Bund'!I27</f>
        <v>2</v>
      </c>
      <c r="E18" s="901">
        <f>'StB-C1 Grundlstg'!J42+'HB-C1 Grundlstg Land'!J27+'HB-C2 Grundlstg Bund'!J27</f>
        <v>1.7</v>
      </c>
      <c r="F18" s="902">
        <f>IF($S$10=0,0,E18/100*(1-$S$10))</f>
        <v>0</v>
      </c>
      <c r="G18" s="901">
        <f>IF('E Honorarberechnung'!$J$104=0,0,IF(F18=0,'E Honorarberechnung'!$J$41*E18/100,'E Honorarberechnung'!$J$41*F18))</f>
        <v>2649.7015999999999</v>
      </c>
      <c r="H18" s="901">
        <f>IF($U$10=0,0,IF($U$10="Minderung",G18*(1-'E Honorarberechnung'!$I$46/100),G18*(1+'E Honorarberechnung'!$I$47/100)))</f>
        <v>0</v>
      </c>
      <c r="I18" s="901">
        <f>IF(H18=0,IF('E Honorarberechnung'!$J$63&gt;0,(1+('E Honorarberechnung'!$I$62/100))*G18,G18),IF('E Honorarberechnung'!$J$63&gt;0,(1+'E Honorarberechnung'!$I$62/100)*H18,H18))</f>
        <v>2649.7015999999999</v>
      </c>
      <c r="J18" s="901">
        <f>SUM('E Honorarberechnung'!Q116:R116)</f>
        <v>0</v>
      </c>
      <c r="K18" s="901">
        <f>IF('E Honorarberechnung'!$O$82,I18+J18,0)</f>
        <v>2649.7015999999999</v>
      </c>
      <c r="L18" s="903">
        <f>IF($K$30=0,0,IF(AND('E Honorarberechnung'!$O$82,'E Honorarberechnung'!$L$83,'E Honorarberechnung'!$O$83),'E Honorarberechnung'!$I$83*K18,IF(AND('E Honorarberechnung'!$O$82,'E Honorarberechnung'!$L$84,'E Honorarberechnung'!$O$84),'E Honorarberechnung'!$I$84/$K$30*K18,IF(AND('E Honorarberechnung'!$O$82,'E Honorarberechnung'!$L$85,'E Honorarberechnung'!O86),'E Honorarberechnung'!J86,0))))</f>
        <v>0</v>
      </c>
      <c r="M18" s="901">
        <f>SUM(K18:L18)</f>
        <v>2649.7015999999999</v>
      </c>
      <c r="N18" s="901">
        <f>+M18*'E Honorarberechnung'!$I$105</f>
        <v>503.44330399999996</v>
      </c>
      <c r="O18" s="904">
        <f>+M18+N18</f>
        <v>3153.1449039999998</v>
      </c>
    </row>
    <row r="19" spans="1:21" s="7" customFormat="1">
      <c r="A19" s="218"/>
      <c r="B19" s="905" t="str">
        <f>IF(Projektgrundlagen!$I$21,"Lph 2",IF(Projektgrundlagen!$I$22,"Lst 1B",IF(Projektgrundlagen!$I$23,"Lph 2","")))</f>
        <v>Lph 2</v>
      </c>
      <c r="C19" s="906" t="str">
        <f>'E Honorarberechnung'!D87</f>
        <v xml:space="preserve">Vorplanung </v>
      </c>
      <c r="D19" s="907">
        <f>'StB-C1 Grundlstg'!I115+'HB-C1 Grundlstg Land'!I58+'HB-C2 Grundlstg Bund'!I58</f>
        <v>20</v>
      </c>
      <c r="E19" s="907">
        <f>'StB-C1 Grundlstg'!J115+'HB-C1 Grundlstg Land'!J58+'HB-C2 Grundlstg Bund'!J58</f>
        <v>19</v>
      </c>
      <c r="F19" s="908">
        <f>IF($S$10=0,0,E19/100*(1-$S$10))</f>
        <v>0</v>
      </c>
      <c r="G19" s="907">
        <f>IF('E Honorarberechnung'!$J$104=0,0,IF(F19=0,'E Honorarberechnung'!$J$41*E19/100,'E Honorarberechnung'!$J$41*F19))</f>
        <v>29614.311999999998</v>
      </c>
      <c r="H19" s="907">
        <f>IF($U$10=0,0,IF($U$10="Minderung",G19*(1-'E Honorarberechnung'!$I$46/100),G19*(1+'E Honorarberechnung'!$I$47/100)))</f>
        <v>0</v>
      </c>
      <c r="I19" s="907">
        <f>IF(H19=0,IF('E Honorarberechnung'!$J$63&gt;0,(1+('E Honorarberechnung'!$I$62/100))*G19,G19),IF('E Honorarberechnung'!$J$63&gt;0,(1+'E Honorarberechnung'!$I$62/100)*H19,H19))</f>
        <v>29614.311999999998</v>
      </c>
      <c r="J19" s="907">
        <f>SUM('E Honorarberechnung'!Q117:R117)</f>
        <v>0</v>
      </c>
      <c r="K19" s="907">
        <f>IF('E Honorarberechnung'!$O$82,I19+J19,0)</f>
        <v>29614.311999999998</v>
      </c>
      <c r="L19" s="909">
        <f>IF($K$30=0,0,IF(AND('E Honorarberechnung'!$O$82,'E Honorarberechnung'!$L$83,'E Honorarberechnung'!$O$83),'E Honorarberechnung'!$I$83*K19,IF(AND('E Honorarberechnung'!$O$82,'E Honorarberechnung'!$L$84,'E Honorarberechnung'!$O$84),'E Honorarberechnung'!$I$84/$K$30*K19,IF(AND('E Honorarberechnung'!$O$82,'E Honorarberechnung'!$L$85,'E Honorarberechnung'!O87),'E Honorarberechnung'!J87,0))))</f>
        <v>0</v>
      </c>
      <c r="M19" s="907">
        <f t="shared" ref="M19:M28" si="0">SUM(K19:L19)</f>
        <v>29614.311999999998</v>
      </c>
      <c r="N19" s="907">
        <f>+M19*'E Honorarberechnung'!$I$105</f>
        <v>5626.7192799999993</v>
      </c>
      <c r="O19" s="910">
        <f t="shared" ref="O19:O28" si="1">+M19+N19</f>
        <v>35241.031279999996</v>
      </c>
    </row>
    <row r="20" spans="1:21" s="7" customFormat="1">
      <c r="A20" s="218"/>
      <c r="B20" s="905" t="str">
        <f>IF(Projektgrundlagen!$I$21,"Lph 3",IF(Projektgrundlagen!$I$22,"Lst 1C",IF(Projektgrundlagen!$I$23,"Lph 3","")))</f>
        <v>Lph 3</v>
      </c>
      <c r="C20" s="906" t="str">
        <f>'E Honorarberechnung'!D88</f>
        <v xml:space="preserve">Entwurfsplanung </v>
      </c>
      <c r="D20" s="907">
        <f>'StB-C1 Grundlstg'!I209+'HB-C1 Grundlstg Land'!I93+'HB-C2 Grundlstg Bund'!I95</f>
        <v>25</v>
      </c>
      <c r="E20" s="907">
        <f>'StB-C1 Grundlstg'!J209+'HB-C1 Grundlstg Land'!J93+'HB-C2 Grundlstg Bund'!J95</f>
        <v>23.5</v>
      </c>
      <c r="F20" s="908">
        <f>IF($S$10=0,0,E20/100*(1-$S$10))</f>
        <v>0</v>
      </c>
      <c r="G20" s="907">
        <f>IF('E Honorarberechnung'!$J$104=0,0,IF(F20=0,'E Honorarberechnung'!$J$41*E20/100,'E Honorarberechnung'!$J$41*F20))</f>
        <v>36628.227999999996</v>
      </c>
      <c r="H20" s="907">
        <f>IF($U$10=0,0,IF($U$10="Minderung",G20*(1-'E Honorarberechnung'!$I$46/100),G20*(1+'E Honorarberechnung'!$I$47/100)))</f>
        <v>0</v>
      </c>
      <c r="I20" s="907">
        <f>IF(H20=0,IF('E Honorarberechnung'!$J$63&gt;0,(1+('E Honorarberechnung'!$I$62/100))*G20,G20),IF('E Honorarberechnung'!$J$63&gt;0,(1+'E Honorarberechnung'!$I$62/100)*H20,H20))</f>
        <v>36628.227999999996</v>
      </c>
      <c r="J20" s="907">
        <f>SUM('E Honorarberechnung'!Q118:R118)</f>
        <v>0</v>
      </c>
      <c r="K20" s="907">
        <f>IF('E Honorarberechnung'!$O$82,I20+J20,0)</f>
        <v>36628.227999999996</v>
      </c>
      <c r="L20" s="909">
        <f>IF($K$30=0,0,IF(AND('E Honorarberechnung'!$O$82,'E Honorarberechnung'!$L$83,'E Honorarberechnung'!$O$83),'E Honorarberechnung'!$I$83*K20,IF(AND('E Honorarberechnung'!$O$82,'E Honorarberechnung'!$L$84,'E Honorarberechnung'!$O$84),'E Honorarberechnung'!$I$84/$K$30*K20,IF(AND('E Honorarberechnung'!$O$82,'E Honorarberechnung'!$L$85,'E Honorarberechnung'!O88),'E Honorarberechnung'!J88,0))))</f>
        <v>0</v>
      </c>
      <c r="M20" s="907">
        <f t="shared" si="0"/>
        <v>36628.227999999996</v>
      </c>
      <c r="N20" s="907">
        <f>+M20*'E Honorarberechnung'!$I$105</f>
        <v>6959.3633199999995</v>
      </c>
      <c r="O20" s="910">
        <f t="shared" si="1"/>
        <v>43587.591319999992</v>
      </c>
    </row>
    <row r="21" spans="1:21" s="7" customFormat="1">
      <c r="A21" s="218"/>
      <c r="B21" s="905" t="str">
        <f>IF(Projektgrundlagen!$I$21,"Lph 4",IF(Projektgrundlagen!$I$22,"Lst 1D",IF(Projektgrundlagen!$I$23,"Lph 4","")))</f>
        <v>Lph 4</v>
      </c>
      <c r="C21" s="906" t="str">
        <f>'E Honorarberechnung'!D89</f>
        <v xml:space="preserve">Genehmigungsplanung </v>
      </c>
      <c r="D21" s="907">
        <f>'StB-C1 Grundlstg'!I242+'HB-C1 Grundlstg Land'!I108+'HB-C2 Grundlstg Bund'!I110</f>
        <v>8</v>
      </c>
      <c r="E21" s="907">
        <f>'StB-C1 Grundlstg'!J242+'HB-C1 Grundlstg Land'!J108+'HB-C2 Grundlstg Bund'!J110</f>
        <v>8</v>
      </c>
      <c r="F21" s="908">
        <f>IF($S$10=0,0,E21/100*(1-$S$10))</f>
        <v>0</v>
      </c>
      <c r="G21" s="907">
        <f>IF('E Honorarberechnung'!$J$104=0,0,IF(F21=0,'E Honorarberechnung'!$J$41*E21/100,'E Honorarberechnung'!$J$41*F21))</f>
        <v>12469.183999999999</v>
      </c>
      <c r="H21" s="907">
        <f>IF($U$10=0,0,IF($U$10="Minderung",G21*(1-'E Honorarberechnung'!$I$46/100),G21*(1+'E Honorarberechnung'!$I$47/100)))</f>
        <v>0</v>
      </c>
      <c r="I21" s="907">
        <f>IF(H21=0,IF('E Honorarberechnung'!$J$63&gt;0,(1+('E Honorarberechnung'!$I$62/100))*G21,G21),IF('E Honorarberechnung'!$J$63&gt;0,(1+'E Honorarberechnung'!$I$62/100)*H21,H21))</f>
        <v>12469.183999999999</v>
      </c>
      <c r="J21" s="907">
        <f>SUM('E Honorarberechnung'!Q119:R119)</f>
        <v>0</v>
      </c>
      <c r="K21" s="907">
        <f>IF('E Honorarberechnung'!$O$82,I21+J21,0)</f>
        <v>12469.183999999999</v>
      </c>
      <c r="L21" s="909">
        <f>IF($K$30=0,0,IF(AND('E Honorarberechnung'!$O$82,'E Honorarberechnung'!$L$83,'E Honorarberechnung'!$O$83),'E Honorarberechnung'!$I$83*K21,IF(AND('E Honorarberechnung'!$O$82,'E Honorarberechnung'!$L$84,'E Honorarberechnung'!$O$84),'E Honorarberechnung'!$I$84/$K$30*K21,IF(AND('E Honorarberechnung'!$O$82,'E Honorarberechnung'!$L$85,'E Honorarberechnung'!O89),'E Honorarberechnung'!J89,0))))</f>
        <v>0</v>
      </c>
      <c r="M21" s="907">
        <f t="shared" si="0"/>
        <v>12469.183999999999</v>
      </c>
      <c r="N21" s="907">
        <f>+M21*'E Honorarberechnung'!$I$105</f>
        <v>2369.1449600000001</v>
      </c>
      <c r="O21" s="910">
        <f t="shared" si="1"/>
        <v>14838.328959999999</v>
      </c>
    </row>
    <row r="22" spans="1:21" s="7" customFormat="1">
      <c r="A22" s="218"/>
      <c r="B22" s="905" t="str">
        <f>IF(Projektgrundlagen!$I$21,"",IF(Projektgrundlagen!$I$22,"",IF(Projektgrundlagen!$I$23,"Lst 1","")))</f>
        <v/>
      </c>
      <c r="C22" s="906" t="str">
        <f>IF(Projektgrundlagen!$I$21,"",IF(Projektgrundlagen!$I$22,"",IF(Projektgrundlagen!$I$23,"Besondere Leistungen","")))</f>
        <v/>
      </c>
      <c r="D22" s="907"/>
      <c r="E22" s="907"/>
      <c r="F22" s="908"/>
      <c r="G22" s="907">
        <f>IF('E Honorarberechnung'!$J$104=0,0,IF(F22=0,'E Honorarberechnung'!$J$41*E22/100,'E Honorarberechnung'!$J$41*F22))</f>
        <v>0</v>
      </c>
      <c r="H22" s="907">
        <f>IF($U$10=0,0,IF($U$10="Minderung",G22*(1-'E Honorarberechnung'!$I$46/100),G22*(1+'E Honorarberechnung'!$I$47/100)))</f>
        <v>0</v>
      </c>
      <c r="I22" s="907">
        <f>IF(H22=0,IF('E Honorarberechnung'!$J$63&gt;0,(1+('E Honorarberechnung'!$I$62/100))*G22,G22),IF('E Honorarberechnung'!$J$63&gt;0,(1+'E Honorarberechnung'!$I$62/100)*H22,H22))</f>
        <v>0</v>
      </c>
      <c r="J22" s="907">
        <f>SUM('E Honorarberechnung'!S119)</f>
        <v>0</v>
      </c>
      <c r="K22" s="907">
        <f>IF('E Honorarberechnung'!$O$82,I22+J22,0)</f>
        <v>0</v>
      </c>
      <c r="L22" s="909">
        <f>IF($K$30=0,0,IF(AND('E Honorarberechnung'!$O$82,'E Honorarberechnung'!$L$83,'E Honorarberechnung'!$O$83),'E Honorarberechnung'!$I$83*K22,IF(AND('E Honorarberechnung'!$O$82,'E Honorarberechnung'!$L$84,'E Honorarberechnung'!$O$84),'E Honorarberechnung'!$I$84/$K$30*K22,IF(AND('E Honorarberechnung'!$O$82,'E Honorarberechnung'!$L$85,'E Honorarberechnung'!O90),'E Honorarberechnung'!J90,0))))</f>
        <v>0</v>
      </c>
      <c r="M22" s="907">
        <f t="shared" si="0"/>
        <v>0</v>
      </c>
      <c r="N22" s="907">
        <f>+M22*'E Honorarberechnung'!$I$105</f>
        <v>0</v>
      </c>
      <c r="O22" s="910">
        <f t="shared" si="1"/>
        <v>0</v>
      </c>
    </row>
    <row r="23" spans="1:21" s="7" customFormat="1">
      <c r="A23" s="218"/>
      <c r="B23" s="905" t="str">
        <f>IF(Projektgrundlagen!$I$21,"Lph 5",IF(Projektgrundlagen!$I$22,"Lst 2",IF(Projektgrundlagen!$I$23,"Lst 2","")))</f>
        <v>Lph 5</v>
      </c>
      <c r="C23" s="926" t="str">
        <f>'E Honorarberechnung'!D91</f>
        <v xml:space="preserve">Ausführungsplanung </v>
      </c>
      <c r="D23" s="907">
        <f>'StB-C1 Grundlstg'!I291+'HB-C1 Grundlstg Land'!I119+'HB-C2 Grundlstg Bund'!I123</f>
        <v>15</v>
      </c>
      <c r="E23" s="907">
        <f>'StB-C1 Grundlstg'!J291+'HB-C1 Grundlstg Land'!J119+'HB-C2 Grundlstg Bund'!J123</f>
        <v>15</v>
      </c>
      <c r="F23" s="908">
        <f>IF($S$10=0,0,E23/100*(1-$S$10))</f>
        <v>0</v>
      </c>
      <c r="G23" s="907">
        <f>IF('E Honorarberechnung'!$J$104=0,0,IF(F23=0,'E Honorarberechnung'!$J$41*E23/100,'E Honorarberechnung'!$J$41*F23))</f>
        <v>23379.72</v>
      </c>
      <c r="H23" s="907">
        <f>IF($U$10=0,0,IF($U$10="Minderung",G23*(1-'E Honorarberechnung'!$I$46/100),G23*(1+'E Honorarberechnung'!$I$47/100)))</f>
        <v>0</v>
      </c>
      <c r="I23" s="907">
        <f>IF(H23=0,IF('E Honorarberechnung'!$J$63&gt;0,(1+('E Honorarberechnung'!$I$62/100))*G23,G23),IF('E Honorarberechnung'!$J$63&gt;0,(1+'E Honorarberechnung'!$I$62/100)*H23,H23))</f>
        <v>23379.72</v>
      </c>
      <c r="J23" s="907">
        <f>SUM('E Honorarberechnung'!Q120:S120)</f>
        <v>0</v>
      </c>
      <c r="K23" s="907">
        <f>IF('E Honorarberechnung'!$O$82,I23+J23,0)</f>
        <v>23379.72</v>
      </c>
      <c r="L23" s="909">
        <f>IF($K$30=0,0,IF(AND('E Honorarberechnung'!$O$82,'E Honorarberechnung'!$L$83,'E Honorarberechnung'!$O$83),'E Honorarberechnung'!$I$83*K23,IF(AND('E Honorarberechnung'!$O$82,'E Honorarberechnung'!$L$84,'E Honorarberechnung'!$O$84),'E Honorarberechnung'!$I$84/$K$30*K23,IF(AND('E Honorarberechnung'!$O$82,'E Honorarberechnung'!$L$85,'E Honorarberechnung'!O91),'E Honorarberechnung'!J91,0))))</f>
        <v>0</v>
      </c>
      <c r="M23" s="907">
        <f t="shared" si="0"/>
        <v>23379.72</v>
      </c>
      <c r="N23" s="907">
        <f>+M23*'E Honorarberechnung'!$I$105</f>
        <v>4442.1468000000004</v>
      </c>
      <c r="O23" s="910">
        <f t="shared" si="1"/>
        <v>27821.866800000003</v>
      </c>
    </row>
    <row r="24" spans="1:21" s="7" customFormat="1">
      <c r="A24" s="218"/>
      <c r="B24" s="905" t="str">
        <f>IF(Projektgrundlagen!$I$21,"Lph 6",IF(Projektgrundlagen!$I$22,"Lst 3A",IF(Projektgrundlagen!$I$23,"Lph 6","")))</f>
        <v>Lph 6</v>
      </c>
      <c r="C24" s="926" t="str">
        <f>'E Honorarberechnung'!D92</f>
        <v>Vorbereitung der Vergabe</v>
      </c>
      <c r="D24" s="907">
        <f>'StB-C1 Grundlstg'!I319+'HB-C1 Grundlstg Land'!I137+'HB-C2 Grundlstg Bund'!I141</f>
        <v>10</v>
      </c>
      <c r="E24" s="907">
        <f>'StB-C1 Grundlstg'!J319+'HB-C1 Grundlstg Land'!J137+'HB-C2 Grundlstg Bund'!J141</f>
        <v>9.5</v>
      </c>
      <c r="F24" s="908">
        <f>IF($S$10=0,0,E24/100*(1-$S$10))</f>
        <v>0</v>
      </c>
      <c r="G24" s="907">
        <f>IF('E Honorarberechnung'!$J$104=0,0,IF(F24=0,'E Honorarberechnung'!$J$41*E24/100,'E Honorarberechnung'!$J$41*F24))</f>
        <v>14807.155999999999</v>
      </c>
      <c r="H24" s="907">
        <f>IF($U$10=0,0,IF($U$10="Minderung",G24*(1-'E Honorarberechnung'!$I$46/100),G24*(1+'E Honorarberechnung'!$I$47/100)))</f>
        <v>0</v>
      </c>
      <c r="I24" s="907">
        <f>IF(H24=0,IF('E Honorarberechnung'!$J$63&gt;0,(1+('E Honorarberechnung'!$I$62/100))*G24,G24),IF('E Honorarberechnung'!$J$63&gt;0,(1+'E Honorarberechnung'!$I$62/100)*H24,H24))</f>
        <v>14807.155999999999</v>
      </c>
      <c r="J24" s="907">
        <f>SUM('E Honorarberechnung'!Q121:R121)</f>
        <v>0</v>
      </c>
      <c r="K24" s="907">
        <f>IF('E Honorarberechnung'!$O$82,I24+J24,0)</f>
        <v>14807.155999999999</v>
      </c>
      <c r="L24" s="909">
        <f>IF($K$30=0,0,IF(AND('E Honorarberechnung'!$O$82,'E Honorarberechnung'!$L$83,'E Honorarberechnung'!$O$83),'E Honorarberechnung'!$I$83*K24,IF(AND('E Honorarberechnung'!$O$82,'E Honorarberechnung'!$L$84,'E Honorarberechnung'!$O$84),'E Honorarberechnung'!$I$84/$K$30*K24,IF(AND('E Honorarberechnung'!$O$82,'E Honorarberechnung'!$L$85,'E Honorarberechnung'!O92),'E Honorarberechnung'!J92,0))))</f>
        <v>0</v>
      </c>
      <c r="M24" s="907">
        <f t="shared" si="0"/>
        <v>14807.155999999999</v>
      </c>
      <c r="N24" s="907">
        <f>+M24*'E Honorarberechnung'!$I$105</f>
        <v>2813.3596399999997</v>
      </c>
      <c r="O24" s="910">
        <f t="shared" si="1"/>
        <v>17620.515639999998</v>
      </c>
    </row>
    <row r="25" spans="1:21" s="7" customFormat="1">
      <c r="A25" s="218"/>
      <c r="B25" s="905" t="str">
        <f>IF(Projektgrundlagen!$I$21,"Lph 7",IF(Projektgrundlagen!$I$22,"Lst 3B",IF(Projektgrundlagen!$I$23,"Lph 7","")))</f>
        <v>Lph 7</v>
      </c>
      <c r="C25" s="926" t="str">
        <f>'E Honorarberechnung'!D93</f>
        <v>Mitwirkung bei der Vergabe</v>
      </c>
      <c r="D25" s="907">
        <f>'StB-C1 Grundlstg'!I350+'HB-C1 Grundlstg Land'!I160+'HB-C2 Grundlstg Bund'!I164</f>
        <v>4</v>
      </c>
      <c r="E25" s="907">
        <f>'StB-C1 Grundlstg'!J350+'HB-C1 Grundlstg Land'!J160+'HB-C2 Grundlstg Bund'!J164</f>
        <v>0</v>
      </c>
      <c r="F25" s="908">
        <f>IF($S$10=0,0,E25/100)</f>
        <v>0</v>
      </c>
      <c r="G25" s="907">
        <f>IF('E Honorarberechnung'!$J$104=0,0,IF(F25=0,'E Honorarberechnung'!$J$41*E25/100,'E Honorarberechnung'!$J$41*F25))</f>
        <v>0</v>
      </c>
      <c r="H25" s="907">
        <f>IF($U$10=0,0,IF($U$10="Minderung",G25*(1-'E Honorarberechnung'!$I$46/100),G25*(1+'E Honorarberechnung'!$I$47/100)))</f>
        <v>0</v>
      </c>
      <c r="I25" s="907">
        <f>IF(H25=0,IF('E Honorarberechnung'!$J$63&gt;0,(1+('E Honorarberechnung'!$I$62/100))*G25,G25),IF('E Honorarberechnung'!$J$63&gt;0,(1+'E Honorarberechnung'!$I$62/100)*H25,H25))</f>
        <v>0</v>
      </c>
      <c r="J25" s="907">
        <f>SUM('E Honorarberechnung'!Q122:R122)</f>
        <v>0</v>
      </c>
      <c r="K25" s="907">
        <f>IF('E Honorarberechnung'!$O$82,I25+J25,0)</f>
        <v>0</v>
      </c>
      <c r="L25" s="909">
        <f>IF($K$30=0,0,IF(AND('E Honorarberechnung'!$O$82,'E Honorarberechnung'!$L$83,'E Honorarberechnung'!$O$83),'E Honorarberechnung'!$I$83*K25,IF(AND('E Honorarberechnung'!$O$82,'E Honorarberechnung'!$L$84,'E Honorarberechnung'!$O$84),'E Honorarberechnung'!$I$84/$K$30*K25,IF(AND('E Honorarberechnung'!$O$82,'E Honorarberechnung'!$L$85,'E Honorarberechnung'!O93),'E Honorarberechnung'!J93,0))))</f>
        <v>0</v>
      </c>
      <c r="M25" s="907">
        <f t="shared" si="0"/>
        <v>0</v>
      </c>
      <c r="N25" s="907">
        <f>+M25*'E Honorarberechnung'!$I$105</f>
        <v>0</v>
      </c>
      <c r="O25" s="910">
        <f t="shared" si="1"/>
        <v>0</v>
      </c>
      <c r="S25"/>
      <c r="T25"/>
      <c r="U25"/>
    </row>
    <row r="26" spans="1:21" s="7" customFormat="1">
      <c r="A26" s="218"/>
      <c r="B26" s="905" t="str">
        <f>IF(Projektgrundlagen!$I$21,"",IF(Projektgrundlagen!$I$22,"",IF(Projektgrundlagen!$I$23,"Lst 3","")))</f>
        <v/>
      </c>
      <c r="C26" s="906" t="str">
        <f>IF(Projektgrundlagen!$I$21,"",IF(Projektgrundlagen!$I$22,"",IF(Projektgrundlagen!$I$23,"Besondere Leistungen","")))</f>
        <v/>
      </c>
      <c r="D26" s="907"/>
      <c r="E26" s="907"/>
      <c r="F26" s="908"/>
      <c r="G26" s="907">
        <f>IF('E Honorarberechnung'!$J$104=0,0,IF(F26=0,'E Honorarberechnung'!$J$41*E26/100,'E Honorarberechnung'!$J$41*F26))</f>
        <v>0</v>
      </c>
      <c r="H26" s="907">
        <f>IF($U$10=0,0,IF($U$10="Minderung",G26*(1-'E Honorarberechnung'!$I$46/100),G26*(1+'E Honorarberechnung'!$I$47/100)))</f>
        <v>0</v>
      </c>
      <c r="I26" s="907">
        <f>IF(H26=0,IF('E Honorarberechnung'!$J$63&gt;0,(1+('E Honorarberechnung'!$I$62/100))*G26,G26),IF('E Honorarberechnung'!$J$63&gt;0,(1+'E Honorarberechnung'!$I$62/100)*H26,H26))</f>
        <v>0</v>
      </c>
      <c r="J26" s="907">
        <f>SUM('E Honorarberechnung'!S122)</f>
        <v>0</v>
      </c>
      <c r="K26" s="907">
        <f>IF('E Honorarberechnung'!$O$82,I26+J26,0)</f>
        <v>0</v>
      </c>
      <c r="L26" s="909">
        <f>IF($K$30=0,0,IF(AND('E Honorarberechnung'!$O$82,'E Honorarberechnung'!$L$83,'E Honorarberechnung'!$O$83),'E Honorarberechnung'!$I$83*K26,IF(AND('E Honorarberechnung'!$O$82,'E Honorarberechnung'!$L$84,'E Honorarberechnung'!$O$84),'E Honorarberechnung'!$I$84/$K$30*K26,IF(AND('E Honorarberechnung'!$O$82,'E Honorarberechnung'!$L$85,'E Honorarberechnung'!O94),'E Honorarberechnung'!J94,0))))</f>
        <v>0</v>
      </c>
      <c r="M26" s="907">
        <f t="shared" si="0"/>
        <v>0</v>
      </c>
      <c r="N26" s="907">
        <f>+M26*'E Honorarberechnung'!$I$105</f>
        <v>0</v>
      </c>
      <c r="O26" s="910">
        <f t="shared" si="1"/>
        <v>0</v>
      </c>
    </row>
    <row r="27" spans="1:21" s="7" customFormat="1">
      <c r="A27" s="218"/>
      <c r="B27" s="905" t="str">
        <f>IF(Projektgrundlagen!$I$21,"Lph 8",IF(Projektgrundlagen!$I$22,"Lst 4",IF(Projektgrundlagen!$I$23,"Lst 4","")))</f>
        <v>Lph 8</v>
      </c>
      <c r="C27" s="906" t="str">
        <f>'E Honorarberechnung'!D95</f>
        <v xml:space="preserve">Bauoberleitung </v>
      </c>
      <c r="D27" s="907">
        <f>'StB-C1 Grundlstg'!I384+'HB-C1 Grundlstg Land'!I186+'HB-C2 Grundlstg Bund'!I192</f>
        <v>15</v>
      </c>
      <c r="E27" s="907">
        <f>'StB-C1 Grundlstg'!J384+'HB-C1 Grundlstg Land'!J186+'HB-C2 Grundlstg Bund'!J192</f>
        <v>9</v>
      </c>
      <c r="F27" s="908">
        <f>IF($S$10=0,0,E27/100)</f>
        <v>0</v>
      </c>
      <c r="G27" s="907">
        <f>IF('E Honorarberechnung'!$J$104=0,0,IF('E Honorarberechnung'!O18,IF(F27=0,'E Honorarberechnung'!$J$42*E27/100,'E Honorarberechnung'!$J$42*F27),IF(F27=0,'E Honorarberechnung'!$J$41*E27/100,'E Honorarberechnung'!$J$41*F27)))</f>
        <v>14027.832</v>
      </c>
      <c r="H27" s="907">
        <f>IF($U$10=0,0,IF($U$10="Minderung",G27*(1-'E Honorarberechnung'!$I$46/100),G27*(1+'E Honorarberechnung'!$I$47/100)))</f>
        <v>0</v>
      </c>
      <c r="I27" s="907">
        <f>IF(H27=0,IF('E Honorarberechnung'!$J$63&gt;0,(1+('E Honorarberechnung'!$I$62/100))*G27,IF('E Honorarberechnung'!$J$66&gt;0,(1+('E Honorarberechnung'!$I$65/100))*G27,G27)),IF('E Honorarberechnung'!$J$63&gt;0,(1+'E Honorarberechnung'!$I$62/100)*H27,IF('E Honorarberechnung'!$J$66&gt;0,(1+'E Honorarberechnung'!$I$65/100)*H27,H27)))</f>
        <v>14027.832</v>
      </c>
      <c r="J27" s="907">
        <f>SUM('E Honorarberechnung'!Q123:S123)</f>
        <v>0</v>
      </c>
      <c r="K27" s="907">
        <f>IF('E Honorarberechnung'!$O$82,I27+J27,0)</f>
        <v>14027.832</v>
      </c>
      <c r="L27" s="909">
        <f>IF($K$30=0,0,IF(AND('E Honorarberechnung'!$O$82,'E Honorarberechnung'!$L$83,'E Honorarberechnung'!$O$83),'E Honorarberechnung'!$I$83*K27,IF(AND('E Honorarberechnung'!$O$82,'E Honorarberechnung'!$L$84,'E Honorarberechnung'!$O$84),'E Honorarberechnung'!$I$84/$K$30*K27,IF(AND('E Honorarberechnung'!$O$82,'E Honorarberechnung'!$L$85,'E Honorarberechnung'!O95),'E Honorarberechnung'!J95,0))))</f>
        <v>0</v>
      </c>
      <c r="M27" s="907">
        <f t="shared" si="0"/>
        <v>14027.832</v>
      </c>
      <c r="N27" s="907">
        <f>+M27*'E Honorarberechnung'!$I$105</f>
        <v>2665.2880800000003</v>
      </c>
      <c r="O27" s="910">
        <f t="shared" si="1"/>
        <v>16693.120080000001</v>
      </c>
    </row>
    <row r="28" spans="1:21" s="7" customFormat="1">
      <c r="A28" s="218"/>
      <c r="B28" s="911" t="str">
        <f>IF(Projektgrundlagen!$I$21,"Lph 9",IF(Projektgrundlagen!$I$22,"Lst 5",IF(Projektgrundlagen!$I$23,"Lst 5","")))</f>
        <v>Lph 9</v>
      </c>
      <c r="C28" s="912" t="str">
        <f>'E Honorarberechnung'!D96</f>
        <v>Objektbetreuung</v>
      </c>
      <c r="D28" s="913">
        <f>'StB-C1 Grundlstg'!I396+'HB-C1 Grundlstg Land'!I195+'HB-C2 Grundlstg Bund'!I201</f>
        <v>1</v>
      </c>
      <c r="E28" s="913">
        <f>'StB-C1 Grundlstg'!J396+'HB-C1 Grundlstg Land'!J195+'HB-C2 Grundlstg Bund'!J201</f>
        <v>0</v>
      </c>
      <c r="F28" s="914">
        <f>IF($S$10=0,0,E28/100)</f>
        <v>0</v>
      </c>
      <c r="G28" s="913">
        <f>IF('E Honorarberechnung'!$J$104=0,0,IF(F28=0,'E Honorarberechnung'!$J$41*E28/100,'E Honorarberechnung'!$J$41*F28))</f>
        <v>0</v>
      </c>
      <c r="H28" s="913">
        <f>IF($U$10=0,0,IF($U$10="Minderung",G28*(1-'E Honorarberechnung'!$I$46/100),G28*(1+'E Honorarberechnung'!$I$47/100)))</f>
        <v>0</v>
      </c>
      <c r="I28" s="913">
        <f>IF(H28=0,IF('E Honorarberechnung'!$J$63&gt;0,(1+('E Honorarberechnung'!$I$62/100))*G28,G28),IF('E Honorarberechnung'!$J$63&gt;0,(1+'E Honorarberechnung'!$I$62/100)*H28,H28))</f>
        <v>0</v>
      </c>
      <c r="J28" s="913">
        <f>SUM('E Honorarberechnung'!Q124:S124)</f>
        <v>0</v>
      </c>
      <c r="K28" s="913">
        <f>IF('E Honorarberechnung'!$O$82,I28+J28,0)</f>
        <v>0</v>
      </c>
      <c r="L28" s="915">
        <f>IF($K$30=0,0,IF(AND('E Honorarberechnung'!$O$82,'E Honorarberechnung'!$L$83,'E Honorarberechnung'!$O$83),'E Honorarberechnung'!$I$83*K28,IF(AND('E Honorarberechnung'!$O$82,'E Honorarberechnung'!$L$84,'E Honorarberechnung'!$O$84),'E Honorarberechnung'!$I$84/$K$30*K28,IF(AND('E Honorarberechnung'!$O$82,'E Honorarberechnung'!$L$85,'E Honorarberechnung'!O96),'E Honorarberechnung'!J96,0))))</f>
        <v>0</v>
      </c>
      <c r="M28" s="913">
        <f t="shared" si="0"/>
        <v>0</v>
      </c>
      <c r="N28" s="913">
        <f>+M28*'E Honorarberechnung'!$I$105</f>
        <v>0</v>
      </c>
      <c r="O28" s="916">
        <f t="shared" si="1"/>
        <v>0</v>
      </c>
    </row>
    <row r="29" spans="1:21" s="450" customFormat="1" ht="17.3" thickBot="1">
      <c r="A29" s="435"/>
      <c r="B29" s="917"/>
      <c r="C29" s="917"/>
      <c r="D29" s="917"/>
      <c r="E29" s="917"/>
      <c r="F29" s="917"/>
      <c r="G29" s="917"/>
      <c r="H29" s="917"/>
      <c r="I29" s="917"/>
      <c r="J29" s="917"/>
      <c r="K29" s="918"/>
      <c r="L29" s="437"/>
      <c r="M29" s="449"/>
    </row>
    <row r="30" spans="1:21" s="157" customFormat="1" ht="26.5" customHeight="1" thickBot="1">
      <c r="A30" s="234"/>
      <c r="B30" s="237" t="s">
        <v>322</v>
      </c>
      <c r="C30" s="919"/>
      <c r="D30" s="920">
        <f>SUM(D18:D28)</f>
        <v>100</v>
      </c>
      <c r="E30" s="920">
        <f>SUM(E18:E28)</f>
        <v>85.7</v>
      </c>
      <c r="F30" s="921">
        <f>SUM(F18:F28)</f>
        <v>0</v>
      </c>
      <c r="G30" s="922">
        <f>SUM(G18:G28)</f>
        <v>133576.1336</v>
      </c>
      <c r="H30" s="922">
        <f t="shared" ref="H30:O30" si="2">SUM(H18:H28)</f>
        <v>0</v>
      </c>
      <c r="I30" s="922">
        <f>SUM(I18:I28)</f>
        <v>133576.1336</v>
      </c>
      <c r="J30" s="923">
        <f t="shared" si="2"/>
        <v>0</v>
      </c>
      <c r="K30" s="922">
        <f>SUM(K18:K28)</f>
        <v>133576.1336</v>
      </c>
      <c r="L30" s="923">
        <f>SUM(L18:L28)</f>
        <v>0</v>
      </c>
      <c r="M30" s="923">
        <f>SUM(M18:M28)</f>
        <v>133576.1336</v>
      </c>
      <c r="N30" s="924">
        <f t="shared" si="2"/>
        <v>25379.465383999996</v>
      </c>
      <c r="O30" s="925">
        <f t="shared" si="2"/>
        <v>158955.59898399998</v>
      </c>
    </row>
    <row r="31" spans="1:21" s="7" customFormat="1" ht="15" customHeight="1">
      <c r="A31" s="218"/>
      <c r="J31" s="283"/>
    </row>
    <row r="34" spans="2:21" s="871" customFormat="1" hidden="1">
      <c r="B34"/>
      <c r="C34"/>
      <c r="D34"/>
      <c r="E34"/>
      <c r="F34"/>
      <c r="G34"/>
      <c r="H34"/>
      <c r="I34"/>
      <c r="J34"/>
      <c r="K34"/>
      <c r="L34"/>
      <c r="M34"/>
      <c r="N34"/>
      <c r="O34"/>
      <c r="P34"/>
      <c r="Q34"/>
      <c r="R34"/>
      <c r="S34"/>
      <c r="T34"/>
      <c r="U34"/>
    </row>
    <row r="35" spans="2:21" s="871" customFormat="1" hidden="1">
      <c r="B35"/>
      <c r="C35"/>
      <c r="D35"/>
      <c r="E35"/>
      <c r="F35"/>
      <c r="G35"/>
      <c r="H35"/>
      <c r="I35"/>
      <c r="J35"/>
      <c r="K35"/>
      <c r="L35"/>
      <c r="M35"/>
      <c r="N35"/>
      <c r="O35"/>
      <c r="P35"/>
      <c r="Q35"/>
      <c r="R35"/>
      <c r="S35"/>
      <c r="T35"/>
      <c r="U35"/>
    </row>
  </sheetData>
  <sheetProtection sheet="1" formatRows="0"/>
  <mergeCells count="23">
    <mergeCell ref="S7:U7"/>
    <mergeCell ref="O15:O16"/>
    <mergeCell ref="B16:C16"/>
    <mergeCell ref="S8:S9"/>
    <mergeCell ref="T8:T9"/>
    <mergeCell ref="U8:U9"/>
    <mergeCell ref="E14:F14"/>
    <mergeCell ref="G12:H13"/>
    <mergeCell ref="E13:F13"/>
    <mergeCell ref="B15:C15"/>
    <mergeCell ref="D15:I15"/>
    <mergeCell ref="M15:M16"/>
    <mergeCell ref="B2:I2"/>
    <mergeCell ref="P2:P8"/>
    <mergeCell ref="B3:I3"/>
    <mergeCell ref="B5:C5"/>
    <mergeCell ref="D5:I5"/>
    <mergeCell ref="B6:C6"/>
    <mergeCell ref="D6:O6"/>
    <mergeCell ref="B7:C7"/>
    <mergeCell ref="D7:O7"/>
    <mergeCell ref="B8:C8"/>
    <mergeCell ref="D8:O8"/>
  </mergeCells>
  <pageMargins left="0.39370078740157483" right="0.19685039370078741" top="0.39370078740157483" bottom="0.47244094488188981" header="0.31496062992125984" footer="0.31496062992125984"/>
  <pageSetup paperSize="9" scale="69" fitToHeight="0" orientation="landscape" r:id="rId1"/>
  <headerFooter scaleWithDoc="0">
    <oddFooter>&amp;L&amp;8©  VHF Bayern - Stand Januar 2024&amp;R&amp;P</oddFooter>
  </headerFooter>
  <ignoredErrors>
    <ignoredError sqref="G27" formula="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tabColor theme="0" tint="-0.14999847407452621"/>
    <pageSetUpPr fitToPage="1"/>
  </sheetPr>
  <dimension ref="A1:M52"/>
  <sheetViews>
    <sheetView showGridLines="0" zoomScaleNormal="100" zoomScaleSheetLayoutView="115" zoomScalePageLayoutView="50" workbookViewId="0">
      <selection activeCell="H5" sqref="H5:I5"/>
    </sheetView>
  </sheetViews>
  <sheetFormatPr baseColWidth="10" defaultColWidth="0" defaultRowHeight="16.850000000000001" customHeight="1" zeroHeight="1"/>
  <cols>
    <col min="1" max="1" width="5.6640625" style="871" customWidth="1"/>
    <col min="2" max="2" width="10.6640625" customWidth="1"/>
    <col min="3" max="3" width="12" customWidth="1"/>
    <col min="4" max="4" width="7.5546875" customWidth="1"/>
    <col min="5" max="5" width="19" customWidth="1"/>
    <col min="6" max="6" width="5.6640625" customWidth="1"/>
    <col min="7" max="7" width="19" customWidth="1"/>
    <col min="8" max="8" width="10.5546875" customWidth="1"/>
    <col min="9" max="9" width="19" customWidth="1"/>
    <col min="10" max="10" width="2.6640625" customWidth="1"/>
    <col min="11" max="11" width="11.44140625" style="625" hidden="1" customWidth="1"/>
    <col min="12" max="16384" width="11.44140625" hidden="1"/>
  </cols>
  <sheetData>
    <row r="1" spans="1:13" ht="16.7"/>
    <row r="2" spans="1:13" s="7" customFormat="1" ht="17.850000000000001">
      <c r="A2" s="218"/>
      <c r="B2" s="1285" t="str">
        <f>IF(Projektgrundlagen!B2="","",Projektgrundlagen!B2)</f>
        <v>Objektplanung Verkehrsanlagen</v>
      </c>
      <c r="C2" s="1285"/>
      <c r="D2" s="1285"/>
      <c r="E2" s="1285"/>
      <c r="F2" s="1286"/>
      <c r="G2" s="258" t="str">
        <f>IF(Projektgrundlagen!F2="","",Projektgrundlagen!F2)</f>
        <v>VII.15.4</v>
      </c>
      <c r="H2" s="1398" t="s">
        <v>947</v>
      </c>
      <c r="I2" s="1399"/>
      <c r="J2" s="1627" t="s">
        <v>948</v>
      </c>
      <c r="K2" s="930" t="s">
        <v>159</v>
      </c>
      <c r="M2" s="221" t="s">
        <v>502</v>
      </c>
    </row>
    <row r="3" spans="1:13" s="7" customFormat="1" ht="15" customHeight="1">
      <c r="A3" s="218"/>
      <c r="B3" s="1496" t="s">
        <v>948</v>
      </c>
      <c r="C3" s="1496"/>
      <c r="D3" s="1496"/>
      <c r="E3" s="1496"/>
      <c r="F3" s="1497"/>
      <c r="G3" s="223" t="str">
        <f>IF(Projektgrundlagen!F3="","",Projektgrundlagen!F3)</f>
        <v>Vertragsnr.:</v>
      </c>
      <c r="H3" s="1374" t="str">
        <f>IF(Projektgrundlagen!G3="","",Projektgrundlagen!G3)</f>
        <v/>
      </c>
      <c r="I3" s="1375"/>
      <c r="J3" s="1627"/>
      <c r="K3" s="140"/>
      <c r="M3" s="7" t="str">
        <f ca="1">MID(CELL("dateiname",A2),FIND("]",CELL("dateiname",A2))+1,255)</f>
        <v>G Honorarabrechnung</v>
      </c>
    </row>
    <row r="4" spans="1:13" s="7" customFormat="1" ht="7.5" customHeight="1">
      <c r="A4" s="218"/>
      <c r="B4" s="214"/>
      <c r="C4" s="214"/>
      <c r="D4" s="214"/>
      <c r="E4" s="214"/>
      <c r="F4" s="214"/>
      <c r="G4" s="242"/>
      <c r="H4" s="242"/>
      <c r="I4" s="242"/>
      <c r="J4" s="1627"/>
      <c r="K4" s="140"/>
    </row>
    <row r="5" spans="1:13" s="7" customFormat="1" ht="16.7">
      <c r="A5" s="218"/>
      <c r="B5" s="1396" t="str">
        <f>IF(Projektgrundlagen!B5="","",Projektgrundlagen!B5)</f>
        <v>Maßnahmennr:</v>
      </c>
      <c r="C5" s="1397"/>
      <c r="D5" s="1391" t="str">
        <f>IF(Projektgrundlagen!E5="","",Projektgrundlagen!E5)</f>
        <v>B11S.ALSR0138.00</v>
      </c>
      <c r="E5" s="1391"/>
      <c r="F5" s="1391"/>
      <c r="G5" s="230" t="str">
        <f>IF(Projektgrundlagen!F5="","",Projektgrundlagen!F5)</f>
        <v>Vergabenr.:</v>
      </c>
      <c r="H5" s="1392" t="str">
        <f>IF(Projektgrundlagen!G5="","",Projektgrundlagen!G5)</f>
        <v>25-131201</v>
      </c>
      <c r="I5" s="1393"/>
      <c r="J5" s="1627"/>
      <c r="K5" s="140"/>
    </row>
    <row r="6" spans="1:13" s="7" customFormat="1" ht="15" customHeight="1">
      <c r="A6" s="218"/>
      <c r="B6" s="1296" t="str">
        <f>IF(Projektgrundlagen!B6="","",Projektgrundlagen!B6)</f>
        <v>Maßnahme:</v>
      </c>
      <c r="C6" s="1297"/>
      <c r="D6" s="1394" t="str">
        <f>IF(Projektgrundlagen!E6="","",Projektgrundlagen!E6)</f>
        <v>St2054 Geh- und Radweg westl. Babenried - Jesenwang</v>
      </c>
      <c r="E6" s="1394"/>
      <c r="F6" s="1394"/>
      <c r="G6" s="1394"/>
      <c r="H6" s="1394"/>
      <c r="I6" s="1395"/>
      <c r="J6" s="1627"/>
      <c r="K6" s="140"/>
    </row>
    <row r="7" spans="1:13" s="7" customFormat="1" ht="15" customHeight="1">
      <c r="A7" s="218"/>
      <c r="B7" s="1296"/>
      <c r="C7" s="1297"/>
      <c r="D7" s="1348" t="str">
        <f>IF(Projektgrundlagen!E7="","",Projektgrundlagen!E7)</f>
        <v/>
      </c>
      <c r="E7" s="1348"/>
      <c r="F7" s="1348"/>
      <c r="G7" s="1348"/>
      <c r="H7" s="1348"/>
      <c r="I7" s="1349"/>
      <c r="J7" s="1627"/>
      <c r="K7" s="140"/>
    </row>
    <row r="8" spans="1:13" s="7" customFormat="1" ht="15" customHeight="1">
      <c r="A8" s="218"/>
      <c r="B8" s="1300" t="s">
        <v>475</v>
      </c>
      <c r="C8" s="1301"/>
      <c r="D8" s="1374" t="str">
        <f>IF(Projektgrundlagen!E8="","",Projektgrundlagen!E8)</f>
        <v/>
      </c>
      <c r="E8" s="1374"/>
      <c r="F8" s="1374"/>
      <c r="G8" s="1374"/>
      <c r="H8" s="1374"/>
      <c r="I8" s="1375"/>
      <c r="J8" s="1627"/>
      <c r="K8" s="140"/>
    </row>
    <row r="9" spans="1:13" s="7" customFormat="1" ht="16.7">
      <c r="A9" s="218"/>
      <c r="B9" s="273"/>
      <c r="C9" s="101"/>
      <c r="D9" s="101"/>
      <c r="E9" s="101"/>
      <c r="F9" s="877"/>
      <c r="G9" s="418"/>
      <c r="H9" s="877"/>
      <c r="I9" s="418"/>
      <c r="K9" s="140"/>
    </row>
    <row r="10" spans="1:13" s="7" customFormat="1" ht="22.5" customHeight="1">
      <c r="A10" s="218"/>
      <c r="B10" s="931" t="str">
        <f>"Honorarabrechnung "&amp;IF(Projektgrundlagen!I21,"Straßenbau",("Hochbau - "&amp;IF(Projektgrundlagen!I22,"Land","Bund")))</f>
        <v>Honorarabrechnung Straßenbau</v>
      </c>
      <c r="C10" s="880"/>
      <c r="D10" s="880"/>
      <c r="E10" s="880"/>
      <c r="F10" s="880"/>
      <c r="G10" s="880"/>
      <c r="H10" s="880"/>
      <c r="I10" s="880"/>
      <c r="K10" s="140"/>
    </row>
    <row r="11" spans="1:13" s="7" customFormat="1" ht="7.2" customHeight="1">
      <c r="A11" s="218"/>
      <c r="B11" s="884"/>
      <c r="C11" s="885"/>
      <c r="D11" s="885"/>
      <c r="E11" s="885"/>
      <c r="F11" s="885"/>
      <c r="G11" s="885"/>
      <c r="H11" s="885"/>
      <c r="I11" s="885"/>
      <c r="K11" s="140"/>
    </row>
    <row r="12" spans="1:13" ht="16.7">
      <c r="B12" s="1628" t="s">
        <v>949</v>
      </c>
      <c r="C12" s="1629"/>
      <c r="D12" s="1630"/>
      <c r="E12" s="1630"/>
      <c r="F12" s="932"/>
      <c r="G12" s="932"/>
      <c r="H12" s="932"/>
      <c r="I12" s="933"/>
    </row>
    <row r="13" spans="1:13" s="7" customFormat="1" ht="15" customHeight="1">
      <c r="A13" s="218"/>
      <c r="B13" s="68" t="s">
        <v>371</v>
      </c>
      <c r="C13" s="185"/>
      <c r="D13" s="69"/>
      <c r="E13" s="70" t="s">
        <v>372</v>
      </c>
      <c r="F13" s="889" t="s">
        <v>950</v>
      </c>
      <c r="G13" s="71"/>
      <c r="H13" s="185"/>
      <c r="I13" s="70"/>
      <c r="K13" s="140"/>
    </row>
    <row r="14" spans="1:13" s="7" customFormat="1" ht="15" customHeight="1">
      <c r="A14" s="218"/>
      <c r="B14" s="72" t="str">
        <f>'F Honorarübersicht'!B13</f>
        <v>Lph 1 bis 7 und 9 (Teil A Z 10)</v>
      </c>
      <c r="C14" s="186"/>
      <c r="D14" s="1007"/>
      <c r="E14" s="73">
        <f>'F Honorarübersicht'!E13:F13</f>
        <v>2400000</v>
      </c>
      <c r="F14" s="1009" t="s">
        <v>951</v>
      </c>
      <c r="G14" s="1010"/>
      <c r="H14" s="1631"/>
      <c r="I14" s="1632"/>
      <c r="K14" s="140"/>
    </row>
    <row r="15" spans="1:13" s="7" customFormat="1" ht="15" customHeight="1">
      <c r="A15" s="218"/>
      <c r="B15" s="72" t="str">
        <f>'F Honorarübersicht'!B14</f>
        <v>Lph 8 (Teil A Z 12)</v>
      </c>
      <c r="C15" s="186"/>
      <c r="D15" s="1007"/>
      <c r="E15" s="75">
        <f>'F Honorarübersicht'!E14:F14</f>
        <v>2400000</v>
      </c>
      <c r="F15" s="1008"/>
      <c r="G15" s="187"/>
      <c r="H15" s="187"/>
      <c r="I15" s="1049"/>
      <c r="K15" s="140"/>
    </row>
    <row r="16" spans="1:13" s="7" customFormat="1" ht="29.25" customHeight="1">
      <c r="A16" s="218"/>
      <c r="B16" s="1633" t="s">
        <v>952</v>
      </c>
      <c r="C16" s="1634"/>
      <c r="D16" s="1635"/>
      <c r="E16" s="934" t="s">
        <v>949</v>
      </c>
      <c r="F16" s="1636" t="s">
        <v>953</v>
      </c>
      <c r="G16" s="1637"/>
      <c r="H16" s="1636" t="s">
        <v>954</v>
      </c>
      <c r="I16" s="1637"/>
      <c r="K16" s="140"/>
    </row>
    <row r="17" spans="1:12" s="7" customFormat="1" ht="45.1" customHeight="1">
      <c r="A17" s="218"/>
      <c r="B17" s="935"/>
      <c r="C17" s="936"/>
      <c r="D17" s="937"/>
      <c r="E17" s="938" t="str">
        <f>'F Honorarübersicht'!O15</f>
        <v>Honorar Objektplanung Verkehrsanlagen brutto</v>
      </c>
      <c r="F17" s="939" t="s">
        <v>955</v>
      </c>
      <c r="G17" s="940" t="str">
        <f>IF('E Honorarberechnung'!I105&lt;=0," anteiliges Honorar        netto"," anteiliges Honorar        brutto")</f>
        <v xml:space="preserve"> anteiliges Honorar        brutto</v>
      </c>
      <c r="H17" s="940" t="s">
        <v>956</v>
      </c>
      <c r="I17" s="940" t="str">
        <f>IF('E Honorarberechnung'!I105&lt;=0," geprüftes Honorar        netto"," geprüftes Honorar        brutto")</f>
        <v xml:space="preserve"> geprüftes Honorar        brutto</v>
      </c>
      <c r="K17" s="140"/>
    </row>
    <row r="18" spans="1:12" s="7" customFormat="1" ht="12.85" customHeight="1">
      <c r="A18" s="218"/>
      <c r="B18" s="941"/>
      <c r="C18" s="942"/>
      <c r="D18" s="943"/>
      <c r="E18" s="944" t="s">
        <v>372</v>
      </c>
      <c r="F18" s="940"/>
      <c r="G18" s="940" t="s">
        <v>372</v>
      </c>
      <c r="H18" s="940" t="s">
        <v>957</v>
      </c>
      <c r="I18" s="940" t="s">
        <v>372</v>
      </c>
      <c r="K18" s="140"/>
    </row>
    <row r="19" spans="1:12" s="7" customFormat="1" ht="15" customHeight="1">
      <c r="A19" s="218"/>
      <c r="B19" s="945" t="str">
        <f>'F Honorarübersicht'!B18</f>
        <v>Lph 1</v>
      </c>
      <c r="C19" s="946" t="str">
        <f>'F Honorarübersicht'!C18</f>
        <v>Grundlagenermittlung</v>
      </c>
      <c r="D19" s="947"/>
      <c r="E19" s="948">
        <f>'F Honorarübersicht'!O18</f>
        <v>3153.1449039999998</v>
      </c>
      <c r="F19" s="949"/>
      <c r="G19" s="950">
        <f>IF(K19,E19,"")</f>
        <v>3153.1449039999998</v>
      </c>
      <c r="H19" s="1011"/>
      <c r="I19" s="952" t="str">
        <f>IFERROR(IF(OR(H19="",H19&gt;100%,H19&lt;0),"",G19*H19),"")</f>
        <v/>
      </c>
      <c r="K19" s="140" t="b">
        <v>1</v>
      </c>
    </row>
    <row r="20" spans="1:12" s="7" customFormat="1" ht="15" customHeight="1">
      <c r="A20" s="218"/>
      <c r="B20" s="953" t="str">
        <f>'F Honorarübersicht'!B19</f>
        <v>Lph 2</v>
      </c>
      <c r="C20" s="954" t="str">
        <f>'F Honorarübersicht'!C19</f>
        <v xml:space="preserve">Vorplanung </v>
      </c>
      <c r="D20" s="955"/>
      <c r="E20" s="956">
        <f>'F Honorarübersicht'!O19</f>
        <v>35241.031279999996</v>
      </c>
      <c r="F20" s="957"/>
      <c r="G20" s="958">
        <f t="shared" ref="G20:G29" si="0">IF(K20,E20,"")</f>
        <v>35241.031279999996</v>
      </c>
      <c r="H20" s="1012"/>
      <c r="I20" s="960" t="str">
        <f t="shared" ref="I20:I29" si="1">IFERROR(IF(OR(H20="",H20&gt;100%,H20&lt;0),"",G20*H20),"")</f>
        <v/>
      </c>
      <c r="K20" s="140" t="b">
        <v>1</v>
      </c>
    </row>
    <row r="21" spans="1:12" s="7" customFormat="1" ht="15" customHeight="1">
      <c r="A21" s="218"/>
      <c r="B21" s="953" t="str">
        <f>'F Honorarübersicht'!B20</f>
        <v>Lph 3</v>
      </c>
      <c r="C21" s="954" t="str">
        <f>'F Honorarübersicht'!C20</f>
        <v xml:space="preserve">Entwurfsplanung </v>
      </c>
      <c r="D21" s="955"/>
      <c r="E21" s="956">
        <f>'F Honorarübersicht'!O20</f>
        <v>43587.591319999992</v>
      </c>
      <c r="F21" s="957"/>
      <c r="G21" s="958" t="str">
        <f t="shared" si="0"/>
        <v/>
      </c>
      <c r="H21" s="1012"/>
      <c r="I21" s="960" t="str">
        <f t="shared" si="1"/>
        <v/>
      </c>
      <c r="K21" s="140" t="b">
        <v>0</v>
      </c>
    </row>
    <row r="22" spans="1:12" s="7" customFormat="1" ht="15" customHeight="1">
      <c r="A22" s="218"/>
      <c r="B22" s="953" t="str">
        <f>'F Honorarübersicht'!B21</f>
        <v>Lph 4</v>
      </c>
      <c r="C22" s="954" t="str">
        <f>'F Honorarübersicht'!C21</f>
        <v xml:space="preserve">Genehmigungsplanung </v>
      </c>
      <c r="D22" s="955"/>
      <c r="E22" s="956">
        <f>'F Honorarübersicht'!O21</f>
        <v>14838.328959999999</v>
      </c>
      <c r="F22" s="957"/>
      <c r="G22" s="958" t="str">
        <f t="shared" si="0"/>
        <v/>
      </c>
      <c r="H22" s="1012"/>
      <c r="I22" s="960" t="str">
        <f t="shared" si="1"/>
        <v/>
      </c>
      <c r="K22" s="140" t="b">
        <v>0</v>
      </c>
    </row>
    <row r="23" spans="1:12" s="7" customFormat="1" ht="15" customHeight="1">
      <c r="A23" s="218"/>
      <c r="B23" s="953" t="str">
        <f>'F Honorarübersicht'!B22</f>
        <v/>
      </c>
      <c r="C23" s="954" t="str">
        <f>'F Honorarübersicht'!C22</f>
        <v/>
      </c>
      <c r="D23" s="955"/>
      <c r="E23" s="956">
        <f>'F Honorarübersicht'!O22</f>
        <v>0</v>
      </c>
      <c r="F23" s="957"/>
      <c r="G23" s="958" t="str">
        <f t="shared" si="0"/>
        <v/>
      </c>
      <c r="H23" s="1012"/>
      <c r="I23" s="960" t="str">
        <f t="shared" si="1"/>
        <v/>
      </c>
      <c r="K23" s="140" t="b">
        <v>0</v>
      </c>
    </row>
    <row r="24" spans="1:12" s="7" customFormat="1" ht="15" customHeight="1">
      <c r="A24" s="218"/>
      <c r="B24" s="953" t="str">
        <f>'F Honorarübersicht'!B23</f>
        <v>Lph 5</v>
      </c>
      <c r="C24" s="954" t="str">
        <f>'F Honorarübersicht'!C23</f>
        <v xml:space="preserve">Ausführungsplanung </v>
      </c>
      <c r="D24" s="955"/>
      <c r="E24" s="956">
        <f>'F Honorarübersicht'!O23</f>
        <v>27821.866800000003</v>
      </c>
      <c r="F24" s="957"/>
      <c r="G24" s="958" t="str">
        <f t="shared" si="0"/>
        <v/>
      </c>
      <c r="H24" s="1012"/>
      <c r="I24" s="960" t="str">
        <f t="shared" si="1"/>
        <v/>
      </c>
      <c r="K24" s="140" t="b">
        <v>0</v>
      </c>
    </row>
    <row r="25" spans="1:12" s="7" customFormat="1" ht="15" customHeight="1">
      <c r="A25" s="218"/>
      <c r="B25" s="953" t="str">
        <f>'F Honorarübersicht'!B24</f>
        <v>Lph 6</v>
      </c>
      <c r="C25" s="954" t="str">
        <f>'F Honorarübersicht'!C24</f>
        <v>Vorbereitung der Vergabe</v>
      </c>
      <c r="D25" s="955"/>
      <c r="E25" s="956">
        <f>'F Honorarübersicht'!O24</f>
        <v>17620.515639999998</v>
      </c>
      <c r="F25" s="957"/>
      <c r="G25" s="958" t="str">
        <f t="shared" si="0"/>
        <v/>
      </c>
      <c r="H25" s="1012"/>
      <c r="I25" s="960" t="str">
        <f t="shared" si="1"/>
        <v/>
      </c>
      <c r="K25" s="140" t="b">
        <v>0</v>
      </c>
    </row>
    <row r="26" spans="1:12" s="7" customFormat="1" ht="15" customHeight="1">
      <c r="A26" s="218"/>
      <c r="B26" s="953" t="str">
        <f>'F Honorarübersicht'!B25</f>
        <v>Lph 7</v>
      </c>
      <c r="C26" s="954" t="str">
        <f>'F Honorarübersicht'!C25</f>
        <v>Mitwirkung bei der Vergabe</v>
      </c>
      <c r="D26" s="955"/>
      <c r="E26" s="956">
        <f>'F Honorarübersicht'!O25</f>
        <v>0</v>
      </c>
      <c r="F26" s="957"/>
      <c r="G26" s="958" t="str">
        <f t="shared" si="0"/>
        <v/>
      </c>
      <c r="H26" s="1012"/>
      <c r="I26" s="960" t="str">
        <f t="shared" si="1"/>
        <v/>
      </c>
      <c r="K26" s="140" t="b">
        <v>0</v>
      </c>
    </row>
    <row r="27" spans="1:12" s="7" customFormat="1" ht="15" customHeight="1">
      <c r="A27" s="218"/>
      <c r="B27" s="953" t="str">
        <f>'F Honorarübersicht'!B26</f>
        <v/>
      </c>
      <c r="C27" s="954" t="str">
        <f>'F Honorarübersicht'!C26</f>
        <v/>
      </c>
      <c r="D27" s="955"/>
      <c r="E27" s="956">
        <f>'F Honorarübersicht'!O26</f>
        <v>0</v>
      </c>
      <c r="F27" s="957"/>
      <c r="G27" s="958" t="str">
        <f t="shared" si="0"/>
        <v/>
      </c>
      <c r="H27" s="1012"/>
      <c r="I27" s="960" t="str">
        <f t="shared" si="1"/>
        <v/>
      </c>
      <c r="K27" s="140" t="b">
        <v>0</v>
      </c>
    </row>
    <row r="28" spans="1:12" s="7" customFormat="1" ht="15" customHeight="1">
      <c r="A28" s="218"/>
      <c r="B28" s="953" t="str">
        <f>'F Honorarübersicht'!B27</f>
        <v>Lph 8</v>
      </c>
      <c r="C28" s="954" t="str">
        <f>'F Honorarübersicht'!C27</f>
        <v xml:space="preserve">Bauoberleitung </v>
      </c>
      <c r="D28" s="955"/>
      <c r="E28" s="956">
        <f>'F Honorarübersicht'!O27</f>
        <v>16693.120080000001</v>
      </c>
      <c r="F28" s="957"/>
      <c r="G28" s="958" t="str">
        <f t="shared" si="0"/>
        <v/>
      </c>
      <c r="H28" s="1012"/>
      <c r="I28" s="960" t="str">
        <f t="shared" si="1"/>
        <v/>
      </c>
      <c r="K28" s="140" t="b">
        <v>0</v>
      </c>
      <c r="L28" s="961" t="s">
        <v>958</v>
      </c>
    </row>
    <row r="29" spans="1:12" s="7" customFormat="1" ht="15" customHeight="1">
      <c r="A29" s="218"/>
      <c r="B29" s="962" t="str">
        <f>'F Honorarübersicht'!B28</f>
        <v>Lph 9</v>
      </c>
      <c r="C29" s="963" t="str">
        <f>'F Honorarübersicht'!C28</f>
        <v>Objektbetreuung</v>
      </c>
      <c r="D29" s="964"/>
      <c r="E29" s="965">
        <f>'F Honorarübersicht'!O28</f>
        <v>0</v>
      </c>
      <c r="F29" s="966"/>
      <c r="G29" s="967" t="str">
        <f t="shared" si="0"/>
        <v/>
      </c>
      <c r="H29" s="1013"/>
      <c r="I29" s="969" t="str">
        <f t="shared" si="1"/>
        <v/>
      </c>
      <c r="K29" s="140" t="b">
        <v>0</v>
      </c>
    </row>
    <row r="30" spans="1:12" ht="17.3" thickBot="1"/>
    <row r="31" spans="1:12" s="7" customFormat="1" ht="24.65" customHeight="1" thickBot="1">
      <c r="A31" s="218"/>
      <c r="B31" s="970" t="s">
        <v>959</v>
      </c>
      <c r="C31" s="971"/>
      <c r="D31" s="972"/>
      <c r="E31" s="973">
        <f>SUM(E19:E29)</f>
        <v>158955.59898399998</v>
      </c>
      <c r="F31" s="974"/>
      <c r="G31" s="975">
        <f>SUM(G19:G29)</f>
        <v>38394.176183999996</v>
      </c>
      <c r="H31" s="976"/>
      <c r="I31" s="977">
        <f>SUM(I19:I29)</f>
        <v>0</v>
      </c>
      <c r="K31" s="140"/>
    </row>
    <row r="32" spans="1:12" ht="16.7"/>
    <row r="33" spans="1:11" ht="16.7">
      <c r="B33" s="1628" t="s">
        <v>960</v>
      </c>
      <c r="C33" s="1629"/>
      <c r="D33" s="1630"/>
      <c r="E33" s="1630"/>
      <c r="F33" s="932"/>
      <c r="G33" s="932"/>
      <c r="H33" s="932"/>
      <c r="I33" s="933"/>
    </row>
    <row r="34" spans="1:11" s="7" customFormat="1" ht="12.85" customHeight="1">
      <c r="A34" s="218"/>
      <c r="B34" s="941" t="s">
        <v>961</v>
      </c>
      <c r="C34" s="978" t="s">
        <v>962</v>
      </c>
      <c r="D34" s="979"/>
      <c r="E34" s="979"/>
      <c r="F34" s="944"/>
      <c r="G34" s="940" t="s">
        <v>372</v>
      </c>
      <c r="H34" s="940" t="s">
        <v>957</v>
      </c>
      <c r="I34" s="940" t="s">
        <v>372</v>
      </c>
      <c r="K34" s="140"/>
    </row>
    <row r="35" spans="1:11" ht="16.7">
      <c r="B35" s="980" t="s">
        <v>963</v>
      </c>
      <c r="C35" s="1648" t="s">
        <v>964</v>
      </c>
      <c r="D35" s="1648"/>
      <c r="E35" s="1648"/>
      <c r="F35" s="1648"/>
      <c r="G35" s="981"/>
      <c r="H35" s="951"/>
      <c r="I35" s="952">
        <f t="shared" ref="I35:I40" si="2">IFERROR(G35*H35,"")</f>
        <v>0</v>
      </c>
    </row>
    <row r="36" spans="1:11" ht="16.7">
      <c r="B36" s="982" t="s">
        <v>965</v>
      </c>
      <c r="C36" s="1641"/>
      <c r="D36" s="1641"/>
      <c r="E36" s="1641"/>
      <c r="F36" s="1641"/>
      <c r="G36" s="983"/>
      <c r="H36" s="959"/>
      <c r="I36" s="960">
        <f t="shared" si="2"/>
        <v>0</v>
      </c>
    </row>
    <row r="37" spans="1:11" ht="16.7">
      <c r="B37" s="982" t="s">
        <v>966</v>
      </c>
      <c r="C37" s="1641"/>
      <c r="D37" s="1641"/>
      <c r="E37" s="1641"/>
      <c r="F37" s="1641"/>
      <c r="G37" s="983"/>
      <c r="H37" s="959"/>
      <c r="I37" s="960">
        <f t="shared" si="2"/>
        <v>0</v>
      </c>
    </row>
    <row r="38" spans="1:11" ht="16.7">
      <c r="B38" s="982" t="s">
        <v>967</v>
      </c>
      <c r="C38" s="1641"/>
      <c r="D38" s="1641"/>
      <c r="E38" s="1641"/>
      <c r="F38" s="1641"/>
      <c r="G38" s="983"/>
      <c r="H38" s="959"/>
      <c r="I38" s="960">
        <f t="shared" si="2"/>
        <v>0</v>
      </c>
    </row>
    <row r="39" spans="1:11" ht="16.7">
      <c r="B39" s="982" t="s">
        <v>968</v>
      </c>
      <c r="C39" s="1641"/>
      <c r="D39" s="1641"/>
      <c r="E39" s="1641"/>
      <c r="F39" s="1641"/>
      <c r="G39" s="983"/>
      <c r="H39" s="959"/>
      <c r="I39" s="960">
        <f t="shared" si="2"/>
        <v>0</v>
      </c>
    </row>
    <row r="40" spans="1:11" ht="16.7">
      <c r="B40" s="984" t="s">
        <v>969</v>
      </c>
      <c r="C40" s="1649"/>
      <c r="D40" s="1649"/>
      <c r="E40" s="1649"/>
      <c r="F40" s="1649"/>
      <c r="G40" s="985"/>
      <c r="H40" s="968"/>
      <c r="I40" s="969">
        <f t="shared" si="2"/>
        <v>0</v>
      </c>
    </row>
    <row r="41" spans="1:11" ht="17.3" thickBot="1"/>
    <row r="42" spans="1:11" s="7" customFormat="1" ht="24.05" customHeight="1" thickBot="1">
      <c r="A42" s="218"/>
      <c r="B42" s="970" t="s">
        <v>970</v>
      </c>
      <c r="C42" s="986"/>
      <c r="D42" s="987"/>
      <c r="E42" s="988"/>
      <c r="F42" s="989">
        <f>SUM(F29:F40)</f>
        <v>0</v>
      </c>
      <c r="G42" s="973">
        <f>SUM(G35:G40)+G31</f>
        <v>38394.176183999996</v>
      </c>
      <c r="H42" s="990"/>
      <c r="I42" s="977">
        <f>SUM(I35:I40)+I31</f>
        <v>0</v>
      </c>
      <c r="K42" s="140"/>
    </row>
    <row r="43" spans="1:11" ht="16.7">
      <c r="B43" s="991"/>
      <c r="C43" s="991"/>
      <c r="D43" s="991"/>
      <c r="E43" s="991"/>
      <c r="F43" s="991"/>
      <c r="G43" s="991"/>
      <c r="H43" s="991"/>
      <c r="I43" s="991"/>
    </row>
    <row r="44" spans="1:11" ht="16.7">
      <c r="B44" s="992" t="s">
        <v>971</v>
      </c>
      <c r="C44" s="932"/>
      <c r="D44" s="932"/>
      <c r="E44" s="932"/>
      <c r="F44" s="932"/>
      <c r="G44" s="932"/>
      <c r="H44" s="932"/>
      <c r="I44" s="933"/>
    </row>
    <row r="45" spans="1:11" ht="16.7">
      <c r="B45" s="993" t="s">
        <v>972</v>
      </c>
      <c r="C45" s="994"/>
      <c r="D45" s="1638"/>
      <c r="E45" s="1639"/>
      <c r="F45" s="1639"/>
      <c r="G45" s="1639"/>
      <c r="H45" s="1640"/>
      <c r="I45" s="995">
        <f>I42</f>
        <v>0</v>
      </c>
    </row>
    <row r="46" spans="1:11" ht="16.7">
      <c r="B46" s="996" t="str">
        <f>IF(Projektgrundlagen!I21,"","Einbehalt:")</f>
        <v/>
      </c>
      <c r="C46" s="997"/>
      <c r="D46" s="1641" t="s">
        <v>973</v>
      </c>
      <c r="E46" s="1641"/>
      <c r="F46" s="1641"/>
      <c r="G46" s="1641"/>
      <c r="H46" s="998">
        <v>0.05</v>
      </c>
      <c r="I46" s="999" t="str">
        <f>IF(Projektgrundlagen!I21,"",I45*-1*H46)</f>
        <v/>
      </c>
    </row>
    <row r="47" spans="1:11" ht="16.7">
      <c r="B47" s="1000" t="s">
        <v>974</v>
      </c>
      <c r="C47" s="1001"/>
      <c r="D47" s="1642" t="s">
        <v>975</v>
      </c>
      <c r="E47" s="1643"/>
      <c r="F47" s="1643"/>
      <c r="G47" s="1643"/>
      <c r="H47" s="1644"/>
      <c r="I47" s="1002"/>
    </row>
    <row r="48" spans="1:11" ht="17.3" thickBot="1"/>
    <row r="49" spans="2:13" ht="26.5" customHeight="1" thickBot="1">
      <c r="B49" s="1003" t="s">
        <v>976</v>
      </c>
      <c r="C49" s="1004"/>
      <c r="D49" s="1645"/>
      <c r="E49" s="1646"/>
      <c r="F49" s="1646"/>
      <c r="G49" s="1647"/>
      <c r="H49" s="1005"/>
      <c r="I49" s="1006">
        <f>IF(Projektgrundlagen!I21,I45-I47,SUM(I45:I46)-I47)</f>
        <v>0</v>
      </c>
    </row>
    <row r="50" spans="2:13" s="871" customFormat="1" ht="16.7">
      <c r="B50"/>
      <c r="C50"/>
      <c r="D50"/>
      <c r="E50"/>
      <c r="F50"/>
      <c r="G50"/>
      <c r="H50"/>
      <c r="I50"/>
      <c r="J50"/>
      <c r="K50" s="625"/>
      <c r="L50"/>
      <c r="M50"/>
    </row>
    <row r="51" spans="2:13" s="871" customFormat="1" ht="16.7">
      <c r="B51"/>
      <c r="C51"/>
      <c r="D51"/>
      <c r="E51"/>
      <c r="F51"/>
      <c r="G51"/>
      <c r="H51"/>
      <c r="I51"/>
      <c r="J51"/>
      <c r="K51" s="625"/>
      <c r="L51"/>
      <c r="M51"/>
    </row>
    <row r="52" spans="2:13" s="871" customFormat="1" ht="16.7">
      <c r="B52"/>
      <c r="C52"/>
      <c r="D52"/>
      <c r="E52"/>
      <c r="F52"/>
      <c r="G52"/>
      <c r="H52"/>
      <c r="I52"/>
      <c r="J52"/>
      <c r="K52" s="625"/>
      <c r="L52"/>
      <c r="M52"/>
    </row>
  </sheetData>
  <sheetProtection sheet="1" formatRows="0"/>
  <mergeCells count="32">
    <mergeCell ref="D49:G49"/>
    <mergeCell ref="C35:F35"/>
    <mergeCell ref="C36:F36"/>
    <mergeCell ref="C37:F37"/>
    <mergeCell ref="C38:F38"/>
    <mergeCell ref="C39:F39"/>
    <mergeCell ref="C40:F40"/>
    <mergeCell ref="B33:C33"/>
    <mergeCell ref="D33:E33"/>
    <mergeCell ref="D45:H45"/>
    <mergeCell ref="D46:G46"/>
    <mergeCell ref="D47:H47"/>
    <mergeCell ref="B12:C12"/>
    <mergeCell ref="D12:E12"/>
    <mergeCell ref="H14:I14"/>
    <mergeCell ref="B16:D16"/>
    <mergeCell ref="F16:G16"/>
    <mergeCell ref="H16:I16"/>
    <mergeCell ref="B2:F2"/>
    <mergeCell ref="H2:I2"/>
    <mergeCell ref="J2:J8"/>
    <mergeCell ref="B3:F3"/>
    <mergeCell ref="H3:I3"/>
    <mergeCell ref="B5:C5"/>
    <mergeCell ref="D5:F5"/>
    <mergeCell ref="H5:I5"/>
    <mergeCell ref="B6:C6"/>
    <mergeCell ref="D6:I6"/>
    <mergeCell ref="B7:C7"/>
    <mergeCell ref="D7:I7"/>
    <mergeCell ref="B8:C8"/>
    <mergeCell ref="D8:I8"/>
  </mergeCells>
  <conditionalFormatting sqref="H19:H29">
    <cfRule type="expression" dxfId="3" priority="3">
      <formula>OR(H19&gt;100%,H19&lt;0)</formula>
    </cfRule>
  </conditionalFormatting>
  <pageMargins left="0.39370078740157483" right="0.19685039370078741" top="0.39370078740157483" bottom="0.47244094488188981" header="0.31496062992125984" footer="0.31496062992125984"/>
  <pageSetup paperSize="9" scale="89" fitToHeight="0" orientation="portrait" r:id="rId1"/>
  <headerFooter scaleWithDoc="0">
    <oddFooter>&amp;L&amp;8©  VHF Bayern - Stand Juni 2023&amp;R&amp;P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ltText="3 Fahrstreifen">
                <anchor moveWithCells="1">
                  <from>
                    <xdr:col>5</xdr:col>
                    <xdr:colOff>95098</xdr:colOff>
                    <xdr:row>18</xdr:row>
                    <xdr:rowOff>0</xdr:rowOff>
                  </from>
                  <to>
                    <xdr:col>5</xdr:col>
                    <xdr:colOff>307238</xdr:colOff>
                    <xdr:row>18</xdr:row>
                    <xdr:rowOff>182880</xdr:rowOff>
                  </to>
                </anchor>
              </controlPr>
            </control>
          </mc:Choice>
        </mc:AlternateContent>
        <mc:AlternateContent xmlns:mc="http://schemas.openxmlformats.org/markup-compatibility/2006">
          <mc:Choice Requires="x14">
            <control shapeId="63490" r:id="rId5" name="Check Box 2">
              <controlPr defaultSize="0" autoFill="0" autoLine="0" autoPict="0" altText="3 Fahrstreifen">
                <anchor moveWithCells="1">
                  <from>
                    <xdr:col>5</xdr:col>
                    <xdr:colOff>95098</xdr:colOff>
                    <xdr:row>19</xdr:row>
                    <xdr:rowOff>0</xdr:rowOff>
                  </from>
                  <to>
                    <xdr:col>5</xdr:col>
                    <xdr:colOff>292608</xdr:colOff>
                    <xdr:row>19</xdr:row>
                    <xdr:rowOff>182880</xdr:rowOff>
                  </to>
                </anchor>
              </controlPr>
            </control>
          </mc:Choice>
        </mc:AlternateContent>
        <mc:AlternateContent xmlns:mc="http://schemas.openxmlformats.org/markup-compatibility/2006">
          <mc:Choice Requires="x14">
            <control shapeId="63491" r:id="rId6" name="Check Box 3">
              <controlPr defaultSize="0" autoFill="0" autoLine="0" autoPict="0" altText="3 Fahrstreifen">
                <anchor moveWithCells="1">
                  <from>
                    <xdr:col>5</xdr:col>
                    <xdr:colOff>95098</xdr:colOff>
                    <xdr:row>20</xdr:row>
                    <xdr:rowOff>0</xdr:rowOff>
                  </from>
                  <to>
                    <xdr:col>5</xdr:col>
                    <xdr:colOff>314554</xdr:colOff>
                    <xdr:row>21</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ltText="3 Fahrstreifen">
                <anchor moveWithCells="1">
                  <from>
                    <xdr:col>5</xdr:col>
                    <xdr:colOff>95098</xdr:colOff>
                    <xdr:row>21</xdr:row>
                    <xdr:rowOff>0</xdr:rowOff>
                  </from>
                  <to>
                    <xdr:col>5</xdr:col>
                    <xdr:colOff>314554</xdr:colOff>
                    <xdr:row>22</xdr:row>
                    <xdr:rowOff>0</xdr:rowOff>
                  </to>
                </anchor>
              </controlPr>
            </control>
          </mc:Choice>
        </mc:AlternateContent>
        <mc:AlternateContent xmlns:mc="http://schemas.openxmlformats.org/markup-compatibility/2006">
          <mc:Choice Requires="x14">
            <control shapeId="63493" r:id="rId8" name="Check Box 5">
              <controlPr defaultSize="0" autoFill="0" autoLine="0" autoPict="0" altText="3 Fahrstreifen">
                <anchor moveWithCells="1">
                  <from>
                    <xdr:col>5</xdr:col>
                    <xdr:colOff>95098</xdr:colOff>
                    <xdr:row>22</xdr:row>
                    <xdr:rowOff>0</xdr:rowOff>
                  </from>
                  <to>
                    <xdr:col>5</xdr:col>
                    <xdr:colOff>314554</xdr:colOff>
                    <xdr:row>23</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ltText="3 Fahrstreifen">
                <anchor moveWithCells="1">
                  <from>
                    <xdr:col>5</xdr:col>
                    <xdr:colOff>95098</xdr:colOff>
                    <xdr:row>23</xdr:row>
                    <xdr:rowOff>0</xdr:rowOff>
                  </from>
                  <to>
                    <xdr:col>5</xdr:col>
                    <xdr:colOff>314554</xdr:colOff>
                    <xdr:row>24</xdr:row>
                    <xdr:rowOff>0</xdr:rowOff>
                  </to>
                </anchor>
              </controlPr>
            </control>
          </mc:Choice>
        </mc:AlternateContent>
        <mc:AlternateContent xmlns:mc="http://schemas.openxmlformats.org/markup-compatibility/2006">
          <mc:Choice Requires="x14">
            <control shapeId="63495" r:id="rId10" name="Check Box 7">
              <controlPr defaultSize="0" autoFill="0" autoLine="0" autoPict="0" altText="3 Fahrstreifen">
                <anchor moveWithCells="1">
                  <from>
                    <xdr:col>5</xdr:col>
                    <xdr:colOff>95098</xdr:colOff>
                    <xdr:row>24</xdr:row>
                    <xdr:rowOff>0</xdr:rowOff>
                  </from>
                  <to>
                    <xdr:col>5</xdr:col>
                    <xdr:colOff>314554</xdr:colOff>
                    <xdr:row>25</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ltText="3 Fahrstreifen">
                <anchor moveWithCells="1">
                  <from>
                    <xdr:col>5</xdr:col>
                    <xdr:colOff>95098</xdr:colOff>
                    <xdr:row>25</xdr:row>
                    <xdr:rowOff>0</xdr:rowOff>
                  </from>
                  <to>
                    <xdr:col>5</xdr:col>
                    <xdr:colOff>314554</xdr:colOff>
                    <xdr:row>26</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ltText="3 Fahrstreifen">
                <anchor moveWithCells="1">
                  <from>
                    <xdr:col>5</xdr:col>
                    <xdr:colOff>95098</xdr:colOff>
                    <xdr:row>26</xdr:row>
                    <xdr:rowOff>0</xdr:rowOff>
                  </from>
                  <to>
                    <xdr:col>5</xdr:col>
                    <xdr:colOff>314554</xdr:colOff>
                    <xdr:row>27</xdr:row>
                    <xdr:rowOff>0</xdr:rowOff>
                  </to>
                </anchor>
              </controlPr>
            </control>
          </mc:Choice>
        </mc:AlternateContent>
        <mc:AlternateContent xmlns:mc="http://schemas.openxmlformats.org/markup-compatibility/2006">
          <mc:Choice Requires="x14">
            <control shapeId="63498" r:id="rId13" name="Check Box 10">
              <controlPr defaultSize="0" autoFill="0" autoLine="0" autoPict="0" altText="3 Fahrstreifen">
                <anchor moveWithCells="1">
                  <from>
                    <xdr:col>5</xdr:col>
                    <xdr:colOff>95098</xdr:colOff>
                    <xdr:row>27</xdr:row>
                    <xdr:rowOff>0</xdr:rowOff>
                  </from>
                  <to>
                    <xdr:col>5</xdr:col>
                    <xdr:colOff>314554</xdr:colOff>
                    <xdr:row>28</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ltText="3 Fahrstreifen">
                <anchor moveWithCells="1">
                  <from>
                    <xdr:col>5</xdr:col>
                    <xdr:colOff>95098</xdr:colOff>
                    <xdr:row>28</xdr:row>
                    <xdr:rowOff>0</xdr:rowOff>
                  </from>
                  <to>
                    <xdr:col>5</xdr:col>
                    <xdr:colOff>314554</xdr:colOff>
                    <xdr:row>29</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FBA50CF1-24B3-4E08-9D16-2354D5445DEA}">
            <xm:f>Projektgrundlagen!I21</xm:f>
            <x14:dxf>
              <font>
                <strike/>
                <color rgb="FFC00000"/>
              </font>
              <fill>
                <patternFill>
                  <bgColor theme="0"/>
                </patternFill>
              </fill>
            </x14:dxf>
          </x14:cfRule>
          <xm:sqref>D46:G46</xm:sqref>
        </x14:conditionalFormatting>
        <x14:conditionalFormatting xmlns:xm="http://schemas.microsoft.com/office/excel/2006/main">
          <x14:cfRule type="expression" priority="1" id="{83261C30-28B4-4039-8752-05AFAE80A346}">
            <xm:f>Projektgrundlagen!I21</xm:f>
            <x14:dxf>
              <font>
                <strike/>
                <color rgb="FFC00000"/>
              </font>
              <fill>
                <patternFill>
                  <bgColor theme="0"/>
                </patternFill>
              </fill>
            </x14:dxf>
          </x14:cfRule>
          <xm:sqref>H46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1">
    <tabColor theme="0"/>
    <pageSetUpPr fitToPage="1"/>
  </sheetPr>
  <dimension ref="A1:N68"/>
  <sheetViews>
    <sheetView showGridLines="0" topLeftCell="A37" zoomScaleNormal="100" zoomScaleSheetLayoutView="100" workbookViewId="0">
      <selection activeCell="B2" sqref="B2"/>
    </sheetView>
  </sheetViews>
  <sheetFormatPr baseColWidth="10" defaultColWidth="0" defaultRowHeight="12.7" zeroHeight="1"/>
  <cols>
    <col min="1" max="1" width="3.33203125" style="7" customWidth="1"/>
    <col min="2" max="2" width="19.88671875" style="7" customWidth="1"/>
    <col min="3" max="8" width="15.109375" style="7" customWidth="1"/>
    <col min="9" max="9" width="1.88671875" style="7" customWidth="1"/>
    <col min="10" max="16384" width="11.44140625" style="7" hidden="1"/>
  </cols>
  <sheetData>
    <row r="1" spans="2:14" ht="12.85" customHeight="1"/>
    <row r="2" spans="2:14" s="157" customFormat="1" ht="25.5" customHeight="1">
      <c r="B2" s="236" t="s">
        <v>911</v>
      </c>
      <c r="C2" s="237"/>
      <c r="D2" s="237"/>
      <c r="E2" s="237"/>
      <c r="F2" s="237"/>
      <c r="G2" s="237"/>
      <c r="H2" s="237"/>
    </row>
    <row r="3" spans="2:14" ht="12.85" customHeight="1"/>
    <row r="4" spans="2:14" s="32" customFormat="1" ht="16.149999999999999" customHeight="1">
      <c r="B4" s="33" t="s">
        <v>912</v>
      </c>
      <c r="C4" s="34"/>
      <c r="D4" s="34"/>
      <c r="E4" s="226" t="s">
        <v>913</v>
      </c>
      <c r="F4" s="34"/>
      <c r="G4" s="34"/>
      <c r="H4" s="35"/>
    </row>
    <row r="5" spans="2:14" ht="12.85" customHeight="1">
      <c r="M5" s="221" t="s">
        <v>502</v>
      </c>
      <c r="N5" s="32"/>
    </row>
    <row r="6" spans="2:14" ht="15" customHeight="1">
      <c r="B6" s="8" t="s">
        <v>36</v>
      </c>
      <c r="C6" s="9"/>
      <c r="D6" s="9"/>
      <c r="E6" s="31">
        <f>'A anrechb Kosten'!G63</f>
        <v>2400000</v>
      </c>
      <c r="F6" s="9" t="s">
        <v>372</v>
      </c>
      <c r="G6" s="9"/>
      <c r="H6" s="29"/>
      <c r="M6" s="929" t="str">
        <f ca="1">MID(CELL("dateiname",C7),FIND("]",CELL("dateiname",C7))+1,255)</f>
        <v>H §48 HOAI</v>
      </c>
    </row>
    <row r="7" spans="2:14" ht="15" customHeight="1">
      <c r="B7" s="10" t="s">
        <v>13</v>
      </c>
      <c r="C7" s="11"/>
      <c r="D7" s="11"/>
      <c r="E7" s="112">
        <f>IF(AND('B HZone'!K12,'B HZone'!K15),0,IF(AND(NOT('B HZone'!K12),NOT('B HZone'!K15)),0,IF(AND('B HZone'!K12,'B HZone'!I13&gt;=1,'B HZone'!I13&lt;=5),'B HZone'!I13,IF(AND('B HZone'!K15,'B HZone'!I33&gt;=1,'B HZone'!I33&lt;=5),'B HZone'!I33,0))))</f>
        <v>3</v>
      </c>
      <c r="F7" s="62"/>
      <c r="G7" s="11"/>
      <c r="H7" s="30"/>
      <c r="J7" s="28"/>
    </row>
    <row r="8" spans="2:14" ht="12.85" customHeight="1"/>
    <row r="9" spans="2:14" ht="25.5" customHeight="1" thickBot="1">
      <c r="C9" s="94" t="s">
        <v>394</v>
      </c>
      <c r="D9" s="94" t="s">
        <v>395</v>
      </c>
      <c r="E9" s="95" t="s">
        <v>396</v>
      </c>
      <c r="F9" s="91" t="s">
        <v>397</v>
      </c>
    </row>
    <row r="10" spans="2:14" ht="15" customHeight="1" thickBot="1">
      <c r="B10" s="12" t="s">
        <v>485</v>
      </c>
      <c r="C10" s="1">
        <f>IF(OR(E7&lt;1,E7&gt;5),0,IF(OR(E6&lt;B16,E6&gt;B35),0,VLOOKUP(E6,B16:B35,1)))</f>
        <v>2000000</v>
      </c>
      <c r="D10" s="108">
        <f>IF(OR(E7&lt;1,E7&gt;5),0,IF(OR(E6&lt;B16,E6&gt;B35),0,VLOOKUP(C10,B16:H35,(E7+1))))</f>
        <v>136800</v>
      </c>
      <c r="E10" s="109">
        <f>IF(OR(E7&lt;1,E7&gt;5),0,IF(OR(E6&lt;B16,E6&gt;B35),0,VLOOKUP(C10,B16:H35,(E7+2))))</f>
        <v>155719</v>
      </c>
      <c r="F10" s="87">
        <f>IF(OR(E7&lt;1,E7&gt;5),0,IF(OR(E6&lt;B16,E6&gt;B35),0,IF(E6=B35,D10,D10+((E6-C10)*(D11-D10))/(C11-C10))))</f>
        <v>155864.79999999999</v>
      </c>
    </row>
    <row r="11" spans="2:14" ht="12.85" customHeight="1">
      <c r="B11" s="10" t="s">
        <v>486</v>
      </c>
      <c r="C11" s="2">
        <f>IF(OR(E7&lt;1,E7&gt;5),0,IF(OR(E6&lt;B16,E6&gt;=B35),0,INDEX($B$16:$B$35,(MATCH(C10,$B$16:$B$35)+1),1)))</f>
        <v>3000000</v>
      </c>
      <c r="D11" s="110">
        <f>IF(OR(E7&lt;1,E7&gt;5),0,IF(OR(E6&lt;B16,E6&gt;=B35),0,VLOOKUP(C11,B16:H35,(E7+1))))</f>
        <v>184462</v>
      </c>
      <c r="E11" s="111">
        <f>IF(OR(E7&lt;1,E7&gt;5),0,IF(OR(E6&lt;B16,E6&gt;=B35),0,VLOOKUP(C11,B16:H35,(E7+2))))</f>
        <v>209973</v>
      </c>
      <c r="F11" s="86">
        <f>IF(OR(E7&lt;1,E7&gt;5),0,IF(OR(E6&lt;B16,E6&gt;B35),0,IF(E6=B35,E10,E10+((E6-C10)*(E11-E10))/(C11-C10))))</f>
        <v>177420.6</v>
      </c>
      <c r="H11" s="184"/>
    </row>
    <row r="12" spans="2:14" ht="12.85" customHeight="1"/>
    <row r="13" spans="2:14" ht="12.85" customHeight="1"/>
    <row r="14" spans="2:14" ht="15" customHeight="1">
      <c r="B14" s="1650" t="s">
        <v>910</v>
      </c>
      <c r="C14" s="1651"/>
      <c r="D14" s="1651"/>
      <c r="E14" s="1651"/>
      <c r="F14" s="1651"/>
      <c r="G14" s="1651"/>
      <c r="H14" s="1652"/>
    </row>
    <row r="15" spans="2:14" ht="38.299999999999997" customHeight="1">
      <c r="B15" s="14" t="s">
        <v>382</v>
      </c>
      <c r="C15" s="14" t="s">
        <v>388</v>
      </c>
      <c r="D15" s="14" t="s">
        <v>389</v>
      </c>
      <c r="E15" s="14" t="s">
        <v>390</v>
      </c>
      <c r="F15" s="14" t="s">
        <v>391</v>
      </c>
      <c r="G15" s="14" t="s">
        <v>392</v>
      </c>
      <c r="H15" s="14" t="s">
        <v>393</v>
      </c>
    </row>
    <row r="16" spans="2:14" ht="12.85" customHeight="1">
      <c r="B16" s="13">
        <v>25000</v>
      </c>
      <c r="C16" s="13">
        <v>3882</v>
      </c>
      <c r="D16" s="13">
        <v>4624</v>
      </c>
      <c r="E16" s="13">
        <v>5366</v>
      </c>
      <c r="F16" s="13">
        <v>6108</v>
      </c>
      <c r="G16" s="13">
        <v>6793</v>
      </c>
      <c r="H16" s="13">
        <v>7535</v>
      </c>
    </row>
    <row r="17" spans="2:13" ht="12.85" customHeight="1">
      <c r="B17" s="13">
        <v>35000</v>
      </c>
      <c r="C17" s="13">
        <v>4981</v>
      </c>
      <c r="D17" s="13">
        <v>5933</v>
      </c>
      <c r="E17" s="13">
        <v>6885</v>
      </c>
      <c r="F17" s="13">
        <v>7837</v>
      </c>
      <c r="G17" s="13">
        <v>8716</v>
      </c>
      <c r="H17" s="13">
        <v>9668</v>
      </c>
    </row>
    <row r="18" spans="2:13" ht="12.85" customHeight="1">
      <c r="B18" s="13">
        <v>50000</v>
      </c>
      <c r="C18" s="13">
        <v>6487</v>
      </c>
      <c r="D18" s="13">
        <v>7727</v>
      </c>
      <c r="E18" s="13">
        <v>8967</v>
      </c>
      <c r="F18" s="13">
        <v>10207</v>
      </c>
      <c r="G18" s="13">
        <v>11352</v>
      </c>
      <c r="H18" s="13">
        <v>12592</v>
      </c>
    </row>
    <row r="19" spans="2:13" ht="12.85" customHeight="1">
      <c r="B19" s="13">
        <v>75000</v>
      </c>
      <c r="C19" s="13">
        <v>8759</v>
      </c>
      <c r="D19" s="13">
        <v>10434</v>
      </c>
      <c r="E19" s="13">
        <v>12108</v>
      </c>
      <c r="F19" s="13">
        <v>13783</v>
      </c>
      <c r="G19" s="13">
        <v>15328</v>
      </c>
      <c r="H19" s="13">
        <v>17003</v>
      </c>
    </row>
    <row r="20" spans="2:13" ht="12.85" customHeight="1" thickBot="1">
      <c r="B20" s="15">
        <v>100000</v>
      </c>
      <c r="C20" s="15">
        <v>10839</v>
      </c>
      <c r="D20" s="15">
        <v>12911</v>
      </c>
      <c r="E20" s="15">
        <v>14983</v>
      </c>
      <c r="F20" s="15">
        <v>17056</v>
      </c>
      <c r="G20" s="15">
        <v>18968</v>
      </c>
      <c r="H20" s="15">
        <v>21041</v>
      </c>
    </row>
    <row r="21" spans="2:13" ht="12.85" customHeight="1">
      <c r="B21" s="16">
        <v>150000</v>
      </c>
      <c r="C21" s="16">
        <v>14634</v>
      </c>
      <c r="D21" s="16">
        <v>17432</v>
      </c>
      <c r="E21" s="16">
        <v>20229</v>
      </c>
      <c r="F21" s="16">
        <v>23027</v>
      </c>
      <c r="G21" s="16">
        <v>25610</v>
      </c>
      <c r="H21" s="16">
        <v>28407</v>
      </c>
    </row>
    <row r="22" spans="2:13" ht="12.85" customHeight="1">
      <c r="B22" s="13">
        <v>200000</v>
      </c>
      <c r="C22" s="13">
        <v>18106</v>
      </c>
      <c r="D22" s="13">
        <v>21567</v>
      </c>
      <c r="E22" s="13">
        <v>25029</v>
      </c>
      <c r="F22" s="13">
        <v>28490</v>
      </c>
      <c r="G22" s="13">
        <v>31685</v>
      </c>
      <c r="H22" s="13">
        <v>35147</v>
      </c>
    </row>
    <row r="23" spans="2:13" ht="12.85" customHeight="1">
      <c r="B23" s="13">
        <v>300000</v>
      </c>
      <c r="C23" s="13">
        <v>24435</v>
      </c>
      <c r="D23" s="13">
        <v>29106</v>
      </c>
      <c r="E23" s="13">
        <v>33778</v>
      </c>
      <c r="F23" s="13">
        <v>38449</v>
      </c>
      <c r="G23" s="13">
        <v>42761</v>
      </c>
      <c r="H23" s="13">
        <v>47433</v>
      </c>
    </row>
    <row r="24" spans="2:13" ht="12.85" customHeight="1">
      <c r="B24" s="13">
        <v>500000</v>
      </c>
      <c r="C24" s="13">
        <v>35622</v>
      </c>
      <c r="D24" s="13">
        <v>42433</v>
      </c>
      <c r="E24" s="13">
        <v>49243</v>
      </c>
      <c r="F24" s="13">
        <v>56053</v>
      </c>
      <c r="G24" s="13">
        <v>62339</v>
      </c>
      <c r="H24" s="13">
        <v>69149</v>
      </c>
    </row>
    <row r="25" spans="2:13" ht="12.85" customHeight="1" thickBot="1">
      <c r="B25" s="15">
        <v>750000</v>
      </c>
      <c r="C25" s="15">
        <v>48001</v>
      </c>
      <c r="D25" s="15">
        <v>57178</v>
      </c>
      <c r="E25" s="15">
        <v>66355</v>
      </c>
      <c r="F25" s="15">
        <v>75532</v>
      </c>
      <c r="G25" s="15">
        <v>84002</v>
      </c>
      <c r="H25" s="15">
        <v>93179</v>
      </c>
    </row>
    <row r="26" spans="2:13" ht="12.85" customHeight="1">
      <c r="B26" s="16">
        <v>1000000</v>
      </c>
      <c r="C26" s="16">
        <v>59267</v>
      </c>
      <c r="D26" s="16">
        <v>70597</v>
      </c>
      <c r="E26" s="16">
        <v>81928</v>
      </c>
      <c r="F26" s="16">
        <v>93258</v>
      </c>
      <c r="G26" s="16">
        <v>103717</v>
      </c>
      <c r="H26" s="16">
        <v>115047</v>
      </c>
    </row>
    <row r="27" spans="2:13" ht="12.85" customHeight="1">
      <c r="B27" s="13">
        <v>1500000</v>
      </c>
      <c r="C27" s="13">
        <v>80009</v>
      </c>
      <c r="D27" s="13">
        <v>95305</v>
      </c>
      <c r="E27" s="13">
        <v>110600</v>
      </c>
      <c r="F27" s="13">
        <v>125896</v>
      </c>
      <c r="G27" s="13">
        <v>140015</v>
      </c>
      <c r="H27" s="13">
        <v>155311</v>
      </c>
    </row>
    <row r="28" spans="2:13" ht="12.85" customHeight="1">
      <c r="B28" s="13">
        <v>2000000</v>
      </c>
      <c r="C28" s="13">
        <v>98962</v>
      </c>
      <c r="D28" s="13">
        <v>117881</v>
      </c>
      <c r="E28" s="13">
        <v>136800</v>
      </c>
      <c r="F28" s="13">
        <v>155719</v>
      </c>
      <c r="G28" s="13">
        <v>173183</v>
      </c>
      <c r="H28" s="13">
        <v>192102</v>
      </c>
    </row>
    <row r="29" spans="2:13" ht="12.85" customHeight="1">
      <c r="B29" s="13">
        <v>3000000</v>
      </c>
      <c r="C29" s="13">
        <v>133441</v>
      </c>
      <c r="D29" s="13">
        <v>158951</v>
      </c>
      <c r="E29" s="13">
        <v>184462</v>
      </c>
      <c r="F29" s="13">
        <v>209973</v>
      </c>
      <c r="G29" s="13">
        <v>233521</v>
      </c>
      <c r="H29" s="13">
        <v>259032</v>
      </c>
      <c r="M29" s="28"/>
    </row>
    <row r="30" spans="2:13" ht="12.85" customHeight="1" thickBot="1">
      <c r="B30" s="15">
        <v>5000000</v>
      </c>
      <c r="C30" s="15">
        <v>194094</v>
      </c>
      <c r="D30" s="15">
        <v>231200</v>
      </c>
      <c r="E30" s="15">
        <v>268306</v>
      </c>
      <c r="F30" s="15">
        <v>305412</v>
      </c>
      <c r="G30" s="15">
        <v>339664</v>
      </c>
      <c r="H30" s="15">
        <v>376770</v>
      </c>
    </row>
    <row r="31" spans="2:13" ht="12.85" customHeight="1">
      <c r="B31" s="16">
        <v>7500000</v>
      </c>
      <c r="C31" s="16">
        <v>262407</v>
      </c>
      <c r="D31" s="16">
        <v>312573</v>
      </c>
      <c r="E31" s="16">
        <v>362739</v>
      </c>
      <c r="F31" s="16">
        <v>412905</v>
      </c>
      <c r="G31" s="16">
        <v>459212</v>
      </c>
      <c r="H31" s="16">
        <v>509378</v>
      </c>
    </row>
    <row r="32" spans="2:13" ht="12.85" customHeight="1">
      <c r="B32" s="13">
        <v>10000000</v>
      </c>
      <c r="C32" s="13">
        <v>324978</v>
      </c>
      <c r="D32" s="13">
        <v>387107</v>
      </c>
      <c r="E32" s="13">
        <v>449235</v>
      </c>
      <c r="F32" s="13">
        <v>511363</v>
      </c>
      <c r="G32" s="13">
        <v>568712</v>
      </c>
      <c r="H32" s="13">
        <v>630840</v>
      </c>
    </row>
    <row r="33" spans="2:8" ht="12.85" customHeight="1">
      <c r="B33" s="13">
        <v>15000000</v>
      </c>
      <c r="C33" s="13">
        <v>439179</v>
      </c>
      <c r="D33" s="13">
        <v>523140</v>
      </c>
      <c r="E33" s="13">
        <v>607101</v>
      </c>
      <c r="F33" s="13">
        <v>691062</v>
      </c>
      <c r="G33" s="13">
        <v>768564</v>
      </c>
      <c r="H33" s="13">
        <v>852525</v>
      </c>
    </row>
    <row r="34" spans="2:8" ht="12.85" customHeight="1">
      <c r="B34" s="13">
        <v>20000000</v>
      </c>
      <c r="C34" s="13">
        <v>543619</v>
      </c>
      <c r="D34" s="13">
        <v>647546</v>
      </c>
      <c r="E34" s="13">
        <v>751473</v>
      </c>
      <c r="F34" s="13">
        <v>855401</v>
      </c>
      <c r="G34" s="13">
        <v>951333</v>
      </c>
      <c r="H34" s="13">
        <v>1055260</v>
      </c>
    </row>
    <row r="35" spans="2:8" ht="12.85" customHeight="1">
      <c r="B35" s="13">
        <v>25000000</v>
      </c>
      <c r="C35" s="13">
        <v>641265</v>
      </c>
      <c r="D35" s="13">
        <v>763860</v>
      </c>
      <c r="E35" s="13">
        <v>886454</v>
      </c>
      <c r="F35" s="13">
        <v>1009049</v>
      </c>
      <c r="G35" s="13">
        <v>1122213</v>
      </c>
      <c r="H35" s="13">
        <v>1244808</v>
      </c>
    </row>
    <row r="36" spans="2:8" ht="12.85" customHeight="1"/>
    <row r="37" spans="2:8" ht="12.85" customHeight="1"/>
    <row r="38" spans="2:8" ht="15" customHeight="1">
      <c r="B38" s="8" t="s">
        <v>37</v>
      </c>
      <c r="C38" s="9"/>
      <c r="D38" s="9"/>
      <c r="E38" s="31">
        <f>'A anrechb Kosten'!G77</f>
        <v>2400000</v>
      </c>
      <c r="F38" s="9" t="s">
        <v>372</v>
      </c>
      <c r="G38" s="9"/>
      <c r="H38" s="29"/>
    </row>
    <row r="39" spans="2:8" ht="15" customHeight="1">
      <c r="B39" s="10" t="s">
        <v>13</v>
      </c>
      <c r="C39" s="11"/>
      <c r="D39" s="11"/>
      <c r="E39" s="112">
        <f>+E7</f>
        <v>3</v>
      </c>
      <c r="F39" s="62"/>
      <c r="G39" s="11"/>
      <c r="H39" s="30"/>
    </row>
    <row r="40" spans="2:8" ht="12.85" customHeight="1"/>
    <row r="41" spans="2:8" ht="25.5" customHeight="1" thickBot="1">
      <c r="C41" s="94" t="s">
        <v>394</v>
      </c>
      <c r="D41" s="94" t="s">
        <v>395</v>
      </c>
      <c r="E41" s="95" t="s">
        <v>396</v>
      </c>
      <c r="F41" s="91" t="s">
        <v>397</v>
      </c>
    </row>
    <row r="42" spans="2:8" ht="15" customHeight="1" thickBot="1">
      <c r="B42" s="12" t="str">
        <f>B10</f>
        <v>Basishonorarsatz</v>
      </c>
      <c r="C42" s="1">
        <f>IF(OR(E39&lt;1,E39&gt;5),0,IF(OR(E38&lt;B48,E38&gt;B67),0,VLOOKUP(E38,B48:B67,1)))</f>
        <v>2000000</v>
      </c>
      <c r="D42" s="108">
        <f>IF(OR(E39&lt;1,E39&gt;5),0,IF(OR(E38&lt;B48,E38&gt;B67),0,VLOOKUP(C42,B48:H67,(E39+1))))</f>
        <v>136800</v>
      </c>
      <c r="E42" s="109">
        <f>IF(OR(E39&lt;1,E39&gt;5),0,IF(OR(E38&lt;B48,E38&gt;B67),0,VLOOKUP(C42,B48:H67,(E39+2))))</f>
        <v>155719</v>
      </c>
      <c r="F42" s="87">
        <f>IF(OR(E39&lt;1,E39&gt;5),0,IF(OR(E38&lt;B48,E38&gt;B67),0,IF(E38=B67,D42,D42+((E38-C42)*(D43-D42))/(C43-C42))))</f>
        <v>155864.79999999999</v>
      </c>
    </row>
    <row r="43" spans="2:8" ht="12.85" customHeight="1">
      <c r="B43" s="10" t="str">
        <f>B11</f>
        <v>Oberer Honorarsatz</v>
      </c>
      <c r="C43" s="2">
        <f>IF(OR(E39&lt;1,E39&gt;5),0,IF(OR(E38&lt;B48,E38&gt;=B67),0,INDEX($B$48:$B$67,(MATCH(C42,$B$48:$B$67)+1),1)))</f>
        <v>3000000</v>
      </c>
      <c r="D43" s="110">
        <f>IF(OR(E39&lt;1,E39&gt;5),0,IF(OR(E38&lt;B48,E38&gt;=B67),0,VLOOKUP(C43,B48:H67,(E39+1))))</f>
        <v>184462</v>
      </c>
      <c r="E43" s="111">
        <f>IF(OR(E39&lt;1,E39&gt;5),0,IF(OR(E38&lt;B48,E38&gt;=B67),0,VLOOKUP(C43,B48:H67,(E39+2))))</f>
        <v>209973</v>
      </c>
      <c r="F43" s="86">
        <f>IF(OR(E39&lt;1,E39&gt;5),0,IF(OR(E38&lt;B48,E38&gt;B67),0,IF(E38=B67,E42,E42+((E38-C42)*(E43-E42))/(C43-C42))))</f>
        <v>177420.6</v>
      </c>
    </row>
    <row r="44" spans="2:8" ht="12.85" customHeight="1"/>
    <row r="45" spans="2:8" ht="12.85" customHeight="1"/>
    <row r="46" spans="2:8" ht="15" customHeight="1">
      <c r="B46" s="1650" t="s">
        <v>910</v>
      </c>
      <c r="C46" s="1651"/>
      <c r="D46" s="1651"/>
      <c r="E46" s="1651"/>
      <c r="F46" s="1651"/>
      <c r="G46" s="1651"/>
      <c r="H46" s="1652"/>
    </row>
    <row r="47" spans="2:8" ht="38.299999999999997" customHeight="1">
      <c r="B47" s="14" t="s">
        <v>382</v>
      </c>
      <c r="C47" s="14" t="s">
        <v>388</v>
      </c>
      <c r="D47" s="14" t="s">
        <v>389</v>
      </c>
      <c r="E47" s="14" t="s">
        <v>390</v>
      </c>
      <c r="F47" s="14" t="s">
        <v>391</v>
      </c>
      <c r="G47" s="14" t="s">
        <v>392</v>
      </c>
      <c r="H47" s="14" t="s">
        <v>393</v>
      </c>
    </row>
    <row r="48" spans="2:8" ht="12.85" customHeight="1">
      <c r="B48" s="13">
        <v>25000</v>
      </c>
      <c r="C48" s="13">
        <v>3882</v>
      </c>
      <c r="D48" s="13">
        <v>4624</v>
      </c>
      <c r="E48" s="13">
        <v>5366</v>
      </c>
      <c r="F48" s="13">
        <v>6108</v>
      </c>
      <c r="G48" s="13">
        <v>6793</v>
      </c>
      <c r="H48" s="13">
        <v>7535</v>
      </c>
    </row>
    <row r="49" spans="2:8" ht="12.85" customHeight="1">
      <c r="B49" s="13">
        <v>35000</v>
      </c>
      <c r="C49" s="13">
        <v>4981</v>
      </c>
      <c r="D49" s="13">
        <v>5933</v>
      </c>
      <c r="E49" s="13">
        <v>6885</v>
      </c>
      <c r="F49" s="13">
        <v>7837</v>
      </c>
      <c r="G49" s="13">
        <v>8716</v>
      </c>
      <c r="H49" s="13">
        <v>9668</v>
      </c>
    </row>
    <row r="50" spans="2:8" ht="12.85" customHeight="1">
      <c r="B50" s="13">
        <v>50000</v>
      </c>
      <c r="C50" s="13">
        <v>6487</v>
      </c>
      <c r="D50" s="13">
        <v>7727</v>
      </c>
      <c r="E50" s="13">
        <v>8967</v>
      </c>
      <c r="F50" s="13">
        <v>10207</v>
      </c>
      <c r="G50" s="13">
        <v>11352</v>
      </c>
      <c r="H50" s="13">
        <v>12592</v>
      </c>
    </row>
    <row r="51" spans="2:8" ht="12.85" customHeight="1">
      <c r="B51" s="13">
        <v>75000</v>
      </c>
      <c r="C51" s="13">
        <v>8759</v>
      </c>
      <c r="D51" s="13">
        <v>10434</v>
      </c>
      <c r="E51" s="13">
        <v>12108</v>
      </c>
      <c r="F51" s="13">
        <v>13783</v>
      </c>
      <c r="G51" s="13">
        <v>15328</v>
      </c>
      <c r="H51" s="13">
        <v>17003</v>
      </c>
    </row>
    <row r="52" spans="2:8" ht="12.85" customHeight="1" thickBot="1">
      <c r="B52" s="15">
        <v>100000</v>
      </c>
      <c r="C52" s="15">
        <v>10839</v>
      </c>
      <c r="D52" s="15">
        <v>12911</v>
      </c>
      <c r="E52" s="15">
        <v>14983</v>
      </c>
      <c r="F52" s="15">
        <v>17056</v>
      </c>
      <c r="G52" s="15">
        <v>18968</v>
      </c>
      <c r="H52" s="15">
        <v>21041</v>
      </c>
    </row>
    <row r="53" spans="2:8" ht="12.85" customHeight="1">
      <c r="B53" s="16">
        <v>150000</v>
      </c>
      <c r="C53" s="16">
        <v>14634</v>
      </c>
      <c r="D53" s="16">
        <v>17432</v>
      </c>
      <c r="E53" s="16">
        <v>20229</v>
      </c>
      <c r="F53" s="16">
        <v>23027</v>
      </c>
      <c r="G53" s="16">
        <v>25610</v>
      </c>
      <c r="H53" s="16">
        <v>28407</v>
      </c>
    </row>
    <row r="54" spans="2:8" ht="12.85" customHeight="1">
      <c r="B54" s="13">
        <v>200000</v>
      </c>
      <c r="C54" s="13">
        <v>18106</v>
      </c>
      <c r="D54" s="13">
        <v>21567</v>
      </c>
      <c r="E54" s="13">
        <v>25029</v>
      </c>
      <c r="F54" s="13">
        <v>28490</v>
      </c>
      <c r="G54" s="13">
        <v>31685</v>
      </c>
      <c r="H54" s="13">
        <v>35147</v>
      </c>
    </row>
    <row r="55" spans="2:8" ht="12.85" customHeight="1">
      <c r="B55" s="13">
        <v>300000</v>
      </c>
      <c r="C55" s="13">
        <v>24435</v>
      </c>
      <c r="D55" s="13">
        <v>29106</v>
      </c>
      <c r="E55" s="13">
        <v>33778</v>
      </c>
      <c r="F55" s="13">
        <v>38449</v>
      </c>
      <c r="G55" s="13">
        <v>42761</v>
      </c>
      <c r="H55" s="13">
        <v>47433</v>
      </c>
    </row>
    <row r="56" spans="2:8" ht="12.85" customHeight="1">
      <c r="B56" s="13">
        <v>500000</v>
      </c>
      <c r="C56" s="13">
        <v>35622</v>
      </c>
      <c r="D56" s="13">
        <v>42433</v>
      </c>
      <c r="E56" s="13">
        <v>49243</v>
      </c>
      <c r="F56" s="13">
        <v>56053</v>
      </c>
      <c r="G56" s="13">
        <v>62339</v>
      </c>
      <c r="H56" s="13">
        <v>69149</v>
      </c>
    </row>
    <row r="57" spans="2:8" ht="12.85" customHeight="1" thickBot="1">
      <c r="B57" s="15">
        <v>750000</v>
      </c>
      <c r="C57" s="15">
        <v>48001</v>
      </c>
      <c r="D57" s="15">
        <v>57178</v>
      </c>
      <c r="E57" s="15">
        <v>66355</v>
      </c>
      <c r="F57" s="15">
        <v>75532</v>
      </c>
      <c r="G57" s="15">
        <v>84002</v>
      </c>
      <c r="H57" s="15">
        <v>93179</v>
      </c>
    </row>
    <row r="58" spans="2:8" ht="12.85" customHeight="1">
      <c r="B58" s="16">
        <v>1000000</v>
      </c>
      <c r="C58" s="16">
        <v>59267</v>
      </c>
      <c r="D58" s="16">
        <v>70597</v>
      </c>
      <c r="E58" s="16">
        <v>81928</v>
      </c>
      <c r="F58" s="16">
        <v>93258</v>
      </c>
      <c r="G58" s="16">
        <v>103717</v>
      </c>
      <c r="H58" s="16">
        <v>115047</v>
      </c>
    </row>
    <row r="59" spans="2:8" ht="12.85" customHeight="1">
      <c r="B59" s="13">
        <v>1500000</v>
      </c>
      <c r="C59" s="13">
        <v>80009</v>
      </c>
      <c r="D59" s="13">
        <v>95305</v>
      </c>
      <c r="E59" s="13">
        <v>110600</v>
      </c>
      <c r="F59" s="13">
        <v>125896</v>
      </c>
      <c r="G59" s="13">
        <v>140015</v>
      </c>
      <c r="H59" s="13">
        <v>155311</v>
      </c>
    </row>
    <row r="60" spans="2:8" ht="12.85" customHeight="1">
      <c r="B60" s="13">
        <v>2000000</v>
      </c>
      <c r="C60" s="13">
        <v>98962</v>
      </c>
      <c r="D60" s="13">
        <v>117881</v>
      </c>
      <c r="E60" s="13">
        <v>136800</v>
      </c>
      <c r="F60" s="13">
        <v>155719</v>
      </c>
      <c r="G60" s="13">
        <v>173183</v>
      </c>
      <c r="H60" s="13">
        <v>192102</v>
      </c>
    </row>
    <row r="61" spans="2:8" ht="12.85" customHeight="1">
      <c r="B61" s="13">
        <v>3000000</v>
      </c>
      <c r="C61" s="13">
        <v>133441</v>
      </c>
      <c r="D61" s="13">
        <v>158951</v>
      </c>
      <c r="E61" s="13">
        <v>184462</v>
      </c>
      <c r="F61" s="13">
        <v>209973</v>
      </c>
      <c r="G61" s="13">
        <v>233521</v>
      </c>
      <c r="H61" s="13">
        <v>259032</v>
      </c>
    </row>
    <row r="62" spans="2:8" ht="12.85" customHeight="1" thickBot="1">
      <c r="B62" s="15">
        <v>5000000</v>
      </c>
      <c r="C62" s="15">
        <v>194094</v>
      </c>
      <c r="D62" s="15">
        <v>231200</v>
      </c>
      <c r="E62" s="15">
        <v>268306</v>
      </c>
      <c r="F62" s="15">
        <v>305412</v>
      </c>
      <c r="G62" s="15">
        <v>339664</v>
      </c>
      <c r="H62" s="15">
        <v>376770</v>
      </c>
    </row>
    <row r="63" spans="2:8" ht="12.85" customHeight="1">
      <c r="B63" s="16">
        <v>7500000</v>
      </c>
      <c r="C63" s="16">
        <v>262407</v>
      </c>
      <c r="D63" s="16">
        <v>312573</v>
      </c>
      <c r="E63" s="16">
        <v>362739</v>
      </c>
      <c r="F63" s="16">
        <v>412905</v>
      </c>
      <c r="G63" s="16">
        <v>459212</v>
      </c>
      <c r="H63" s="16">
        <v>509378</v>
      </c>
    </row>
    <row r="64" spans="2:8" ht="12.85" customHeight="1">
      <c r="B64" s="13">
        <v>10000000</v>
      </c>
      <c r="C64" s="13">
        <v>324978</v>
      </c>
      <c r="D64" s="13">
        <v>387107</v>
      </c>
      <c r="E64" s="13">
        <v>449235</v>
      </c>
      <c r="F64" s="13">
        <v>511363</v>
      </c>
      <c r="G64" s="13">
        <v>568712</v>
      </c>
      <c r="H64" s="13">
        <v>630840</v>
      </c>
    </row>
    <row r="65" spans="2:8" ht="12.85" customHeight="1">
      <c r="B65" s="13">
        <v>15000000</v>
      </c>
      <c r="C65" s="13">
        <v>439179</v>
      </c>
      <c r="D65" s="13">
        <v>523140</v>
      </c>
      <c r="E65" s="13">
        <v>607101</v>
      </c>
      <c r="F65" s="13">
        <v>691062</v>
      </c>
      <c r="G65" s="13">
        <v>768564</v>
      </c>
      <c r="H65" s="13">
        <v>852525</v>
      </c>
    </row>
    <row r="66" spans="2:8" ht="12.85" customHeight="1">
      <c r="B66" s="13">
        <v>20000000</v>
      </c>
      <c r="C66" s="13">
        <v>543619</v>
      </c>
      <c r="D66" s="13">
        <v>647546</v>
      </c>
      <c r="E66" s="13">
        <v>751473</v>
      </c>
      <c r="F66" s="13">
        <v>855401</v>
      </c>
      <c r="G66" s="13">
        <v>951333</v>
      </c>
      <c r="H66" s="13">
        <v>1055260</v>
      </c>
    </row>
    <row r="67" spans="2:8" ht="12.85" customHeight="1">
      <c r="B67" s="13">
        <v>25000000</v>
      </c>
      <c r="C67" s="13">
        <v>641265</v>
      </c>
      <c r="D67" s="13">
        <v>763860</v>
      </c>
      <c r="E67" s="13">
        <v>886454</v>
      </c>
      <c r="F67" s="13">
        <v>1009049</v>
      </c>
      <c r="G67" s="13">
        <v>1122213</v>
      </c>
      <c r="H67" s="13">
        <v>1244808</v>
      </c>
    </row>
    <row r="68" spans="2:8" ht="12.85" customHeight="1"/>
  </sheetData>
  <sheetProtection sheet="1" formatRows="0"/>
  <mergeCells count="2">
    <mergeCell ref="B14:H14"/>
    <mergeCell ref="B46:H46"/>
  </mergeCells>
  <conditionalFormatting sqref="E7">
    <cfRule type="expression" dxfId="1" priority="2">
      <formula>E7=0</formula>
    </cfRule>
  </conditionalFormatting>
  <conditionalFormatting sqref="E39">
    <cfRule type="expression" dxfId="0" priority="1">
      <formula>E39=0</formula>
    </cfRule>
  </conditionalFormatting>
  <pageMargins left="0.78740157480314965" right="0.59055118110236227" top="0.59055118110236227" bottom="0.39370078740157483" header="0.31496062992125984" footer="0.31496062992125984"/>
  <pageSetup paperSize="9" scale="77" fitToHeight="0" orientation="portrait" r:id="rId1"/>
  <headerFooter scaleWithDoc="0">
    <oddHeader>&amp;R&amp;"Arial,Fett"Honorartafel</oddHeader>
    <oddFooter>&amp;L&amp;8©  VHF Bayern - Stand Oktober 2022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C00000"/>
  </sheetPr>
  <dimension ref="B2:J321"/>
  <sheetViews>
    <sheetView workbookViewId="0">
      <selection activeCell="G4" sqref="G4"/>
    </sheetView>
  </sheetViews>
  <sheetFormatPr baseColWidth="10" defaultRowHeight="12.7"/>
  <cols>
    <col min="2" max="2" width="47.33203125" customWidth="1"/>
    <col min="3" max="3" width="27.33203125" customWidth="1"/>
    <col min="4" max="4" width="10" customWidth="1"/>
    <col min="6" max="6" width="10" customWidth="1"/>
    <col min="7" max="7" width="11.88671875" bestFit="1" customWidth="1"/>
  </cols>
  <sheetData>
    <row r="2" spans="2:7">
      <c r="B2" t="s">
        <v>508</v>
      </c>
      <c r="C2" t="s">
        <v>1160</v>
      </c>
      <c r="D2" t="s">
        <v>1161</v>
      </c>
      <c r="E2" t="s">
        <v>1162</v>
      </c>
      <c r="F2" t="s">
        <v>1163</v>
      </c>
      <c r="G2" t="s">
        <v>907</v>
      </c>
    </row>
    <row r="3" spans="2:7">
      <c r="B3" t="str">
        <f>Projektgrundlagen!F2&amp;" "&amp;Projektgrundlagen!B2</f>
        <v>VII.15.4 Objektplanung Verkehrsanlagen</v>
      </c>
      <c r="C3" t="str">
        <f>Projektgrundlagen!E5</f>
        <v>B11S.ALSR0138.00</v>
      </c>
      <c r="D3" t="str">
        <f>Projektgrundlagen!E6&amp;" "&amp;Projektgrundlagen!E7</f>
        <v xml:space="preserve">St2054 Geh- und Radweg westl. Babenried - Jesenwang </v>
      </c>
      <c r="E3" t="str">
        <f>Projektgrundlagen!G5</f>
        <v>25-131201</v>
      </c>
      <c r="F3">
        <f>Projektgrundlagen!E8</f>
        <v>0</v>
      </c>
      <c r="G3" s="1244">
        <f>'E Honorarberechnung'!J153</f>
        <v>158955.59898400001</v>
      </c>
    </row>
    <row r="7" spans="2:7">
      <c r="B7" t="s">
        <v>962</v>
      </c>
      <c r="C7" t="s">
        <v>1164</v>
      </c>
      <c r="D7" t="s">
        <v>1165</v>
      </c>
    </row>
    <row r="8" spans="2:7">
      <c r="B8" s="1245" t="s">
        <v>1208</v>
      </c>
      <c r="C8" s="1255">
        <f>'E Honorarberechnung'!I14</f>
        <v>2400000</v>
      </c>
      <c r="D8">
        <v>1</v>
      </c>
    </row>
    <row r="9" spans="2:7">
      <c r="B9" s="1245" t="s">
        <v>1207</v>
      </c>
      <c r="C9" s="1255">
        <f>'E Honorarberechnung'!I15</f>
        <v>2400000</v>
      </c>
      <c r="D9">
        <v>2</v>
      </c>
    </row>
    <row r="10" spans="2:7">
      <c r="B10" s="1245" t="s">
        <v>1166</v>
      </c>
      <c r="C10" s="1247">
        <f>'E Honorarberechnung'!I16</f>
        <v>3</v>
      </c>
      <c r="D10">
        <v>3</v>
      </c>
    </row>
    <row r="11" spans="2:7">
      <c r="B11" s="1245" t="s">
        <v>1209</v>
      </c>
      <c r="C11" s="1246">
        <f>'E Honorarberechnung'!J41</f>
        <v>155864.79999999999</v>
      </c>
      <c r="D11">
        <v>4</v>
      </c>
    </row>
    <row r="12" spans="2:7">
      <c r="B12" s="1245" t="s">
        <v>1205</v>
      </c>
      <c r="C12" s="1246">
        <f>'E Honorarberechnung'!J42</f>
        <v>155864.79999999999</v>
      </c>
      <c r="D12">
        <v>5</v>
      </c>
    </row>
    <row r="13" spans="2:7">
      <c r="B13" s="1245" t="s">
        <v>1167</v>
      </c>
      <c r="C13" s="1246">
        <f>'E Honorarberechnung'!I46</f>
        <v>0</v>
      </c>
      <c r="D13">
        <v>6</v>
      </c>
    </row>
    <row r="14" spans="2:7">
      <c r="B14" s="1245" t="s">
        <v>1168</v>
      </c>
      <c r="C14" s="1246">
        <f>'E Honorarberechnung'!I47</f>
        <v>0</v>
      </c>
      <c r="D14">
        <v>7</v>
      </c>
    </row>
    <row r="15" spans="2:7">
      <c r="B15" t="s">
        <v>1210</v>
      </c>
      <c r="C15" s="1246">
        <f>'E Honorarberechnung'!J50</f>
        <v>155864.79999999999</v>
      </c>
      <c r="D15">
        <v>8</v>
      </c>
    </row>
    <row r="16" spans="2:7">
      <c r="B16" t="s">
        <v>1206</v>
      </c>
      <c r="C16" s="1246">
        <f>'E Honorarberechnung'!J51</f>
        <v>155864.79999999999</v>
      </c>
      <c r="D16">
        <v>9</v>
      </c>
    </row>
    <row r="17" spans="2:4">
      <c r="B17" t="s">
        <v>1169</v>
      </c>
      <c r="C17" s="1246">
        <f>'E Honorarberechnung'!I62</f>
        <v>0</v>
      </c>
      <c r="D17">
        <v>10</v>
      </c>
    </row>
    <row r="18" spans="2:4">
      <c r="B18" t="s">
        <v>1170</v>
      </c>
      <c r="C18" s="1246">
        <f>'E Honorarberechnung'!I65</f>
        <v>0</v>
      </c>
      <c r="D18">
        <v>11</v>
      </c>
    </row>
    <row r="19" spans="2:4">
      <c r="B19" t="s">
        <v>1171</v>
      </c>
      <c r="C19" s="1246">
        <f>'E Honorarberechnung'!I72</f>
        <v>0</v>
      </c>
      <c r="D19">
        <v>12</v>
      </c>
    </row>
    <row r="20" spans="2:4">
      <c r="B20" t="s">
        <v>1172</v>
      </c>
      <c r="C20" s="1246">
        <f>'F Honorarübersicht'!E18</f>
        <v>1.7</v>
      </c>
      <c r="D20">
        <v>13</v>
      </c>
    </row>
    <row r="21" spans="2:4">
      <c r="B21" t="s">
        <v>1173</v>
      </c>
      <c r="C21" s="1246">
        <f>'F Honorarübersicht'!I18</f>
        <v>2649.7015999999999</v>
      </c>
      <c r="D21">
        <v>14</v>
      </c>
    </row>
    <row r="22" spans="2:4">
      <c r="B22" t="s">
        <v>1174</v>
      </c>
      <c r="C22" s="1246">
        <f>'F Honorarübersicht'!E19</f>
        <v>19</v>
      </c>
      <c r="D22">
        <v>15</v>
      </c>
    </row>
    <row r="23" spans="2:4">
      <c r="B23" t="s">
        <v>1175</v>
      </c>
      <c r="C23" s="1246">
        <f>'F Honorarübersicht'!I19</f>
        <v>29614.311999999998</v>
      </c>
      <c r="D23">
        <v>16</v>
      </c>
    </row>
    <row r="24" spans="2:4">
      <c r="B24" t="s">
        <v>1176</v>
      </c>
      <c r="C24" s="1246">
        <f>'F Honorarübersicht'!E20</f>
        <v>23.5</v>
      </c>
      <c r="D24">
        <v>17</v>
      </c>
    </row>
    <row r="25" spans="2:4">
      <c r="B25" t="s">
        <v>1177</v>
      </c>
      <c r="C25" s="1246">
        <f>'F Honorarübersicht'!I20</f>
        <v>36628.227999999996</v>
      </c>
      <c r="D25">
        <v>18</v>
      </c>
    </row>
    <row r="26" spans="2:4">
      <c r="B26" t="s">
        <v>1178</v>
      </c>
      <c r="C26" s="1246">
        <f>'F Honorarübersicht'!E21</f>
        <v>8</v>
      </c>
      <c r="D26">
        <v>19</v>
      </c>
    </row>
    <row r="27" spans="2:4">
      <c r="B27" t="s">
        <v>1179</v>
      </c>
      <c r="C27" s="1246">
        <f>'F Honorarübersicht'!I21</f>
        <v>12469.183999999999</v>
      </c>
      <c r="D27">
        <v>20</v>
      </c>
    </row>
    <row r="28" spans="2:4">
      <c r="B28" t="s">
        <v>1180</v>
      </c>
      <c r="C28" s="1246">
        <f>'F Honorarübersicht'!E23</f>
        <v>15</v>
      </c>
      <c r="D28">
        <v>21</v>
      </c>
    </row>
    <row r="29" spans="2:4">
      <c r="B29" t="s">
        <v>1181</v>
      </c>
      <c r="C29" s="1246">
        <f>'F Honorarübersicht'!I23</f>
        <v>23379.72</v>
      </c>
      <c r="D29">
        <v>22</v>
      </c>
    </row>
    <row r="30" spans="2:4">
      <c r="B30" t="s">
        <v>1182</v>
      </c>
      <c r="C30" s="1246">
        <f>'F Honorarübersicht'!E24</f>
        <v>9.5</v>
      </c>
      <c r="D30">
        <v>23</v>
      </c>
    </row>
    <row r="31" spans="2:4">
      <c r="B31" t="s">
        <v>1183</v>
      </c>
      <c r="C31" s="1246">
        <f>'F Honorarübersicht'!I24</f>
        <v>14807.155999999999</v>
      </c>
      <c r="D31">
        <v>24</v>
      </c>
    </row>
    <row r="32" spans="2:4">
      <c r="B32" t="s">
        <v>1184</v>
      </c>
      <c r="C32" s="1246">
        <f>'F Honorarübersicht'!E25</f>
        <v>0</v>
      </c>
      <c r="D32">
        <v>25</v>
      </c>
    </row>
    <row r="33" spans="2:10">
      <c r="B33" t="s">
        <v>1185</v>
      </c>
      <c r="C33" s="1246">
        <f>'F Honorarübersicht'!I25</f>
        <v>0</v>
      </c>
      <c r="D33">
        <v>26</v>
      </c>
    </row>
    <row r="34" spans="2:10">
      <c r="B34" t="s">
        <v>1186</v>
      </c>
      <c r="C34" s="1246">
        <f>'F Honorarübersicht'!E27</f>
        <v>9</v>
      </c>
      <c r="D34">
        <v>27</v>
      </c>
    </row>
    <row r="35" spans="2:10">
      <c r="B35" t="s">
        <v>1187</v>
      </c>
      <c r="C35" s="1246">
        <f>'F Honorarübersicht'!I27</f>
        <v>14027.832</v>
      </c>
      <c r="D35">
        <v>28</v>
      </c>
    </row>
    <row r="36" spans="2:10">
      <c r="B36" t="s">
        <v>1188</v>
      </c>
      <c r="C36" s="1246">
        <f>'F Honorarübersicht'!E28</f>
        <v>0</v>
      </c>
      <c r="D36">
        <v>29</v>
      </c>
    </row>
    <row r="37" spans="2:10">
      <c r="B37" t="s">
        <v>1189</v>
      </c>
      <c r="C37" s="1246">
        <f>'F Honorarübersicht'!I28</f>
        <v>0</v>
      </c>
      <c r="D37">
        <v>30</v>
      </c>
    </row>
    <row r="38" spans="2:10">
      <c r="B38" s="1243" t="s">
        <v>1190</v>
      </c>
      <c r="C38" s="1248">
        <f>'F Honorarübersicht'!I30</f>
        <v>133576.1336</v>
      </c>
      <c r="D38">
        <v>31</v>
      </c>
    </row>
    <row r="39" spans="2:10">
      <c r="B39" s="1243" t="s">
        <v>1191</v>
      </c>
      <c r="C39" s="1248">
        <f>'F Honorarübersicht'!J30</f>
        <v>0</v>
      </c>
      <c r="D39">
        <v>32</v>
      </c>
    </row>
    <row r="40" spans="2:10">
      <c r="B40" t="s">
        <v>1192</v>
      </c>
      <c r="C40" s="1246">
        <f>'F Honorarübersicht'!K30</f>
        <v>133576.1336</v>
      </c>
      <c r="D40">
        <v>33</v>
      </c>
    </row>
    <row r="41" spans="2:10">
      <c r="B41" t="s">
        <v>1193</v>
      </c>
      <c r="C41" s="1246">
        <f>IF('E Honorarberechnung'!L83,'E Honorarberechnung'!I83*100,"")</f>
        <v>0</v>
      </c>
      <c r="D41">
        <v>34</v>
      </c>
    </row>
    <row r="42" spans="2:10">
      <c r="B42" t="s">
        <v>1194</v>
      </c>
      <c r="C42" s="1246">
        <f>'F Honorarübersicht'!L30</f>
        <v>0</v>
      </c>
      <c r="D42">
        <v>35</v>
      </c>
      <c r="J42" s="1246"/>
    </row>
    <row r="43" spans="2:10">
      <c r="B43" t="s">
        <v>1195</v>
      </c>
      <c r="C43" s="1246">
        <f>'F Honorarübersicht'!M30</f>
        <v>133576.1336</v>
      </c>
      <c r="D43">
        <v>36</v>
      </c>
      <c r="J43" s="1246"/>
    </row>
    <row r="44" spans="2:10">
      <c r="B44" t="s">
        <v>1196</v>
      </c>
      <c r="C44" s="1246">
        <f>'E Honorarberechnung'!I105*100</f>
        <v>19</v>
      </c>
      <c r="D44">
        <v>37</v>
      </c>
      <c r="J44" s="1246"/>
    </row>
    <row r="45" spans="2:10">
      <c r="B45" t="s">
        <v>1197</v>
      </c>
      <c r="C45" s="1246">
        <f>'F Honorarübersicht'!N30</f>
        <v>25379.465383999996</v>
      </c>
      <c r="D45">
        <v>38</v>
      </c>
      <c r="J45" s="1246"/>
    </row>
    <row r="46" spans="2:10">
      <c r="B46" s="1243" t="s">
        <v>1198</v>
      </c>
      <c r="C46" s="1248">
        <f>'F Honorarübersicht'!O30</f>
        <v>158955.59898399998</v>
      </c>
      <c r="D46">
        <v>39</v>
      </c>
      <c r="J46" s="1246"/>
    </row>
    <row r="47" spans="2:10">
      <c r="B47" s="1249" t="str">
        <f>"15.1 "&amp;'E Honorarberechnung'!D111</f>
        <v>15.1 Ingenieur nach Ing.-Gesetz</v>
      </c>
      <c r="C47" s="1246">
        <f>'E Honorarberechnung'!I111</f>
        <v>0</v>
      </c>
      <c r="D47">
        <v>40</v>
      </c>
      <c r="I47" s="1249"/>
      <c r="J47" s="1246"/>
    </row>
    <row r="48" spans="2:10">
      <c r="B48" s="1249" t="str">
        <f>"17.1 "&amp;'E Honorarberechnung'!D111&amp;"  mit "&amp;'E Honorarberechnung'!I141&amp;" Std."</f>
        <v>17.1 Ingenieur nach Ing.-Gesetz  mit  Std.</v>
      </c>
      <c r="C48" s="1246" t="str">
        <f>'E Honorarberechnung'!J141</f>
        <v/>
      </c>
      <c r="D48">
        <v>41</v>
      </c>
      <c r="I48" s="1249"/>
      <c r="J48" s="1246"/>
    </row>
    <row r="49" spans="2:10">
      <c r="B49" s="1249" t="str">
        <f>"15.2 "&amp;'E Honorarberechnung'!D112</f>
        <v>15.2 Techniker</v>
      </c>
      <c r="C49" s="1246">
        <f>'E Honorarberechnung'!I112</f>
        <v>0</v>
      </c>
      <c r="D49">
        <v>42</v>
      </c>
      <c r="I49" s="1249"/>
      <c r="J49" s="1246"/>
    </row>
    <row r="50" spans="2:10">
      <c r="B50" s="1249" t="str">
        <f>"17.2 "&amp;'E Honorarberechnung'!D112&amp;"  mit "&amp;'E Honorarberechnung'!I142&amp;" Std."</f>
        <v>17.2 Techniker  mit  Std.</v>
      </c>
      <c r="C50" s="1246" t="str">
        <f>'E Honorarberechnung'!J141</f>
        <v/>
      </c>
      <c r="D50">
        <v>43</v>
      </c>
      <c r="I50" s="1249"/>
      <c r="J50" s="1246"/>
    </row>
    <row r="51" spans="2:10">
      <c r="B51" s="1249" t="str">
        <f>"15.3 "&amp;'E Honorarberechnung'!D113</f>
        <v xml:space="preserve">15.3 Technische Zeichner, sonst. Mitarbeiter </v>
      </c>
      <c r="C51" s="1246">
        <f>'E Honorarberechnung'!I113</f>
        <v>0</v>
      </c>
      <c r="D51">
        <v>44</v>
      </c>
      <c r="I51" s="1249"/>
      <c r="J51" s="1246"/>
    </row>
    <row r="52" spans="2:10">
      <c r="B52" s="1249" t="str">
        <f>"17.3 "&amp;'E Honorarberechnung'!D113&amp;"  mit "&amp;'E Honorarberechnung'!I143&amp;" Std."</f>
        <v>17.3 Technische Zeichner, sonst. Mitarbeiter   mit  Std.</v>
      </c>
      <c r="C52" s="1246" t="str">
        <f>'E Honorarberechnung'!J141</f>
        <v/>
      </c>
      <c r="D52">
        <v>45</v>
      </c>
      <c r="I52" s="1249"/>
      <c r="J52" s="1246"/>
    </row>
    <row r="53" spans="2:10">
      <c r="B53" s="1249" t="str">
        <f>"18 "&amp;'E Honorarberechnung'!C144</f>
        <v xml:space="preserve">18 Sonstige Vereinbarungen: </v>
      </c>
      <c r="C53" s="1246" t="str">
        <f>IFERROR('E Honorarberechnung'!J145+'E Honorarberechnung'!J146,"")</f>
        <v/>
      </c>
      <c r="D53">
        <v>46</v>
      </c>
      <c r="I53" s="1249"/>
      <c r="J53" s="1246"/>
    </row>
    <row r="54" spans="2:10">
      <c r="B54" t="s">
        <v>1199</v>
      </c>
      <c r="C54" s="1246">
        <f>'E Honorarberechnung'!J150</f>
        <v>133576.1336</v>
      </c>
      <c r="D54">
        <v>47</v>
      </c>
      <c r="J54" s="1246"/>
    </row>
    <row r="55" spans="2:10">
      <c r="B55" t="s">
        <v>1200</v>
      </c>
      <c r="C55" s="1246">
        <f>'E Honorarberechnung'!J151</f>
        <v>25379.465383999999</v>
      </c>
      <c r="D55">
        <v>48</v>
      </c>
      <c r="J55" s="1246"/>
    </row>
    <row r="56" spans="2:10">
      <c r="B56" s="1243" t="s">
        <v>1201</v>
      </c>
      <c r="C56" s="1248">
        <f>'E Honorarberechnung'!J153</f>
        <v>158955.59898400001</v>
      </c>
      <c r="D56">
        <v>49</v>
      </c>
      <c r="J56" s="1246"/>
    </row>
    <row r="57" spans="2:10">
      <c r="C57" s="1246"/>
      <c r="E57" s="1246"/>
    </row>
    <row r="58" spans="2:10">
      <c r="B58" s="1243"/>
      <c r="C58" s="1248"/>
    </row>
    <row r="59" spans="2:10">
      <c r="B59" s="1243"/>
      <c r="C59" s="1248"/>
    </row>
    <row r="60" spans="2:10">
      <c r="B60" s="1243"/>
      <c r="C60" s="1248"/>
    </row>
    <row r="61" spans="2:10">
      <c r="B61" s="1250" t="s">
        <v>1202</v>
      </c>
      <c r="C61" s="1251" t="s">
        <v>133</v>
      </c>
      <c r="D61" s="1251" t="s">
        <v>132</v>
      </c>
      <c r="E61" s="1251" t="s">
        <v>1203</v>
      </c>
      <c r="F61" s="1252" t="s">
        <v>1204</v>
      </c>
    </row>
    <row r="62" spans="2:10">
      <c r="B62" t="str">
        <f>IF(AND(Projektgrundlagen!$I$21,'StB-D1 Besondere Lstg'!M13=TRUE),'StB-D1 Besondere Lstg'!C13&amp;" "&amp;'StB-D1 Besondere Lstg'!F13&amp;" "&amp;'StB-D1 Besondere Lstg'!F14,IF(AND(Projektgrundlagen!$I$22,'HB-D1 Besondere Lstg Land'!M13=TRUE),'HB-D1 Besondere Lstg Land'!C13&amp;" "&amp;'HB-D1 Besondere Lstg Land'!F13&amp;" "&amp;'HB-D1 Besondere Lstg Land'!F14,IF(AND(Projektgrundlagen!$I$23,'HB-D2 Besondere Lstg Bund'!M13=TRUE),'HB-D2 Besondere Lstg Bund'!C13&amp;" "&amp;'HB-D2 Besondere Lstg Bund'!F13&amp;" "&amp;'HB-D2 Besondere Lstg Bund'!F14,"")))</f>
        <v/>
      </c>
      <c r="C62" s="1246" t="str">
        <f>IF(AND(Projektgrundlagen!$I$21,'StB-D1 Besondere Lstg'!M13=TRUE),'StB-D1 Besondere Lstg'!H13,"")</f>
        <v/>
      </c>
      <c r="D62" s="1246" t="str">
        <f>IF(AND(Projektgrundlagen!$I$21,'StB-D1 Besondere Lstg'!M13=TRUE),'StB-D1 Besondere Lstg'!I13,IF(AND(Projektgrundlagen!$I$22,'HB-D1 Besondere Lstg Land'!M13=TRUE),(IF('HB-D1 Besondere Lstg Land'!H13&gt;0,"v.H.","pauschal")),IF(AND(Projektgrundlagen!$I$23,'HB-D2 Besondere Lstg Bund'!M13=TRUE),(IF('HB-D2 Besondere Lstg Bund'!H13&gt;0,"v.H.","pauschal")),"")))</f>
        <v/>
      </c>
      <c r="E62" s="1246" t="str">
        <f>IF(AND(Projektgrundlagen!$I$21,'StB-D1 Besondere Lstg'!M13=TRUE),'StB-D1 Besondere Lstg'!J13,IF(AND(Projektgrundlagen!$I$22,'HB-D1 Besondere Lstg Land'!M13=TRUE),'HB-D1 Besondere Lstg Land'!H13+'HB-D1 Besondere Lstg Land'!J13,IF(AND(Projektgrundlagen!$I$23,'HB-D2 Besondere Lstg Bund'!M13=TRUE),'HB-D2 Besondere Lstg Bund'!H13+'HB-D2 Besondere Lstg Bund'!J13,"")))</f>
        <v/>
      </c>
      <c r="F62" s="1246" t="str">
        <f>IF(AND(Projektgrundlagen!$I$21,'StB-D1 Besondere Lstg'!M13=TRUE),'StB-D1 Besondere Lstg'!K13,IF(AND(Projektgrundlagen!$I$22,'HB-D1 Besondere Lstg Land'!M13=TRUE),'HB-D1 Besondere Lstg Land'!K13,IF(AND(Projektgrundlagen!$I$23,'HB-D2 Besondere Lstg Bund'!M13=TRUE),'HB-D2 Besondere Lstg Bund'!K13,"")))</f>
        <v/>
      </c>
    </row>
    <row r="63" spans="2:10">
      <c r="B63" t="str">
        <f>IF(AND(Projektgrundlagen!$I$21,'StB-D1 Besondere Lstg'!M14=TRUE),'StB-D1 Besondere Lstg'!C14&amp;" "&amp;'StB-D1 Besondere Lstg'!F14&amp;" "&amp;'StB-D1 Besondere Lstg'!F15,IF(AND(Projektgrundlagen!$I$22,'HB-D1 Besondere Lstg Land'!M14=TRUE),'HB-D1 Besondere Lstg Land'!C14&amp;" "&amp;'HB-D1 Besondere Lstg Land'!F14&amp;" "&amp;'HB-D1 Besondere Lstg Land'!F15,IF(AND(Projektgrundlagen!$I$23,'HB-D2 Besondere Lstg Bund'!M14=TRUE),'HB-D2 Besondere Lstg Bund'!C14&amp;" "&amp;'HB-D2 Besondere Lstg Bund'!F14&amp;" "&amp;'HB-D2 Besondere Lstg Bund'!F15,"")))</f>
        <v/>
      </c>
      <c r="C63" s="1246" t="str">
        <f>IF(AND(Projektgrundlagen!$I$21,'StB-D1 Besondere Lstg'!M14=TRUE),'StB-D1 Besondere Lstg'!H14,"")</f>
        <v/>
      </c>
      <c r="D63" s="1246" t="str">
        <f>IF(AND(Projektgrundlagen!$I$21,'StB-D1 Besondere Lstg'!M14=TRUE),'StB-D1 Besondere Lstg'!I14,IF(AND(Projektgrundlagen!$I$22,'HB-D1 Besondere Lstg Land'!M14=TRUE),(IF('HB-D1 Besondere Lstg Land'!H14&gt;0,"v.H.","pauschal")),IF(AND(Projektgrundlagen!$I$23,'HB-D2 Besondere Lstg Bund'!M14=TRUE),(IF('HB-D2 Besondere Lstg Bund'!H14&gt;0,"v.H.","pauschal")),"")))</f>
        <v/>
      </c>
      <c r="E63" s="1246" t="str">
        <f>IF(AND(Projektgrundlagen!$I$21,'StB-D1 Besondere Lstg'!M14=TRUE),'StB-D1 Besondere Lstg'!J14,IF(AND(Projektgrundlagen!$I$22,'HB-D1 Besondere Lstg Land'!M14=TRUE),'HB-D1 Besondere Lstg Land'!H14+'HB-D1 Besondere Lstg Land'!J14,IF(AND(Projektgrundlagen!$I$23,'HB-D2 Besondere Lstg Bund'!M14=TRUE),'HB-D2 Besondere Lstg Bund'!H14+'HB-D2 Besondere Lstg Bund'!J14,"")))</f>
        <v/>
      </c>
      <c r="F63" s="1246" t="str">
        <f>IF(AND(Projektgrundlagen!$I$21,'StB-D1 Besondere Lstg'!M14=TRUE),'StB-D1 Besondere Lstg'!K14,IF(AND(Projektgrundlagen!$I$22,'HB-D1 Besondere Lstg Land'!M14=TRUE),'HB-D1 Besondere Lstg Land'!K14,IF(AND(Projektgrundlagen!$I$23,'HB-D2 Besondere Lstg Bund'!M14=TRUE),'HB-D2 Besondere Lstg Bund'!K14,"")))</f>
        <v/>
      </c>
    </row>
    <row r="64" spans="2:10">
      <c r="B64" t="str">
        <f>IF(AND(Projektgrundlagen!$I$21,'StB-D1 Besondere Lstg'!M15=TRUE),'StB-D1 Besondere Lstg'!C15&amp;" "&amp;'StB-D1 Besondere Lstg'!F15&amp;" "&amp;'StB-D1 Besondere Lstg'!F16,IF(AND(Projektgrundlagen!$I$22,'HB-D1 Besondere Lstg Land'!M15=TRUE),'HB-D1 Besondere Lstg Land'!C15&amp;" "&amp;'HB-D1 Besondere Lstg Land'!F15&amp;" "&amp;'HB-D1 Besondere Lstg Land'!F16,IF(AND(Projektgrundlagen!$I$23,'HB-D2 Besondere Lstg Bund'!M15=TRUE),'HB-D2 Besondere Lstg Bund'!C15&amp;" "&amp;'HB-D2 Besondere Lstg Bund'!F15&amp;" "&amp;'HB-D2 Besondere Lstg Bund'!F16,"")))</f>
        <v/>
      </c>
      <c r="C64" s="1246" t="str">
        <f>IF(AND(Projektgrundlagen!$I$21,'StB-D1 Besondere Lstg'!M15=TRUE),'StB-D1 Besondere Lstg'!H15,"")</f>
        <v/>
      </c>
      <c r="D64" s="1246" t="str">
        <f>IF(AND(Projektgrundlagen!$I$21,'StB-D1 Besondere Lstg'!M15=TRUE),'StB-D1 Besondere Lstg'!I15,IF(AND(Projektgrundlagen!$I$22,'HB-D1 Besondere Lstg Land'!M15=TRUE),(IF('HB-D1 Besondere Lstg Land'!H15&gt;0,"v.H.","pauschal")),IF(AND(Projektgrundlagen!$I$23,'HB-D2 Besondere Lstg Bund'!M15=TRUE),(IF('HB-D2 Besondere Lstg Bund'!H15&gt;0,"v.H.","pauschal")),"")))</f>
        <v/>
      </c>
      <c r="E64" s="1246" t="str">
        <f>IF(AND(Projektgrundlagen!$I$21,'StB-D1 Besondere Lstg'!M15=TRUE),'StB-D1 Besondere Lstg'!J15,IF(AND(Projektgrundlagen!$I$22,'HB-D1 Besondere Lstg Land'!M15=TRUE),'HB-D1 Besondere Lstg Land'!H15+'HB-D1 Besondere Lstg Land'!J15,IF(AND(Projektgrundlagen!$I$23,'HB-D2 Besondere Lstg Bund'!M15=TRUE),'HB-D2 Besondere Lstg Bund'!H15+'HB-D2 Besondere Lstg Bund'!J15,"")))</f>
        <v/>
      </c>
      <c r="F64" s="1246" t="str">
        <f>IF(AND(Projektgrundlagen!$I$21,'StB-D1 Besondere Lstg'!M15=TRUE),'StB-D1 Besondere Lstg'!K15,IF(AND(Projektgrundlagen!$I$22,'HB-D1 Besondere Lstg Land'!M15=TRUE),'HB-D1 Besondere Lstg Land'!K15,IF(AND(Projektgrundlagen!$I$23,'HB-D2 Besondere Lstg Bund'!M15=TRUE),'HB-D2 Besondere Lstg Bund'!K15,"")))</f>
        <v/>
      </c>
    </row>
    <row r="65" spans="2:8">
      <c r="B65" t="str">
        <f>IF(AND(Projektgrundlagen!$I$21,'StB-D1 Besondere Lstg'!M16=TRUE),'StB-D1 Besondere Lstg'!C16&amp;" "&amp;'StB-D1 Besondere Lstg'!F16&amp;" "&amp;'StB-D1 Besondere Lstg'!F17,IF(AND(Projektgrundlagen!$I$22,'HB-D1 Besondere Lstg Land'!M16=TRUE),'HB-D1 Besondere Lstg Land'!C16&amp;" "&amp;'HB-D1 Besondere Lstg Land'!F16&amp;" "&amp;'HB-D1 Besondere Lstg Land'!F17,IF(AND(Projektgrundlagen!$I$23,'HB-D2 Besondere Lstg Bund'!M16=TRUE),'HB-D2 Besondere Lstg Bund'!C16&amp;" "&amp;'HB-D2 Besondere Lstg Bund'!F16&amp;" "&amp;'HB-D2 Besondere Lstg Bund'!F17,"")))</f>
        <v/>
      </c>
      <c r="C65" s="1246" t="str">
        <f>IF(AND(Projektgrundlagen!$I$21,'StB-D1 Besondere Lstg'!M16=TRUE),'StB-D1 Besondere Lstg'!H16,"")</f>
        <v/>
      </c>
      <c r="D65" s="1246" t="str">
        <f>IF(AND(Projektgrundlagen!$I$21,'StB-D1 Besondere Lstg'!M16=TRUE),'StB-D1 Besondere Lstg'!I16,IF(AND(Projektgrundlagen!$I$22,'HB-D1 Besondere Lstg Land'!M16=TRUE),(IF('HB-D1 Besondere Lstg Land'!H16&gt;0,"v.H.","pauschal")),IF(AND(Projektgrundlagen!$I$23,'HB-D2 Besondere Lstg Bund'!M16=TRUE),(IF('HB-D2 Besondere Lstg Bund'!H16&gt;0,"v.H.","pauschal")),"")))</f>
        <v/>
      </c>
      <c r="E65" s="1246" t="str">
        <f>IF(AND(Projektgrundlagen!$I$21,'StB-D1 Besondere Lstg'!M16=TRUE),'StB-D1 Besondere Lstg'!J16,IF(AND(Projektgrundlagen!$I$22,'HB-D1 Besondere Lstg Land'!M16=TRUE),'HB-D1 Besondere Lstg Land'!H16+'HB-D1 Besondere Lstg Land'!J16,IF(AND(Projektgrundlagen!$I$23,'HB-D2 Besondere Lstg Bund'!M16=TRUE),'HB-D2 Besondere Lstg Bund'!H16+'HB-D2 Besondere Lstg Bund'!J16,"")))</f>
        <v/>
      </c>
      <c r="F65" s="1246" t="str">
        <f>IF(AND(Projektgrundlagen!$I$21,'StB-D1 Besondere Lstg'!M16=TRUE),'StB-D1 Besondere Lstg'!K16,IF(AND(Projektgrundlagen!$I$22,'HB-D1 Besondere Lstg Land'!M16=TRUE),'HB-D1 Besondere Lstg Land'!K16,IF(AND(Projektgrundlagen!$I$23,'HB-D2 Besondere Lstg Bund'!M16=TRUE),'HB-D2 Besondere Lstg Bund'!K16,"")))</f>
        <v/>
      </c>
    </row>
    <row r="66" spans="2:8">
      <c r="B66" t="str">
        <f>IF(AND(Projektgrundlagen!$I$21,'StB-D1 Besondere Lstg'!M17=TRUE),'StB-D1 Besondere Lstg'!C17&amp;" "&amp;'StB-D1 Besondere Lstg'!F17&amp;" "&amp;'StB-D1 Besondere Lstg'!F18,IF(AND(Projektgrundlagen!$I$22,'HB-D1 Besondere Lstg Land'!M17=TRUE),'HB-D1 Besondere Lstg Land'!C17&amp;" "&amp;'HB-D1 Besondere Lstg Land'!F17&amp;" "&amp;'HB-D1 Besondere Lstg Land'!F18,IF(AND(Projektgrundlagen!$I$23,'HB-D2 Besondere Lstg Bund'!M17=TRUE),'HB-D2 Besondere Lstg Bund'!C17&amp;" "&amp;'HB-D2 Besondere Lstg Bund'!F17&amp;" "&amp;'HB-D2 Besondere Lstg Bund'!F18,"")))</f>
        <v/>
      </c>
      <c r="C66" s="1246" t="str">
        <f>IF(AND(Projektgrundlagen!$I$21,'StB-D1 Besondere Lstg'!M17=TRUE),'StB-D1 Besondere Lstg'!H17,"")</f>
        <v/>
      </c>
      <c r="D66" s="1246" t="str">
        <f>IF(AND(Projektgrundlagen!$I$21,'StB-D1 Besondere Lstg'!M17=TRUE),'StB-D1 Besondere Lstg'!I17,IF(AND(Projektgrundlagen!$I$22,'HB-D1 Besondere Lstg Land'!M17=TRUE),(IF('HB-D1 Besondere Lstg Land'!H17&gt;0,"v.H.","pauschal")),IF(AND(Projektgrundlagen!$I$23,'HB-D2 Besondere Lstg Bund'!M17=TRUE),(IF('HB-D2 Besondere Lstg Bund'!H17&gt;0,"v.H.","pauschal")),"")))</f>
        <v/>
      </c>
      <c r="E66" s="1246" t="str">
        <f>IF(AND(Projektgrundlagen!$I$21,'StB-D1 Besondere Lstg'!M17=TRUE),'StB-D1 Besondere Lstg'!J17,IF(AND(Projektgrundlagen!$I$22,'HB-D1 Besondere Lstg Land'!M17=TRUE),'HB-D1 Besondere Lstg Land'!H17+'HB-D1 Besondere Lstg Land'!J17,IF(AND(Projektgrundlagen!$I$23,'HB-D2 Besondere Lstg Bund'!M17=TRUE),'HB-D2 Besondere Lstg Bund'!H17+'HB-D2 Besondere Lstg Bund'!J17,"")))</f>
        <v/>
      </c>
      <c r="F66" s="1246" t="str">
        <f>IF(AND(Projektgrundlagen!$I$21,'StB-D1 Besondere Lstg'!M17=TRUE),'StB-D1 Besondere Lstg'!K17,IF(AND(Projektgrundlagen!$I$22,'HB-D1 Besondere Lstg Land'!M17=TRUE),'HB-D1 Besondere Lstg Land'!K17,IF(AND(Projektgrundlagen!$I$23,'HB-D2 Besondere Lstg Bund'!M17=TRUE),'HB-D2 Besondere Lstg Bund'!K17,"")))</f>
        <v/>
      </c>
    </row>
    <row r="67" spans="2:8" ht="14.4">
      <c r="B67" t="str">
        <f>IF(AND(Projektgrundlagen!$I$21,'StB-D1 Besondere Lstg'!M18=TRUE),'StB-D1 Besondere Lstg'!C18&amp;" "&amp;'StB-D1 Besondere Lstg'!F18&amp;" "&amp;'StB-D1 Besondere Lstg'!F19,IF(AND(Projektgrundlagen!$I$22,'HB-D1 Besondere Lstg Land'!M18=TRUE),'HB-D1 Besondere Lstg Land'!C18&amp;" "&amp;'HB-D1 Besondere Lstg Land'!F18&amp;" "&amp;'HB-D1 Besondere Lstg Land'!F19,IF(AND(Projektgrundlagen!$I$23,'HB-D2 Besondere Lstg Bund'!M18=TRUE),'HB-D2 Besondere Lstg Bund'!C18&amp;" "&amp;'HB-D2 Besondere Lstg Bund'!F18&amp;" "&amp;'HB-D2 Besondere Lstg Bund'!F19,"")))</f>
        <v/>
      </c>
      <c r="C67" s="1246" t="str">
        <f>IF(AND(Projektgrundlagen!$I$21,'StB-D1 Besondere Lstg'!M18=TRUE),'StB-D1 Besondere Lstg'!H18,"")</f>
        <v/>
      </c>
      <c r="D67" s="1246" t="str">
        <f>IF(AND(Projektgrundlagen!$I$21,'StB-D1 Besondere Lstg'!M18=TRUE),'StB-D1 Besondere Lstg'!I18,IF(AND(Projektgrundlagen!$I$22,'HB-D1 Besondere Lstg Land'!M18=TRUE),(IF('HB-D1 Besondere Lstg Land'!H18&gt;0,"v.H.","pauschal")),IF(AND(Projektgrundlagen!$I$23,'HB-D2 Besondere Lstg Bund'!M18=TRUE),(IF('HB-D2 Besondere Lstg Bund'!H18&gt;0,"v.H.","pauschal")),"")))</f>
        <v/>
      </c>
      <c r="E67" s="1246" t="str">
        <f>IF(AND(Projektgrundlagen!$I$21,'StB-D1 Besondere Lstg'!M18=TRUE),'StB-D1 Besondere Lstg'!J18,IF(AND(Projektgrundlagen!$I$22,'HB-D1 Besondere Lstg Land'!M18=TRUE),'HB-D1 Besondere Lstg Land'!H18+'HB-D1 Besondere Lstg Land'!J18,IF(AND(Projektgrundlagen!$I$23,'HB-D2 Besondere Lstg Bund'!M18=TRUE),'HB-D2 Besondere Lstg Bund'!H18+'HB-D2 Besondere Lstg Bund'!J18,"")))</f>
        <v/>
      </c>
      <c r="F67" s="1246" t="str">
        <f>IF(AND(Projektgrundlagen!$I$21,'StB-D1 Besondere Lstg'!M18=TRUE),'StB-D1 Besondere Lstg'!K18,IF(AND(Projektgrundlagen!$I$22,'HB-D1 Besondere Lstg Land'!M18=TRUE),'HB-D1 Besondere Lstg Land'!K18,IF(AND(Projektgrundlagen!$I$23,'HB-D2 Besondere Lstg Bund'!M18=TRUE),'HB-D2 Besondere Lstg Bund'!K18,"")))</f>
        <v/>
      </c>
      <c r="G67" s="1253"/>
      <c r="H67" s="1254"/>
    </row>
    <row r="68" spans="2:8" ht="14.4">
      <c r="B68" t="str">
        <f>IF(AND(Projektgrundlagen!$I$21,'StB-D1 Besondere Lstg'!M19=TRUE),'StB-D1 Besondere Lstg'!C19&amp;" "&amp;'StB-D1 Besondere Lstg'!F19&amp;" "&amp;'StB-D1 Besondere Lstg'!F20,IF(AND(Projektgrundlagen!$I$22,'HB-D1 Besondere Lstg Land'!M19=TRUE),'HB-D1 Besondere Lstg Land'!C19&amp;" "&amp;'HB-D1 Besondere Lstg Land'!F19&amp;" "&amp;'HB-D1 Besondere Lstg Land'!F20,IF(AND(Projektgrundlagen!$I$23,'HB-D2 Besondere Lstg Bund'!M19=TRUE),'HB-D2 Besondere Lstg Bund'!C19&amp;" "&amp;'HB-D2 Besondere Lstg Bund'!F19&amp;" "&amp;'HB-D2 Besondere Lstg Bund'!F20,"")))</f>
        <v/>
      </c>
      <c r="C68" s="1246" t="str">
        <f>IF(AND(Projektgrundlagen!$I$21,'StB-D1 Besondere Lstg'!M19=TRUE),'StB-D1 Besondere Lstg'!H19,"")</f>
        <v/>
      </c>
      <c r="D68" s="1246" t="str">
        <f>IF(AND(Projektgrundlagen!$I$21,'StB-D1 Besondere Lstg'!M19=TRUE),'StB-D1 Besondere Lstg'!I19,IF(AND(Projektgrundlagen!$I$22,'HB-D1 Besondere Lstg Land'!M19=TRUE),(IF('HB-D1 Besondere Lstg Land'!H19&gt;0,"v.H.","pauschal")),IF(AND(Projektgrundlagen!$I$23,'HB-D2 Besondere Lstg Bund'!M19=TRUE),(IF('HB-D2 Besondere Lstg Bund'!H19&gt;0,"v.H.","pauschal")),"")))</f>
        <v/>
      </c>
      <c r="E68" s="1246" t="str">
        <f>IF(AND(Projektgrundlagen!$I$21,'StB-D1 Besondere Lstg'!M19=TRUE),'StB-D1 Besondere Lstg'!J19,IF(AND(Projektgrundlagen!$I$22,'HB-D1 Besondere Lstg Land'!M19=TRUE),'HB-D1 Besondere Lstg Land'!H19+'HB-D1 Besondere Lstg Land'!J19,IF(AND(Projektgrundlagen!$I$23,'HB-D2 Besondere Lstg Bund'!M19=TRUE),'HB-D2 Besondere Lstg Bund'!H19+'HB-D2 Besondere Lstg Bund'!J19,"")))</f>
        <v/>
      </c>
      <c r="F68" s="1246" t="str">
        <f>IF(AND(Projektgrundlagen!$I$21,'StB-D1 Besondere Lstg'!M19=TRUE),'StB-D1 Besondere Lstg'!K19,IF(AND(Projektgrundlagen!$I$22,'HB-D1 Besondere Lstg Land'!M19=TRUE),'HB-D1 Besondere Lstg Land'!K19,IF(AND(Projektgrundlagen!$I$23,'HB-D2 Besondere Lstg Bund'!M19=TRUE),'HB-D2 Besondere Lstg Bund'!K19,"")))</f>
        <v/>
      </c>
      <c r="G68" s="1253"/>
      <c r="H68" s="1254"/>
    </row>
    <row r="69" spans="2:8" ht="14.4">
      <c r="B69" t="str">
        <f>IF(AND(Projektgrundlagen!$I$21,'StB-D1 Besondere Lstg'!M20=TRUE),'StB-D1 Besondere Lstg'!C20&amp;" "&amp;'StB-D1 Besondere Lstg'!F20&amp;" "&amp;'StB-D1 Besondere Lstg'!F21,IF(AND(Projektgrundlagen!$I$22,'HB-D1 Besondere Lstg Land'!M20=TRUE),'HB-D1 Besondere Lstg Land'!C20&amp;" "&amp;'HB-D1 Besondere Lstg Land'!F20&amp;" "&amp;'HB-D1 Besondere Lstg Land'!F21,IF(AND(Projektgrundlagen!$I$23,'HB-D2 Besondere Lstg Bund'!M20=TRUE),'HB-D2 Besondere Lstg Bund'!C20&amp;" "&amp;'HB-D2 Besondere Lstg Bund'!F20&amp;" "&amp;'HB-D2 Besondere Lstg Bund'!F21,"")))</f>
        <v/>
      </c>
      <c r="C69" s="1246" t="str">
        <f>IF(AND(Projektgrundlagen!$I$21,'StB-D1 Besondere Lstg'!M20=TRUE),'StB-D1 Besondere Lstg'!H20,"")</f>
        <v/>
      </c>
      <c r="D69" s="1246" t="str">
        <f>IF(AND(Projektgrundlagen!$I$21,'StB-D1 Besondere Lstg'!M20=TRUE),'StB-D1 Besondere Lstg'!I20,IF(AND(Projektgrundlagen!$I$22,'HB-D1 Besondere Lstg Land'!M20=TRUE),(IF('HB-D1 Besondere Lstg Land'!H20&gt;0,"v.H.","pauschal")),IF(AND(Projektgrundlagen!$I$23,'HB-D2 Besondere Lstg Bund'!M20=TRUE),(IF('HB-D2 Besondere Lstg Bund'!H20&gt;0,"v.H.","pauschal")),"")))</f>
        <v/>
      </c>
      <c r="E69" s="1246" t="str">
        <f>IF(AND(Projektgrundlagen!$I$21,'StB-D1 Besondere Lstg'!M20=TRUE),'StB-D1 Besondere Lstg'!J20,IF(AND(Projektgrundlagen!$I$22,'HB-D1 Besondere Lstg Land'!M20=TRUE),'HB-D1 Besondere Lstg Land'!H20+'HB-D1 Besondere Lstg Land'!J20,IF(AND(Projektgrundlagen!$I$23,'HB-D2 Besondere Lstg Bund'!M20=TRUE),'HB-D2 Besondere Lstg Bund'!H20+'HB-D2 Besondere Lstg Bund'!J20,"")))</f>
        <v/>
      </c>
      <c r="F69" s="1246" t="str">
        <f>IF(AND(Projektgrundlagen!$I$21,'StB-D1 Besondere Lstg'!M20=TRUE),'StB-D1 Besondere Lstg'!K20,IF(AND(Projektgrundlagen!$I$22,'HB-D1 Besondere Lstg Land'!M20=TRUE),'HB-D1 Besondere Lstg Land'!K20,IF(AND(Projektgrundlagen!$I$23,'HB-D2 Besondere Lstg Bund'!M20=TRUE),'HB-D2 Besondere Lstg Bund'!K20,"")))</f>
        <v/>
      </c>
      <c r="G69" s="1253"/>
      <c r="H69" s="1254"/>
    </row>
    <row r="70" spans="2:8" ht="14.4">
      <c r="B70" t="str">
        <f>IF(AND(Projektgrundlagen!$I$21,'StB-D1 Besondere Lstg'!M21=TRUE),'StB-D1 Besondere Lstg'!C21&amp;" "&amp;'StB-D1 Besondere Lstg'!F21&amp;" "&amp;'StB-D1 Besondere Lstg'!F22,IF(AND(Projektgrundlagen!$I$22,'HB-D1 Besondere Lstg Land'!M21=TRUE),'HB-D1 Besondere Lstg Land'!C21&amp;" "&amp;'HB-D1 Besondere Lstg Land'!F21&amp;" "&amp;'HB-D1 Besondere Lstg Land'!F22,IF(AND(Projektgrundlagen!$I$23,'HB-D2 Besondere Lstg Bund'!M21=TRUE),'HB-D2 Besondere Lstg Bund'!C21&amp;" "&amp;'HB-D2 Besondere Lstg Bund'!F21&amp;" "&amp;'HB-D2 Besondere Lstg Bund'!F22,"")))</f>
        <v/>
      </c>
      <c r="C70" s="1246" t="str">
        <f>IF(AND(Projektgrundlagen!$I$21,'StB-D1 Besondere Lstg'!M21=TRUE),'StB-D1 Besondere Lstg'!H21,"")</f>
        <v/>
      </c>
      <c r="D70" s="1246" t="str">
        <f>IF(AND(Projektgrundlagen!$I$21,'StB-D1 Besondere Lstg'!M21=TRUE),'StB-D1 Besondere Lstg'!I21,IF(AND(Projektgrundlagen!$I$22,'HB-D1 Besondere Lstg Land'!M21=TRUE),(IF('HB-D1 Besondere Lstg Land'!H21&gt;0,"v.H.","pauschal")),IF(AND(Projektgrundlagen!$I$23,'HB-D2 Besondere Lstg Bund'!M21=TRUE),(IF('HB-D2 Besondere Lstg Bund'!H21&gt;0,"v.H.","pauschal")),"")))</f>
        <v/>
      </c>
      <c r="E70" s="1246" t="str">
        <f>IF(AND(Projektgrundlagen!$I$21,'StB-D1 Besondere Lstg'!M21=TRUE),'StB-D1 Besondere Lstg'!J21,IF(AND(Projektgrundlagen!$I$22,'HB-D1 Besondere Lstg Land'!M21=TRUE),'HB-D1 Besondere Lstg Land'!H21+'HB-D1 Besondere Lstg Land'!J21,IF(AND(Projektgrundlagen!$I$23,'HB-D2 Besondere Lstg Bund'!M21=TRUE),'HB-D2 Besondere Lstg Bund'!H21+'HB-D2 Besondere Lstg Bund'!J21,"")))</f>
        <v/>
      </c>
      <c r="F70" s="1246" t="str">
        <f>IF(AND(Projektgrundlagen!$I$21,'StB-D1 Besondere Lstg'!M21=TRUE),'StB-D1 Besondere Lstg'!K21,IF(AND(Projektgrundlagen!$I$22,'HB-D1 Besondere Lstg Land'!M21=TRUE),'HB-D1 Besondere Lstg Land'!K21,IF(AND(Projektgrundlagen!$I$23,'HB-D2 Besondere Lstg Bund'!M21=TRUE),'HB-D2 Besondere Lstg Bund'!K21,"")))</f>
        <v/>
      </c>
      <c r="G70" s="1253"/>
      <c r="H70" s="1254"/>
    </row>
    <row r="71" spans="2:8" ht="14.4">
      <c r="B71" t="str">
        <f>IF(AND(Projektgrundlagen!$I$21,'StB-D1 Besondere Lstg'!M22=TRUE),'StB-D1 Besondere Lstg'!C22&amp;" "&amp;'StB-D1 Besondere Lstg'!F22&amp;" "&amp;'StB-D1 Besondere Lstg'!F23,IF(AND(Projektgrundlagen!$I$22,'HB-D1 Besondere Lstg Land'!M22=TRUE),'HB-D1 Besondere Lstg Land'!C22&amp;" "&amp;'HB-D1 Besondere Lstg Land'!F22&amp;" "&amp;'HB-D1 Besondere Lstg Land'!F23,IF(AND(Projektgrundlagen!$I$23,'HB-D2 Besondere Lstg Bund'!M22=TRUE),'HB-D2 Besondere Lstg Bund'!C22&amp;" "&amp;'HB-D2 Besondere Lstg Bund'!F22&amp;" "&amp;'HB-D2 Besondere Lstg Bund'!F23,"")))</f>
        <v/>
      </c>
      <c r="C71" s="1246" t="str">
        <f>IF(AND(Projektgrundlagen!$I$21,'StB-D1 Besondere Lstg'!M22=TRUE),'StB-D1 Besondere Lstg'!H22,"")</f>
        <v/>
      </c>
      <c r="D71" s="1246" t="str">
        <f>IF(AND(Projektgrundlagen!$I$21,'StB-D1 Besondere Lstg'!M22=TRUE),'StB-D1 Besondere Lstg'!I22,IF(AND(Projektgrundlagen!$I$22,'HB-D1 Besondere Lstg Land'!M22=TRUE),(IF('HB-D1 Besondere Lstg Land'!H22&gt;0,"v.H.","pauschal")),IF(AND(Projektgrundlagen!$I$23,'HB-D2 Besondere Lstg Bund'!M22=TRUE),(IF('HB-D2 Besondere Lstg Bund'!H22&gt;0,"v.H.","pauschal")),"")))</f>
        <v/>
      </c>
      <c r="E71" s="1246" t="str">
        <f>IF(AND(Projektgrundlagen!$I$21,'StB-D1 Besondere Lstg'!M22=TRUE),'StB-D1 Besondere Lstg'!J22,IF(AND(Projektgrundlagen!$I$22,'HB-D1 Besondere Lstg Land'!M22=TRUE),'HB-D1 Besondere Lstg Land'!H22+'HB-D1 Besondere Lstg Land'!J22,IF(AND(Projektgrundlagen!$I$23,'HB-D2 Besondere Lstg Bund'!M22=TRUE),'HB-D2 Besondere Lstg Bund'!H22+'HB-D2 Besondere Lstg Bund'!J22,"")))</f>
        <v/>
      </c>
      <c r="F71" s="1246" t="str">
        <f>IF(AND(Projektgrundlagen!$I$21,'StB-D1 Besondere Lstg'!M22=TRUE),'StB-D1 Besondere Lstg'!K22,IF(AND(Projektgrundlagen!$I$22,'HB-D1 Besondere Lstg Land'!M22=TRUE),'HB-D1 Besondere Lstg Land'!K22,IF(AND(Projektgrundlagen!$I$23,'HB-D2 Besondere Lstg Bund'!M22=TRUE),'HB-D2 Besondere Lstg Bund'!K22,"")))</f>
        <v/>
      </c>
      <c r="G71" s="1253"/>
      <c r="H71" s="1254"/>
    </row>
    <row r="72" spans="2:8" ht="14.4">
      <c r="B72" t="str">
        <f>IF(AND(Projektgrundlagen!$I$21,'StB-D1 Besondere Lstg'!M23=TRUE),'StB-D1 Besondere Lstg'!C23&amp;" "&amp;'StB-D1 Besondere Lstg'!F23&amp;" "&amp;'StB-D1 Besondere Lstg'!F24,IF(AND(Projektgrundlagen!$I$22,'HB-D1 Besondere Lstg Land'!M23=TRUE),'HB-D1 Besondere Lstg Land'!C23&amp;" "&amp;'HB-D1 Besondere Lstg Land'!F23&amp;" "&amp;'HB-D1 Besondere Lstg Land'!F24,IF(AND(Projektgrundlagen!$I$23,'HB-D2 Besondere Lstg Bund'!M23=TRUE),'HB-D2 Besondere Lstg Bund'!C23&amp;" "&amp;'HB-D2 Besondere Lstg Bund'!F23&amp;" "&amp;'HB-D2 Besondere Lstg Bund'!F24,"")))</f>
        <v/>
      </c>
      <c r="C72" s="1246" t="str">
        <f>IF(AND(Projektgrundlagen!$I$21,'StB-D1 Besondere Lstg'!M23=TRUE),'StB-D1 Besondere Lstg'!H23,"")</f>
        <v/>
      </c>
      <c r="D72" s="1246" t="str">
        <f>IF(AND(Projektgrundlagen!$I$21,'StB-D1 Besondere Lstg'!M23=TRUE),'StB-D1 Besondere Lstg'!I23,IF(AND(Projektgrundlagen!$I$22,'HB-D1 Besondere Lstg Land'!M23=TRUE),(IF('HB-D1 Besondere Lstg Land'!H23&gt;0,"v.H.","pauschal")),IF(AND(Projektgrundlagen!$I$23,'HB-D2 Besondere Lstg Bund'!M23=TRUE),(IF('HB-D2 Besondere Lstg Bund'!H23&gt;0,"v.H.","pauschal")),"")))</f>
        <v/>
      </c>
      <c r="E72" s="1246" t="str">
        <f>IF(AND(Projektgrundlagen!$I$21,'StB-D1 Besondere Lstg'!M23=TRUE),'StB-D1 Besondere Lstg'!J23,IF(AND(Projektgrundlagen!$I$22,'HB-D1 Besondere Lstg Land'!M23=TRUE),'HB-D1 Besondere Lstg Land'!H23+'HB-D1 Besondere Lstg Land'!J23,IF(AND(Projektgrundlagen!$I$23,'HB-D2 Besondere Lstg Bund'!M23=TRUE),'HB-D2 Besondere Lstg Bund'!H23+'HB-D2 Besondere Lstg Bund'!J23,"")))</f>
        <v/>
      </c>
      <c r="F72" s="1246" t="str">
        <f>IF(AND(Projektgrundlagen!$I$21,'StB-D1 Besondere Lstg'!M23=TRUE),'StB-D1 Besondere Lstg'!K23,IF(AND(Projektgrundlagen!$I$22,'HB-D1 Besondere Lstg Land'!M23=TRUE),'HB-D1 Besondere Lstg Land'!K23,IF(AND(Projektgrundlagen!$I$23,'HB-D2 Besondere Lstg Bund'!M23=TRUE),'HB-D2 Besondere Lstg Bund'!K23,"")))</f>
        <v/>
      </c>
      <c r="G72" s="1253"/>
      <c r="H72" s="1254"/>
    </row>
    <row r="73" spans="2:8" ht="14.4">
      <c r="B73" t="str">
        <f>IF(AND(Projektgrundlagen!$I$21,'StB-D1 Besondere Lstg'!M24=TRUE),'StB-D1 Besondere Lstg'!C24&amp;" "&amp;'StB-D1 Besondere Lstg'!F24&amp;" "&amp;'StB-D1 Besondere Lstg'!F25,IF(AND(Projektgrundlagen!$I$22,'HB-D1 Besondere Lstg Land'!M24=TRUE),'HB-D1 Besondere Lstg Land'!C24&amp;" "&amp;'HB-D1 Besondere Lstg Land'!F24&amp;" "&amp;'HB-D1 Besondere Lstg Land'!F25,IF(AND(Projektgrundlagen!$I$23,'HB-D2 Besondere Lstg Bund'!M24=TRUE),'HB-D2 Besondere Lstg Bund'!C24&amp;" "&amp;'HB-D2 Besondere Lstg Bund'!F24&amp;" "&amp;'HB-D2 Besondere Lstg Bund'!F25,"")))</f>
        <v/>
      </c>
      <c r="C73" s="1246" t="str">
        <f>IF(AND(Projektgrundlagen!$I$21,'StB-D1 Besondere Lstg'!M24=TRUE),'StB-D1 Besondere Lstg'!H24,"")</f>
        <v/>
      </c>
      <c r="D73" s="1246" t="str">
        <f>IF(AND(Projektgrundlagen!$I$21,'StB-D1 Besondere Lstg'!M24=TRUE),'StB-D1 Besondere Lstg'!I24,IF(AND(Projektgrundlagen!$I$22,'HB-D1 Besondere Lstg Land'!M24=TRUE),(IF('HB-D1 Besondere Lstg Land'!H24&gt;0,"v.H.","pauschal")),IF(AND(Projektgrundlagen!$I$23,'HB-D2 Besondere Lstg Bund'!M24=TRUE),(IF('HB-D2 Besondere Lstg Bund'!H24&gt;0,"v.H.","pauschal")),"")))</f>
        <v/>
      </c>
      <c r="E73" s="1246" t="str">
        <f>IF(AND(Projektgrundlagen!$I$21,'StB-D1 Besondere Lstg'!M24=TRUE),'StB-D1 Besondere Lstg'!J24,IF(AND(Projektgrundlagen!$I$22,'HB-D1 Besondere Lstg Land'!M24=TRUE),'HB-D1 Besondere Lstg Land'!H24+'HB-D1 Besondere Lstg Land'!J24,IF(AND(Projektgrundlagen!$I$23,'HB-D2 Besondere Lstg Bund'!M24=TRUE),'HB-D2 Besondere Lstg Bund'!H24+'HB-D2 Besondere Lstg Bund'!J24,"")))</f>
        <v/>
      </c>
      <c r="F73" s="1246" t="str">
        <f>IF(AND(Projektgrundlagen!$I$21,'StB-D1 Besondere Lstg'!M24=TRUE),'StB-D1 Besondere Lstg'!K24,IF(AND(Projektgrundlagen!$I$22,'HB-D1 Besondere Lstg Land'!M24=TRUE),'HB-D1 Besondere Lstg Land'!K24,IF(AND(Projektgrundlagen!$I$23,'HB-D2 Besondere Lstg Bund'!M24=TRUE),'HB-D2 Besondere Lstg Bund'!K24,"")))</f>
        <v/>
      </c>
      <c r="G73" s="1253"/>
      <c r="H73" s="1254"/>
    </row>
    <row r="74" spans="2:8" ht="14.4">
      <c r="B74" t="str">
        <f>IF(AND(Projektgrundlagen!$I$21,'StB-D1 Besondere Lstg'!M25=TRUE),'StB-D1 Besondere Lstg'!C25&amp;" "&amp;'StB-D1 Besondere Lstg'!F25&amp;" "&amp;'StB-D1 Besondere Lstg'!F26,IF(AND(Projektgrundlagen!$I$22,'HB-D1 Besondere Lstg Land'!M25=TRUE),'HB-D1 Besondere Lstg Land'!C25&amp;" "&amp;'HB-D1 Besondere Lstg Land'!F25&amp;" "&amp;'HB-D1 Besondere Lstg Land'!F26,IF(AND(Projektgrundlagen!$I$23,'HB-D2 Besondere Lstg Bund'!M25=TRUE),'HB-D2 Besondere Lstg Bund'!C25&amp;" "&amp;'HB-D2 Besondere Lstg Bund'!F25&amp;" "&amp;'HB-D2 Besondere Lstg Bund'!F26,"")))</f>
        <v/>
      </c>
      <c r="C74" s="1246" t="str">
        <f>IF(AND(Projektgrundlagen!$I$21,'StB-D1 Besondere Lstg'!M25=TRUE),'StB-D1 Besondere Lstg'!H25,"")</f>
        <v/>
      </c>
      <c r="D74" s="1246" t="str">
        <f>IF(AND(Projektgrundlagen!$I$21,'StB-D1 Besondere Lstg'!M25=TRUE),'StB-D1 Besondere Lstg'!I25,IF(AND(Projektgrundlagen!$I$22,'HB-D1 Besondere Lstg Land'!M25=TRUE),(IF('HB-D1 Besondere Lstg Land'!H25&gt;0,"v.H.","pauschal")),IF(AND(Projektgrundlagen!$I$23,'HB-D2 Besondere Lstg Bund'!M25=TRUE),(IF('HB-D2 Besondere Lstg Bund'!H25&gt;0,"v.H.","pauschal")),"")))</f>
        <v/>
      </c>
      <c r="E74" s="1246" t="str">
        <f>IF(AND(Projektgrundlagen!$I$21,'StB-D1 Besondere Lstg'!M25=TRUE),'StB-D1 Besondere Lstg'!J25,IF(AND(Projektgrundlagen!$I$22,'HB-D1 Besondere Lstg Land'!M25=TRUE),'HB-D1 Besondere Lstg Land'!H25+'HB-D1 Besondere Lstg Land'!J25,IF(AND(Projektgrundlagen!$I$23,'HB-D2 Besondere Lstg Bund'!M25=TRUE),'HB-D2 Besondere Lstg Bund'!H25+'HB-D2 Besondere Lstg Bund'!J25,"")))</f>
        <v/>
      </c>
      <c r="F74" s="1246" t="str">
        <f>IF(AND(Projektgrundlagen!$I$21,'StB-D1 Besondere Lstg'!M25=TRUE),'StB-D1 Besondere Lstg'!K25,IF(AND(Projektgrundlagen!$I$22,'HB-D1 Besondere Lstg Land'!M25=TRUE),'HB-D1 Besondere Lstg Land'!K25,IF(AND(Projektgrundlagen!$I$23,'HB-D2 Besondere Lstg Bund'!M25=TRUE),'HB-D2 Besondere Lstg Bund'!K25,"")))</f>
        <v/>
      </c>
      <c r="G74" s="1253"/>
      <c r="H74" s="1254"/>
    </row>
    <row r="75" spans="2:8" ht="14.4">
      <c r="B75" t="str">
        <f>IF(AND(Projektgrundlagen!$I$21,'StB-D1 Besondere Lstg'!M26=TRUE),'StB-D1 Besondere Lstg'!C26&amp;" "&amp;'StB-D1 Besondere Lstg'!F26&amp;" "&amp;'StB-D1 Besondere Lstg'!F27,IF(AND(Projektgrundlagen!$I$22,'HB-D1 Besondere Lstg Land'!M26=TRUE),'HB-D1 Besondere Lstg Land'!C26&amp;" "&amp;'HB-D1 Besondere Lstg Land'!F26&amp;" "&amp;'HB-D1 Besondere Lstg Land'!F27,IF(AND(Projektgrundlagen!$I$23,'HB-D2 Besondere Lstg Bund'!M26=TRUE),'HB-D2 Besondere Lstg Bund'!C26&amp;" "&amp;'HB-D2 Besondere Lstg Bund'!F26&amp;" "&amp;'HB-D2 Besondere Lstg Bund'!F27,"")))</f>
        <v/>
      </c>
      <c r="C75" s="1246" t="str">
        <f>IF(AND(Projektgrundlagen!$I$21,'StB-D1 Besondere Lstg'!M26=TRUE),'StB-D1 Besondere Lstg'!H26,"")</f>
        <v/>
      </c>
      <c r="D75" s="1246" t="str">
        <f>IF(AND(Projektgrundlagen!$I$21,'StB-D1 Besondere Lstg'!M26=TRUE),'StB-D1 Besondere Lstg'!I26,IF(AND(Projektgrundlagen!$I$22,'HB-D1 Besondere Lstg Land'!M26=TRUE),(IF('HB-D1 Besondere Lstg Land'!H26&gt;0,"v.H.","pauschal")),IF(AND(Projektgrundlagen!$I$23,'HB-D2 Besondere Lstg Bund'!M26=TRUE),(IF('HB-D2 Besondere Lstg Bund'!H26&gt;0,"v.H.","pauschal")),"")))</f>
        <v/>
      </c>
      <c r="E75" s="1246" t="str">
        <f>IF(AND(Projektgrundlagen!$I$21,'StB-D1 Besondere Lstg'!M26=TRUE),'StB-D1 Besondere Lstg'!J26,IF(AND(Projektgrundlagen!$I$22,'HB-D1 Besondere Lstg Land'!M26=TRUE),'HB-D1 Besondere Lstg Land'!H26+'HB-D1 Besondere Lstg Land'!J26,IF(AND(Projektgrundlagen!$I$23,'HB-D2 Besondere Lstg Bund'!M26=TRUE),'HB-D2 Besondere Lstg Bund'!H26+'HB-D2 Besondere Lstg Bund'!J26,"")))</f>
        <v/>
      </c>
      <c r="F75" s="1246" t="str">
        <f>IF(AND(Projektgrundlagen!$I$21,'StB-D1 Besondere Lstg'!M26=TRUE),'StB-D1 Besondere Lstg'!K26,IF(AND(Projektgrundlagen!$I$22,'HB-D1 Besondere Lstg Land'!M26=TRUE),'HB-D1 Besondere Lstg Land'!K26,IF(AND(Projektgrundlagen!$I$23,'HB-D2 Besondere Lstg Bund'!M26=TRUE),'HB-D2 Besondere Lstg Bund'!K26,"")))</f>
        <v/>
      </c>
      <c r="G75" s="1253"/>
      <c r="H75" s="1254"/>
    </row>
    <row r="76" spans="2:8" ht="14.4">
      <c r="B76" t="str">
        <f>IF(AND(Projektgrundlagen!$I$21,'StB-D1 Besondere Lstg'!M27=TRUE),'StB-D1 Besondere Lstg'!C27&amp;" "&amp;'StB-D1 Besondere Lstg'!F27&amp;" "&amp;'StB-D1 Besondere Lstg'!F28,IF(AND(Projektgrundlagen!$I$22,'HB-D1 Besondere Lstg Land'!M27=TRUE),'HB-D1 Besondere Lstg Land'!C27&amp;" "&amp;'HB-D1 Besondere Lstg Land'!F27&amp;" "&amp;'HB-D1 Besondere Lstg Land'!F28,IF(AND(Projektgrundlagen!$I$23,'HB-D2 Besondere Lstg Bund'!M27=TRUE),'HB-D2 Besondere Lstg Bund'!C27&amp;" "&amp;'HB-D2 Besondere Lstg Bund'!F27&amp;" "&amp;'HB-D2 Besondere Lstg Bund'!F28,"")))</f>
        <v/>
      </c>
      <c r="C76" s="1246" t="str">
        <f>IF(AND(Projektgrundlagen!$I$21,'StB-D1 Besondere Lstg'!M27=TRUE),'StB-D1 Besondere Lstg'!H27,"")</f>
        <v/>
      </c>
      <c r="D76" s="1246" t="str">
        <f>IF(AND(Projektgrundlagen!$I$21,'StB-D1 Besondere Lstg'!M27=TRUE),'StB-D1 Besondere Lstg'!I27,IF(AND(Projektgrundlagen!$I$22,'HB-D1 Besondere Lstg Land'!M27=TRUE),(IF('HB-D1 Besondere Lstg Land'!H27&gt;0,"v.H.","pauschal")),IF(AND(Projektgrundlagen!$I$23,'HB-D2 Besondere Lstg Bund'!M27=TRUE),(IF('HB-D2 Besondere Lstg Bund'!H27&gt;0,"v.H.","pauschal")),"")))</f>
        <v/>
      </c>
      <c r="E76" s="1246" t="str">
        <f>IF(AND(Projektgrundlagen!$I$21,'StB-D1 Besondere Lstg'!M27=TRUE),'StB-D1 Besondere Lstg'!J27,IF(AND(Projektgrundlagen!$I$22,'HB-D1 Besondere Lstg Land'!M27=TRUE),'HB-D1 Besondere Lstg Land'!H27+'HB-D1 Besondere Lstg Land'!J27,IF(AND(Projektgrundlagen!$I$23,'HB-D2 Besondere Lstg Bund'!M27=TRUE),'HB-D2 Besondere Lstg Bund'!H27+'HB-D2 Besondere Lstg Bund'!J27,"")))</f>
        <v/>
      </c>
      <c r="F76" s="1246" t="str">
        <f>IF(AND(Projektgrundlagen!$I$21,'StB-D1 Besondere Lstg'!M27=TRUE),'StB-D1 Besondere Lstg'!K27,IF(AND(Projektgrundlagen!$I$22,'HB-D1 Besondere Lstg Land'!M27=TRUE),'HB-D1 Besondere Lstg Land'!K27,IF(AND(Projektgrundlagen!$I$23,'HB-D2 Besondere Lstg Bund'!M27=TRUE),'HB-D2 Besondere Lstg Bund'!K27,"")))</f>
        <v/>
      </c>
      <c r="G76" s="1253"/>
      <c r="H76" s="1254"/>
    </row>
    <row r="77" spans="2:8" ht="14.4">
      <c r="B77" t="str">
        <f>IF(AND(Projektgrundlagen!$I$21,'StB-D1 Besondere Lstg'!M28=TRUE),'StB-D1 Besondere Lstg'!C28&amp;" "&amp;'StB-D1 Besondere Lstg'!F28&amp;" "&amp;'StB-D1 Besondere Lstg'!F29,IF(AND(Projektgrundlagen!$I$22,'HB-D1 Besondere Lstg Land'!M28=TRUE),'HB-D1 Besondere Lstg Land'!C28&amp;" "&amp;'HB-D1 Besondere Lstg Land'!F28&amp;" "&amp;'HB-D1 Besondere Lstg Land'!F29,IF(AND(Projektgrundlagen!$I$23,'HB-D2 Besondere Lstg Bund'!M28=TRUE),'HB-D2 Besondere Lstg Bund'!C28&amp;" "&amp;'HB-D2 Besondere Lstg Bund'!F28&amp;" "&amp;'HB-D2 Besondere Lstg Bund'!F29,"")))</f>
        <v/>
      </c>
      <c r="C77" s="1246" t="str">
        <f>IF(AND(Projektgrundlagen!$I$21,'StB-D1 Besondere Lstg'!M28=TRUE),'StB-D1 Besondere Lstg'!H28,"")</f>
        <v/>
      </c>
      <c r="D77" s="1246" t="str">
        <f>IF(AND(Projektgrundlagen!$I$21,'StB-D1 Besondere Lstg'!M28=TRUE),'StB-D1 Besondere Lstg'!I28,IF(AND(Projektgrundlagen!$I$22,'HB-D1 Besondere Lstg Land'!M28=TRUE),(IF('HB-D1 Besondere Lstg Land'!H28&gt;0,"v.H.","pauschal")),IF(AND(Projektgrundlagen!$I$23,'HB-D2 Besondere Lstg Bund'!M28=TRUE),(IF('HB-D2 Besondere Lstg Bund'!H28&gt;0,"v.H.","pauschal")),"")))</f>
        <v/>
      </c>
      <c r="E77" s="1246" t="str">
        <f>IF(AND(Projektgrundlagen!$I$21,'StB-D1 Besondere Lstg'!M28=TRUE),'StB-D1 Besondere Lstg'!J28,IF(AND(Projektgrundlagen!$I$22,'HB-D1 Besondere Lstg Land'!M28=TRUE),'HB-D1 Besondere Lstg Land'!H28+'HB-D1 Besondere Lstg Land'!J28,IF(AND(Projektgrundlagen!$I$23,'HB-D2 Besondere Lstg Bund'!M28=TRUE),'HB-D2 Besondere Lstg Bund'!H28+'HB-D2 Besondere Lstg Bund'!J28,"")))</f>
        <v/>
      </c>
      <c r="F77" s="1246" t="str">
        <f>IF(AND(Projektgrundlagen!$I$21,'StB-D1 Besondere Lstg'!M28=TRUE),'StB-D1 Besondere Lstg'!K28,IF(AND(Projektgrundlagen!$I$22,'HB-D1 Besondere Lstg Land'!M28=TRUE),'HB-D1 Besondere Lstg Land'!K28,IF(AND(Projektgrundlagen!$I$23,'HB-D2 Besondere Lstg Bund'!M28=TRUE),'HB-D2 Besondere Lstg Bund'!K28,"")))</f>
        <v/>
      </c>
      <c r="G77" s="1253"/>
      <c r="H77" s="1254"/>
    </row>
    <row r="78" spans="2:8" ht="14.4">
      <c r="B78" t="str">
        <f>IF(AND(Projektgrundlagen!$I$21,'StB-D1 Besondere Lstg'!M29=TRUE),'StB-D1 Besondere Lstg'!C29&amp;" "&amp;'StB-D1 Besondere Lstg'!F29&amp;" "&amp;'StB-D1 Besondere Lstg'!F30,IF(AND(Projektgrundlagen!$I$22,'HB-D1 Besondere Lstg Land'!M29=TRUE),'HB-D1 Besondere Lstg Land'!C29&amp;" "&amp;'HB-D1 Besondere Lstg Land'!F29&amp;" "&amp;'HB-D1 Besondere Lstg Land'!F30,IF(AND(Projektgrundlagen!$I$23,'HB-D2 Besondere Lstg Bund'!M29=TRUE),'HB-D2 Besondere Lstg Bund'!C29&amp;" "&amp;'HB-D2 Besondere Lstg Bund'!F29&amp;" "&amp;'HB-D2 Besondere Lstg Bund'!F30,"")))</f>
        <v/>
      </c>
      <c r="C78" s="1246" t="str">
        <f>IF(AND(Projektgrundlagen!$I$21,'StB-D1 Besondere Lstg'!M29=TRUE),'StB-D1 Besondere Lstg'!H29,"")</f>
        <v/>
      </c>
      <c r="D78" s="1246" t="str">
        <f>IF(AND(Projektgrundlagen!$I$21,'StB-D1 Besondere Lstg'!M29=TRUE),'StB-D1 Besondere Lstg'!I29,IF(AND(Projektgrundlagen!$I$22,'HB-D1 Besondere Lstg Land'!M29=TRUE),(IF('HB-D1 Besondere Lstg Land'!H29&gt;0,"v.H.","pauschal")),IF(AND(Projektgrundlagen!$I$23,'HB-D2 Besondere Lstg Bund'!M29=TRUE),(IF('HB-D2 Besondere Lstg Bund'!H29&gt;0,"v.H.","pauschal")),"")))</f>
        <v/>
      </c>
      <c r="E78" s="1246" t="str">
        <f>IF(AND(Projektgrundlagen!$I$21,'StB-D1 Besondere Lstg'!M29=TRUE),'StB-D1 Besondere Lstg'!J29,IF(AND(Projektgrundlagen!$I$22,'HB-D1 Besondere Lstg Land'!M29=TRUE),'HB-D1 Besondere Lstg Land'!H29+'HB-D1 Besondere Lstg Land'!J29,IF(AND(Projektgrundlagen!$I$23,'HB-D2 Besondere Lstg Bund'!M29=TRUE),'HB-D2 Besondere Lstg Bund'!H29+'HB-D2 Besondere Lstg Bund'!J29,"")))</f>
        <v/>
      </c>
      <c r="F78" s="1246" t="str">
        <f>IF(AND(Projektgrundlagen!$I$21,'StB-D1 Besondere Lstg'!M29=TRUE),'StB-D1 Besondere Lstg'!K29,IF(AND(Projektgrundlagen!$I$22,'HB-D1 Besondere Lstg Land'!M29=TRUE),'HB-D1 Besondere Lstg Land'!K29,IF(AND(Projektgrundlagen!$I$23,'HB-D2 Besondere Lstg Bund'!M29=TRUE),'HB-D2 Besondere Lstg Bund'!K29,"")))</f>
        <v/>
      </c>
      <c r="G78" s="1253"/>
      <c r="H78" s="1254"/>
    </row>
    <row r="79" spans="2:8" ht="14.4">
      <c r="B79" t="str">
        <f>IF(AND(Projektgrundlagen!$I$21,'StB-D1 Besondere Lstg'!M30=TRUE),'StB-D1 Besondere Lstg'!C30&amp;" "&amp;'StB-D1 Besondere Lstg'!F30&amp;" "&amp;'StB-D1 Besondere Lstg'!F31,IF(AND(Projektgrundlagen!$I$22,'HB-D1 Besondere Lstg Land'!M30=TRUE),'HB-D1 Besondere Lstg Land'!C30&amp;" "&amp;'HB-D1 Besondere Lstg Land'!F30&amp;" "&amp;'HB-D1 Besondere Lstg Land'!F31,IF(AND(Projektgrundlagen!$I$23,'HB-D2 Besondere Lstg Bund'!M30=TRUE),'HB-D2 Besondere Lstg Bund'!C30&amp;" "&amp;'HB-D2 Besondere Lstg Bund'!F30&amp;" "&amp;'HB-D2 Besondere Lstg Bund'!F31,"")))</f>
        <v/>
      </c>
      <c r="C79" s="1246" t="str">
        <f>IF(AND(Projektgrundlagen!$I$21,'StB-D1 Besondere Lstg'!M30=TRUE),'StB-D1 Besondere Lstg'!H30,"")</f>
        <v/>
      </c>
      <c r="D79" s="1246" t="str">
        <f>IF(AND(Projektgrundlagen!$I$21,'StB-D1 Besondere Lstg'!M30=TRUE),'StB-D1 Besondere Lstg'!I30,IF(AND(Projektgrundlagen!$I$22,'HB-D1 Besondere Lstg Land'!M30=TRUE),(IF('HB-D1 Besondere Lstg Land'!H30&gt;0,"v.H.","pauschal")),IF(AND(Projektgrundlagen!$I$23,'HB-D2 Besondere Lstg Bund'!M30=TRUE),(IF('HB-D2 Besondere Lstg Bund'!H30&gt;0,"v.H.","pauschal")),"")))</f>
        <v/>
      </c>
      <c r="E79" s="1246" t="str">
        <f>IF(AND(Projektgrundlagen!$I$21,'StB-D1 Besondere Lstg'!M30=TRUE),'StB-D1 Besondere Lstg'!J30,IF(AND(Projektgrundlagen!$I$22,'HB-D1 Besondere Lstg Land'!M30=TRUE),'HB-D1 Besondere Lstg Land'!H30+'HB-D1 Besondere Lstg Land'!J30,IF(AND(Projektgrundlagen!$I$23,'HB-D2 Besondere Lstg Bund'!M30=TRUE),'HB-D2 Besondere Lstg Bund'!H30+'HB-D2 Besondere Lstg Bund'!J30,"")))</f>
        <v/>
      </c>
      <c r="F79" s="1246" t="str">
        <f>IF(AND(Projektgrundlagen!$I$21,'StB-D1 Besondere Lstg'!M30=TRUE),'StB-D1 Besondere Lstg'!K30,IF(AND(Projektgrundlagen!$I$22,'HB-D1 Besondere Lstg Land'!M30=TRUE),'HB-D1 Besondere Lstg Land'!K30,IF(AND(Projektgrundlagen!$I$23,'HB-D2 Besondere Lstg Bund'!M30=TRUE),'HB-D2 Besondere Lstg Bund'!K30,"")))</f>
        <v/>
      </c>
      <c r="G79" s="1253"/>
      <c r="H79" s="1254"/>
    </row>
    <row r="80" spans="2:8" ht="14.4">
      <c r="B80" t="str">
        <f>IF(AND(Projektgrundlagen!$I$21,'StB-D1 Besondere Lstg'!M31=TRUE),'StB-D1 Besondere Lstg'!C31&amp;" "&amp;'StB-D1 Besondere Lstg'!F31&amp;" "&amp;'StB-D1 Besondere Lstg'!F32,IF(AND(Projektgrundlagen!$I$22,'HB-D1 Besondere Lstg Land'!M31=TRUE),'HB-D1 Besondere Lstg Land'!C31&amp;" "&amp;'HB-D1 Besondere Lstg Land'!F31&amp;" "&amp;'HB-D1 Besondere Lstg Land'!F32,IF(AND(Projektgrundlagen!$I$23,'HB-D2 Besondere Lstg Bund'!M31=TRUE),'HB-D2 Besondere Lstg Bund'!C31&amp;" "&amp;'HB-D2 Besondere Lstg Bund'!F31&amp;" "&amp;'HB-D2 Besondere Lstg Bund'!F32,"")))</f>
        <v/>
      </c>
      <c r="C80" s="1246" t="str">
        <f>IF(AND(Projektgrundlagen!$I$21,'StB-D1 Besondere Lstg'!M31=TRUE),'StB-D1 Besondere Lstg'!H31,"")</f>
        <v/>
      </c>
      <c r="D80" s="1246" t="str">
        <f>IF(AND(Projektgrundlagen!$I$21,'StB-D1 Besondere Lstg'!M31=TRUE),'StB-D1 Besondere Lstg'!I31,IF(AND(Projektgrundlagen!$I$22,'HB-D1 Besondere Lstg Land'!M31=TRUE),(IF('HB-D1 Besondere Lstg Land'!H31&gt;0,"v.H.","pauschal")),IF(AND(Projektgrundlagen!$I$23,'HB-D2 Besondere Lstg Bund'!M31=TRUE),(IF('HB-D2 Besondere Lstg Bund'!H31&gt;0,"v.H.","pauschal")),"")))</f>
        <v/>
      </c>
      <c r="E80" s="1246" t="str">
        <f>IF(AND(Projektgrundlagen!$I$21,'StB-D1 Besondere Lstg'!M31=TRUE),'StB-D1 Besondere Lstg'!J31,IF(AND(Projektgrundlagen!$I$22,'HB-D1 Besondere Lstg Land'!M31=TRUE),'HB-D1 Besondere Lstg Land'!H31+'HB-D1 Besondere Lstg Land'!J31,IF(AND(Projektgrundlagen!$I$23,'HB-D2 Besondere Lstg Bund'!M31=TRUE),'HB-D2 Besondere Lstg Bund'!H31+'HB-D2 Besondere Lstg Bund'!J31,"")))</f>
        <v/>
      </c>
      <c r="F80" s="1246" t="str">
        <f>IF(AND(Projektgrundlagen!$I$21,'StB-D1 Besondere Lstg'!M31=TRUE),'StB-D1 Besondere Lstg'!K31,IF(AND(Projektgrundlagen!$I$22,'HB-D1 Besondere Lstg Land'!M31=TRUE),'HB-D1 Besondere Lstg Land'!K31,IF(AND(Projektgrundlagen!$I$23,'HB-D2 Besondere Lstg Bund'!M31=TRUE),'HB-D2 Besondere Lstg Bund'!K31,"")))</f>
        <v/>
      </c>
      <c r="G80" s="1253"/>
      <c r="H80" s="1254"/>
    </row>
    <row r="81" spans="2:8" ht="14.4">
      <c r="B81" t="str">
        <f>IF(AND(Projektgrundlagen!$I$21,'StB-D1 Besondere Lstg'!M32=TRUE),'StB-D1 Besondere Lstg'!C32&amp;" "&amp;'StB-D1 Besondere Lstg'!F32&amp;" "&amp;'StB-D1 Besondere Lstg'!F33,IF(AND(Projektgrundlagen!$I$22,'HB-D1 Besondere Lstg Land'!M32=TRUE),'HB-D1 Besondere Lstg Land'!C32&amp;" "&amp;'HB-D1 Besondere Lstg Land'!F32&amp;" "&amp;'HB-D1 Besondere Lstg Land'!F33,IF(AND(Projektgrundlagen!$I$23,'HB-D2 Besondere Lstg Bund'!M32=TRUE),'HB-D2 Besondere Lstg Bund'!C32&amp;" "&amp;'HB-D2 Besondere Lstg Bund'!F32&amp;" "&amp;'HB-D2 Besondere Lstg Bund'!F33,"")))</f>
        <v/>
      </c>
      <c r="C81" s="1246" t="str">
        <f>IF(AND(Projektgrundlagen!$I$21,'StB-D1 Besondere Lstg'!M32=TRUE),'StB-D1 Besondere Lstg'!H32,"")</f>
        <v/>
      </c>
      <c r="D81" s="1246" t="str">
        <f>IF(AND(Projektgrundlagen!$I$21,'StB-D1 Besondere Lstg'!M32=TRUE),'StB-D1 Besondere Lstg'!I32,IF(AND(Projektgrundlagen!$I$22,'HB-D1 Besondere Lstg Land'!M32=TRUE),(IF('HB-D1 Besondere Lstg Land'!H32&gt;0,"v.H.","pauschal")),IF(AND(Projektgrundlagen!$I$23,'HB-D2 Besondere Lstg Bund'!M32=TRUE),(IF('HB-D2 Besondere Lstg Bund'!H32&gt;0,"v.H.","pauschal")),"")))</f>
        <v/>
      </c>
      <c r="E81" s="1246" t="str">
        <f>IF(AND(Projektgrundlagen!$I$21,'StB-D1 Besondere Lstg'!M32=TRUE),'StB-D1 Besondere Lstg'!J32,IF(AND(Projektgrundlagen!$I$22,'HB-D1 Besondere Lstg Land'!M32=TRUE),'HB-D1 Besondere Lstg Land'!H32+'HB-D1 Besondere Lstg Land'!J32,IF(AND(Projektgrundlagen!$I$23,'HB-D2 Besondere Lstg Bund'!M32=TRUE),'HB-D2 Besondere Lstg Bund'!H32+'HB-D2 Besondere Lstg Bund'!J32,"")))</f>
        <v/>
      </c>
      <c r="F81" s="1246" t="str">
        <f>IF(AND(Projektgrundlagen!$I$21,'StB-D1 Besondere Lstg'!M32=TRUE),'StB-D1 Besondere Lstg'!K32,IF(AND(Projektgrundlagen!$I$22,'HB-D1 Besondere Lstg Land'!M32=TRUE),'HB-D1 Besondere Lstg Land'!K32,IF(AND(Projektgrundlagen!$I$23,'HB-D2 Besondere Lstg Bund'!M32=TRUE),'HB-D2 Besondere Lstg Bund'!K32,"")))</f>
        <v/>
      </c>
      <c r="G81" s="1253"/>
      <c r="H81" s="1254"/>
    </row>
    <row r="82" spans="2:8" ht="14.4">
      <c r="B82" t="str">
        <f>IF(AND(Projektgrundlagen!$I$21,'StB-D1 Besondere Lstg'!M33=TRUE),'StB-D1 Besondere Lstg'!C33&amp;" "&amp;'StB-D1 Besondere Lstg'!F33&amp;" "&amp;'StB-D1 Besondere Lstg'!F34,IF(AND(Projektgrundlagen!$I$22,'HB-D1 Besondere Lstg Land'!M33=TRUE),'HB-D1 Besondere Lstg Land'!C33&amp;" "&amp;'HB-D1 Besondere Lstg Land'!F33&amp;" "&amp;'HB-D1 Besondere Lstg Land'!F34,IF(AND(Projektgrundlagen!$I$23,'HB-D2 Besondere Lstg Bund'!M33=TRUE),'HB-D2 Besondere Lstg Bund'!C33&amp;" "&amp;'HB-D2 Besondere Lstg Bund'!F33&amp;" "&amp;'HB-D2 Besondere Lstg Bund'!F34,"")))</f>
        <v/>
      </c>
      <c r="C82" s="1246" t="str">
        <f>IF(AND(Projektgrundlagen!$I$21,'StB-D1 Besondere Lstg'!M33=TRUE),'StB-D1 Besondere Lstg'!H33,"")</f>
        <v/>
      </c>
      <c r="D82" s="1246" t="str">
        <f>IF(AND(Projektgrundlagen!$I$21,'StB-D1 Besondere Lstg'!M33=TRUE),'StB-D1 Besondere Lstg'!I33,IF(AND(Projektgrundlagen!$I$22,'HB-D1 Besondere Lstg Land'!M33=TRUE),(IF('HB-D1 Besondere Lstg Land'!H33&gt;0,"v.H.","pauschal")),IF(AND(Projektgrundlagen!$I$23,'HB-D2 Besondere Lstg Bund'!M33=TRUE),(IF('HB-D2 Besondere Lstg Bund'!H33&gt;0,"v.H.","pauschal")),"")))</f>
        <v/>
      </c>
      <c r="E82" s="1246" t="str">
        <f>IF(AND(Projektgrundlagen!$I$21,'StB-D1 Besondere Lstg'!M33=TRUE),'StB-D1 Besondere Lstg'!J33,IF(AND(Projektgrundlagen!$I$22,'HB-D1 Besondere Lstg Land'!M33=TRUE),'HB-D1 Besondere Lstg Land'!H33+'HB-D1 Besondere Lstg Land'!J33,IF(AND(Projektgrundlagen!$I$23,'HB-D2 Besondere Lstg Bund'!M33=TRUE),'HB-D2 Besondere Lstg Bund'!H33+'HB-D2 Besondere Lstg Bund'!J33,"")))</f>
        <v/>
      </c>
      <c r="F82" s="1246" t="str">
        <f>IF(AND(Projektgrundlagen!$I$21,'StB-D1 Besondere Lstg'!M33=TRUE),'StB-D1 Besondere Lstg'!K33,IF(AND(Projektgrundlagen!$I$22,'HB-D1 Besondere Lstg Land'!M33=TRUE),'HB-D1 Besondere Lstg Land'!K33,IF(AND(Projektgrundlagen!$I$23,'HB-D2 Besondere Lstg Bund'!M33=TRUE),'HB-D2 Besondere Lstg Bund'!K33,"")))</f>
        <v/>
      </c>
      <c r="G82" s="1253"/>
      <c r="H82" s="1254"/>
    </row>
    <row r="83" spans="2:8" ht="14.4">
      <c r="B83" t="str">
        <f>IF(AND(Projektgrundlagen!$I$21,'StB-D1 Besondere Lstg'!M34=TRUE),'StB-D1 Besondere Lstg'!C34&amp;" "&amp;'StB-D1 Besondere Lstg'!F34&amp;" "&amp;'StB-D1 Besondere Lstg'!F35,IF(AND(Projektgrundlagen!$I$22,'HB-D1 Besondere Lstg Land'!M34=TRUE),'HB-D1 Besondere Lstg Land'!C34&amp;" "&amp;'HB-D1 Besondere Lstg Land'!F34&amp;" "&amp;'HB-D1 Besondere Lstg Land'!F35,IF(AND(Projektgrundlagen!$I$23,'HB-D2 Besondere Lstg Bund'!M34=TRUE),'HB-D2 Besondere Lstg Bund'!C34&amp;" "&amp;'HB-D2 Besondere Lstg Bund'!F34&amp;" "&amp;'HB-D2 Besondere Lstg Bund'!F35,"")))</f>
        <v/>
      </c>
      <c r="C83" s="1246" t="str">
        <f>IF(AND(Projektgrundlagen!$I$21,'StB-D1 Besondere Lstg'!M34=TRUE),'StB-D1 Besondere Lstg'!H34,"")</f>
        <v/>
      </c>
      <c r="D83" s="1246" t="str">
        <f>IF(AND(Projektgrundlagen!$I$21,'StB-D1 Besondere Lstg'!M34=TRUE),'StB-D1 Besondere Lstg'!I34,IF(AND(Projektgrundlagen!$I$22,'HB-D1 Besondere Lstg Land'!M34=TRUE),(IF('HB-D1 Besondere Lstg Land'!H34&gt;0,"v.H.","pauschal")),IF(AND(Projektgrundlagen!$I$23,'HB-D2 Besondere Lstg Bund'!M34=TRUE),(IF('HB-D2 Besondere Lstg Bund'!H34&gt;0,"v.H.","pauschal")),"")))</f>
        <v/>
      </c>
      <c r="E83" s="1246" t="str">
        <f>IF(AND(Projektgrundlagen!$I$21,'StB-D1 Besondere Lstg'!M34=TRUE),'StB-D1 Besondere Lstg'!J34,IF(AND(Projektgrundlagen!$I$22,'HB-D1 Besondere Lstg Land'!M34=TRUE),'HB-D1 Besondere Lstg Land'!H34+'HB-D1 Besondere Lstg Land'!J34,IF(AND(Projektgrundlagen!$I$23,'HB-D2 Besondere Lstg Bund'!M34=TRUE),'HB-D2 Besondere Lstg Bund'!H34+'HB-D2 Besondere Lstg Bund'!J34,"")))</f>
        <v/>
      </c>
      <c r="F83" s="1246" t="str">
        <f>IF(AND(Projektgrundlagen!$I$21,'StB-D1 Besondere Lstg'!M34=TRUE),'StB-D1 Besondere Lstg'!K34,IF(AND(Projektgrundlagen!$I$22,'HB-D1 Besondere Lstg Land'!M34=TRUE),'HB-D1 Besondere Lstg Land'!K34,IF(AND(Projektgrundlagen!$I$23,'HB-D2 Besondere Lstg Bund'!M34=TRUE),'HB-D2 Besondere Lstg Bund'!K34,"")))</f>
        <v/>
      </c>
      <c r="G83" s="1253"/>
      <c r="H83" s="1254"/>
    </row>
    <row r="84" spans="2:8" ht="14.4">
      <c r="B84" t="str">
        <f>IF(AND(Projektgrundlagen!$I$21,'StB-D1 Besondere Lstg'!M35=TRUE),'StB-D1 Besondere Lstg'!C35&amp;" "&amp;'StB-D1 Besondere Lstg'!F35&amp;" "&amp;'StB-D1 Besondere Lstg'!F36,IF(AND(Projektgrundlagen!$I$22,'HB-D1 Besondere Lstg Land'!M35=TRUE),'HB-D1 Besondere Lstg Land'!C35&amp;" "&amp;'HB-D1 Besondere Lstg Land'!F35&amp;" "&amp;'HB-D1 Besondere Lstg Land'!F36,IF(AND(Projektgrundlagen!$I$23,'HB-D2 Besondere Lstg Bund'!M35=TRUE),'HB-D2 Besondere Lstg Bund'!C35&amp;" "&amp;'HB-D2 Besondere Lstg Bund'!F35&amp;" "&amp;'HB-D2 Besondere Lstg Bund'!F36,"")))</f>
        <v/>
      </c>
      <c r="C84" s="1246" t="str">
        <f>IF(AND(Projektgrundlagen!$I$21,'StB-D1 Besondere Lstg'!M35=TRUE),'StB-D1 Besondere Lstg'!H35,"")</f>
        <v/>
      </c>
      <c r="D84" s="1246" t="str">
        <f>IF(AND(Projektgrundlagen!$I$21,'StB-D1 Besondere Lstg'!M35=TRUE),'StB-D1 Besondere Lstg'!I35,IF(AND(Projektgrundlagen!$I$22,'HB-D1 Besondere Lstg Land'!M35=TRUE),(IF('HB-D1 Besondere Lstg Land'!H35&gt;0,"v.H.","pauschal")),IF(AND(Projektgrundlagen!$I$23,'HB-D2 Besondere Lstg Bund'!M35=TRUE),(IF('HB-D2 Besondere Lstg Bund'!H35&gt;0,"v.H.","pauschal")),"")))</f>
        <v/>
      </c>
      <c r="E84" s="1246" t="str">
        <f>IF(AND(Projektgrundlagen!$I$21,'StB-D1 Besondere Lstg'!M35=TRUE),'StB-D1 Besondere Lstg'!J35,IF(AND(Projektgrundlagen!$I$22,'HB-D1 Besondere Lstg Land'!M35=TRUE),'HB-D1 Besondere Lstg Land'!H35+'HB-D1 Besondere Lstg Land'!J35,IF(AND(Projektgrundlagen!$I$23,'HB-D2 Besondere Lstg Bund'!M35=TRUE),'HB-D2 Besondere Lstg Bund'!H35+'HB-D2 Besondere Lstg Bund'!J35,"")))</f>
        <v/>
      </c>
      <c r="F84" s="1246" t="str">
        <f>IF(AND(Projektgrundlagen!$I$21,'StB-D1 Besondere Lstg'!M35=TRUE),'StB-D1 Besondere Lstg'!K35,IF(AND(Projektgrundlagen!$I$22,'HB-D1 Besondere Lstg Land'!M35=TRUE),'HB-D1 Besondere Lstg Land'!K35,IF(AND(Projektgrundlagen!$I$23,'HB-D2 Besondere Lstg Bund'!M35=TRUE),'HB-D2 Besondere Lstg Bund'!K35,"")))</f>
        <v/>
      </c>
      <c r="G84" s="1253"/>
      <c r="H84" s="1254"/>
    </row>
    <row r="85" spans="2:8" ht="14.4">
      <c r="B85" t="str">
        <f>IF(AND(Projektgrundlagen!$I$21,'StB-D1 Besondere Lstg'!M36=TRUE),'StB-D1 Besondere Lstg'!C36&amp;" "&amp;'StB-D1 Besondere Lstg'!F36&amp;" "&amp;'StB-D1 Besondere Lstg'!F37,IF(AND(Projektgrundlagen!$I$22,'HB-D1 Besondere Lstg Land'!M36=TRUE),'HB-D1 Besondere Lstg Land'!C36&amp;" "&amp;'HB-D1 Besondere Lstg Land'!F36&amp;" "&amp;'HB-D1 Besondere Lstg Land'!F37,IF(AND(Projektgrundlagen!$I$23,'HB-D2 Besondere Lstg Bund'!M36=TRUE),'HB-D2 Besondere Lstg Bund'!C36&amp;" "&amp;'HB-D2 Besondere Lstg Bund'!F36&amp;" "&amp;'HB-D2 Besondere Lstg Bund'!F37,"")))</f>
        <v/>
      </c>
      <c r="C85" s="1246" t="str">
        <f>IF(AND(Projektgrundlagen!$I$21,'StB-D1 Besondere Lstg'!M36=TRUE),'StB-D1 Besondere Lstg'!H36,"")</f>
        <v/>
      </c>
      <c r="D85" s="1246" t="str">
        <f>IF(AND(Projektgrundlagen!$I$21,'StB-D1 Besondere Lstg'!M36=TRUE),'StB-D1 Besondere Lstg'!I36,IF(AND(Projektgrundlagen!$I$22,'HB-D1 Besondere Lstg Land'!M36=TRUE),(IF('HB-D1 Besondere Lstg Land'!H36&gt;0,"v.H.","pauschal")),IF(AND(Projektgrundlagen!$I$23,'HB-D2 Besondere Lstg Bund'!M36=TRUE),(IF('HB-D2 Besondere Lstg Bund'!H36&gt;0,"v.H.","pauschal")),"")))</f>
        <v/>
      </c>
      <c r="E85" s="1246" t="str">
        <f>IF(AND(Projektgrundlagen!$I$21,'StB-D1 Besondere Lstg'!M36=TRUE),'StB-D1 Besondere Lstg'!J36,IF(AND(Projektgrundlagen!$I$22,'HB-D1 Besondere Lstg Land'!M36=TRUE),'HB-D1 Besondere Lstg Land'!H36+'HB-D1 Besondere Lstg Land'!J36,IF(AND(Projektgrundlagen!$I$23,'HB-D2 Besondere Lstg Bund'!M36=TRUE),'HB-D2 Besondere Lstg Bund'!H36+'HB-D2 Besondere Lstg Bund'!J36,"")))</f>
        <v/>
      </c>
      <c r="F85" s="1246" t="str">
        <f>IF(AND(Projektgrundlagen!$I$21,'StB-D1 Besondere Lstg'!M36=TRUE),'StB-D1 Besondere Lstg'!K36,IF(AND(Projektgrundlagen!$I$22,'HB-D1 Besondere Lstg Land'!M36=TRUE),'HB-D1 Besondere Lstg Land'!K36,IF(AND(Projektgrundlagen!$I$23,'HB-D2 Besondere Lstg Bund'!M36=TRUE),'HB-D2 Besondere Lstg Bund'!K36,"")))</f>
        <v/>
      </c>
      <c r="G85" s="1253"/>
      <c r="H85" s="1254"/>
    </row>
    <row r="86" spans="2:8" ht="14.4">
      <c r="B86" t="str">
        <f>IF(AND(Projektgrundlagen!$I$21,'StB-D1 Besondere Lstg'!M37=TRUE),'StB-D1 Besondere Lstg'!C37&amp;" "&amp;'StB-D1 Besondere Lstg'!F37&amp;" "&amp;'StB-D1 Besondere Lstg'!F38,IF(AND(Projektgrundlagen!$I$22,'HB-D1 Besondere Lstg Land'!M37=TRUE),'HB-D1 Besondere Lstg Land'!C37&amp;" "&amp;'HB-D1 Besondere Lstg Land'!F37&amp;" "&amp;'HB-D1 Besondere Lstg Land'!F38,IF(AND(Projektgrundlagen!$I$23,'HB-D2 Besondere Lstg Bund'!M37=TRUE),'HB-D2 Besondere Lstg Bund'!C37&amp;" "&amp;'HB-D2 Besondere Lstg Bund'!F37&amp;" "&amp;'HB-D2 Besondere Lstg Bund'!F38,"")))</f>
        <v/>
      </c>
      <c r="C86" s="1246" t="str">
        <f>IF(AND(Projektgrundlagen!$I$21,'StB-D1 Besondere Lstg'!M37=TRUE),'StB-D1 Besondere Lstg'!H37,"")</f>
        <v/>
      </c>
      <c r="D86" s="1246" t="str">
        <f>IF(AND(Projektgrundlagen!$I$21,'StB-D1 Besondere Lstg'!M37=TRUE),'StB-D1 Besondere Lstg'!I37,IF(AND(Projektgrundlagen!$I$22,'HB-D1 Besondere Lstg Land'!M37=TRUE),(IF('HB-D1 Besondere Lstg Land'!H37&gt;0,"v.H.","pauschal")),IF(AND(Projektgrundlagen!$I$23,'HB-D2 Besondere Lstg Bund'!M37=TRUE),(IF('HB-D2 Besondere Lstg Bund'!H37&gt;0,"v.H.","pauschal")),"")))</f>
        <v/>
      </c>
      <c r="E86" s="1246" t="str">
        <f>IF(AND(Projektgrundlagen!$I$21,'StB-D1 Besondere Lstg'!M37=TRUE),'StB-D1 Besondere Lstg'!J37,IF(AND(Projektgrundlagen!$I$22,'HB-D1 Besondere Lstg Land'!M37=TRUE),'HB-D1 Besondere Lstg Land'!H37+'HB-D1 Besondere Lstg Land'!J37,IF(AND(Projektgrundlagen!$I$23,'HB-D2 Besondere Lstg Bund'!M37=TRUE),'HB-D2 Besondere Lstg Bund'!H37+'HB-D2 Besondere Lstg Bund'!J37,"")))</f>
        <v/>
      </c>
      <c r="F86" s="1246" t="str">
        <f>IF(AND(Projektgrundlagen!$I$21,'StB-D1 Besondere Lstg'!M37=TRUE),'StB-D1 Besondere Lstg'!K37,IF(AND(Projektgrundlagen!$I$22,'HB-D1 Besondere Lstg Land'!M37=TRUE),'HB-D1 Besondere Lstg Land'!K37,IF(AND(Projektgrundlagen!$I$23,'HB-D2 Besondere Lstg Bund'!M37=TRUE),'HB-D2 Besondere Lstg Bund'!K37,"")))</f>
        <v/>
      </c>
      <c r="G86" s="1253"/>
      <c r="H86" s="1254"/>
    </row>
    <row r="87" spans="2:8" ht="14.4">
      <c r="B87" t="str">
        <f>IF(AND(Projektgrundlagen!$I$21,'StB-D1 Besondere Lstg'!M38=TRUE),'StB-D1 Besondere Lstg'!C38&amp;" "&amp;'StB-D1 Besondere Lstg'!F38&amp;" "&amp;'StB-D1 Besondere Lstg'!F39,IF(AND(Projektgrundlagen!$I$22,'HB-D1 Besondere Lstg Land'!M38=TRUE),'HB-D1 Besondere Lstg Land'!C38&amp;" "&amp;'HB-D1 Besondere Lstg Land'!F38&amp;" "&amp;'HB-D1 Besondere Lstg Land'!F39,IF(AND(Projektgrundlagen!$I$23,'HB-D2 Besondere Lstg Bund'!M38=TRUE),'HB-D2 Besondere Lstg Bund'!C38&amp;" "&amp;'HB-D2 Besondere Lstg Bund'!F38&amp;" "&amp;'HB-D2 Besondere Lstg Bund'!F39,"")))</f>
        <v/>
      </c>
      <c r="C87" s="1246" t="str">
        <f>IF(AND(Projektgrundlagen!$I$21,'StB-D1 Besondere Lstg'!M38=TRUE),'StB-D1 Besondere Lstg'!H38,"")</f>
        <v/>
      </c>
      <c r="D87" s="1246" t="str">
        <f>IF(AND(Projektgrundlagen!$I$21,'StB-D1 Besondere Lstg'!M38=TRUE),'StB-D1 Besondere Lstg'!I38,IF(AND(Projektgrundlagen!$I$22,'HB-D1 Besondere Lstg Land'!M38=TRUE),(IF('HB-D1 Besondere Lstg Land'!H38&gt;0,"v.H.","pauschal")),IF(AND(Projektgrundlagen!$I$23,'HB-D2 Besondere Lstg Bund'!M38=TRUE),(IF('HB-D2 Besondere Lstg Bund'!H38&gt;0,"v.H.","pauschal")),"")))</f>
        <v/>
      </c>
      <c r="E87" s="1246" t="str">
        <f>IF(AND(Projektgrundlagen!$I$21,'StB-D1 Besondere Lstg'!M38=TRUE),'StB-D1 Besondere Lstg'!J38,IF(AND(Projektgrundlagen!$I$22,'HB-D1 Besondere Lstg Land'!M38=TRUE),'HB-D1 Besondere Lstg Land'!H38+'HB-D1 Besondere Lstg Land'!J38,IF(AND(Projektgrundlagen!$I$23,'HB-D2 Besondere Lstg Bund'!M38=TRUE),'HB-D2 Besondere Lstg Bund'!H38+'HB-D2 Besondere Lstg Bund'!J38,"")))</f>
        <v/>
      </c>
      <c r="F87" s="1246" t="str">
        <f>IF(AND(Projektgrundlagen!$I$21,'StB-D1 Besondere Lstg'!M38=TRUE),'StB-D1 Besondere Lstg'!K38,IF(AND(Projektgrundlagen!$I$22,'HB-D1 Besondere Lstg Land'!M38=TRUE),'HB-D1 Besondere Lstg Land'!K38,IF(AND(Projektgrundlagen!$I$23,'HB-D2 Besondere Lstg Bund'!M38=TRUE),'HB-D2 Besondere Lstg Bund'!K38,"")))</f>
        <v/>
      </c>
      <c r="G87" s="1253"/>
      <c r="H87" s="1254"/>
    </row>
    <row r="88" spans="2:8" ht="14.4">
      <c r="B88" t="str">
        <f>IF(AND(Projektgrundlagen!$I$21,'StB-D1 Besondere Lstg'!M39=TRUE),'StB-D1 Besondere Lstg'!C39&amp;" "&amp;'StB-D1 Besondere Lstg'!F39&amp;" "&amp;'StB-D1 Besondere Lstg'!F40,IF(AND(Projektgrundlagen!$I$22,'HB-D1 Besondere Lstg Land'!M39=TRUE),'HB-D1 Besondere Lstg Land'!C39&amp;" "&amp;'HB-D1 Besondere Lstg Land'!F39&amp;" "&amp;'HB-D1 Besondere Lstg Land'!F40,IF(AND(Projektgrundlagen!$I$23,'HB-D2 Besondere Lstg Bund'!M39=TRUE),'HB-D2 Besondere Lstg Bund'!C39&amp;" "&amp;'HB-D2 Besondere Lstg Bund'!F39&amp;" "&amp;'HB-D2 Besondere Lstg Bund'!F40,"")))</f>
        <v/>
      </c>
      <c r="C88" s="1246" t="str">
        <f>IF(AND(Projektgrundlagen!$I$21,'StB-D1 Besondere Lstg'!M39=TRUE),'StB-D1 Besondere Lstg'!H39,"")</f>
        <v/>
      </c>
      <c r="D88" s="1246" t="str">
        <f>IF(AND(Projektgrundlagen!$I$21,'StB-D1 Besondere Lstg'!M39=TRUE),'StB-D1 Besondere Lstg'!I39,IF(AND(Projektgrundlagen!$I$22,'HB-D1 Besondere Lstg Land'!M39=TRUE),(IF('HB-D1 Besondere Lstg Land'!H39&gt;0,"v.H.","pauschal")),IF(AND(Projektgrundlagen!$I$23,'HB-D2 Besondere Lstg Bund'!M39=TRUE),(IF('HB-D2 Besondere Lstg Bund'!H39&gt;0,"v.H.","pauschal")),"")))</f>
        <v/>
      </c>
      <c r="E88" s="1246" t="str">
        <f>IF(AND(Projektgrundlagen!$I$21,'StB-D1 Besondere Lstg'!M39=TRUE),'StB-D1 Besondere Lstg'!J39,IF(AND(Projektgrundlagen!$I$22,'HB-D1 Besondere Lstg Land'!M39=TRUE),'HB-D1 Besondere Lstg Land'!H39+'HB-D1 Besondere Lstg Land'!J39,IF(AND(Projektgrundlagen!$I$23,'HB-D2 Besondere Lstg Bund'!M39=TRUE),'HB-D2 Besondere Lstg Bund'!H39+'HB-D2 Besondere Lstg Bund'!J39,"")))</f>
        <v/>
      </c>
      <c r="F88" s="1246" t="str">
        <f>IF(AND(Projektgrundlagen!$I$21,'StB-D1 Besondere Lstg'!M39=TRUE),'StB-D1 Besondere Lstg'!K39,IF(AND(Projektgrundlagen!$I$22,'HB-D1 Besondere Lstg Land'!M39=TRUE),'HB-D1 Besondere Lstg Land'!K39,IF(AND(Projektgrundlagen!$I$23,'HB-D2 Besondere Lstg Bund'!M39=TRUE),'HB-D2 Besondere Lstg Bund'!K39,"")))</f>
        <v/>
      </c>
      <c r="G88" s="1253"/>
      <c r="H88" s="1254"/>
    </row>
    <row r="89" spans="2:8" ht="14.4">
      <c r="B89" t="str">
        <f>IF(AND(Projektgrundlagen!$I$21,'StB-D1 Besondere Lstg'!M40=TRUE),'StB-D1 Besondere Lstg'!C40&amp;" "&amp;'StB-D1 Besondere Lstg'!F40&amp;" "&amp;'StB-D1 Besondere Lstg'!F41,IF(AND(Projektgrundlagen!$I$22,'HB-D1 Besondere Lstg Land'!M40=TRUE),'HB-D1 Besondere Lstg Land'!C40&amp;" "&amp;'HB-D1 Besondere Lstg Land'!F40&amp;" "&amp;'HB-D1 Besondere Lstg Land'!F41,IF(AND(Projektgrundlagen!$I$23,'HB-D2 Besondere Lstg Bund'!M40=TRUE),'HB-D2 Besondere Lstg Bund'!C40&amp;" "&amp;'HB-D2 Besondere Lstg Bund'!F40&amp;" "&amp;'HB-D2 Besondere Lstg Bund'!F41,"")))</f>
        <v/>
      </c>
      <c r="C89" s="1246" t="str">
        <f>IF(AND(Projektgrundlagen!$I$21,'StB-D1 Besondere Lstg'!M40=TRUE),'StB-D1 Besondere Lstg'!H40,"")</f>
        <v/>
      </c>
      <c r="D89" s="1246" t="str">
        <f>IF(AND(Projektgrundlagen!$I$21,'StB-D1 Besondere Lstg'!M40=TRUE),'StB-D1 Besondere Lstg'!I40,IF(AND(Projektgrundlagen!$I$22,'HB-D1 Besondere Lstg Land'!M40=TRUE),(IF('HB-D1 Besondere Lstg Land'!H40&gt;0,"v.H.","pauschal")),IF(AND(Projektgrundlagen!$I$23,'HB-D2 Besondere Lstg Bund'!M40=TRUE),(IF('HB-D2 Besondere Lstg Bund'!H40&gt;0,"v.H.","pauschal")),"")))</f>
        <v/>
      </c>
      <c r="E89" s="1246" t="str">
        <f>IF(AND(Projektgrundlagen!$I$21,'StB-D1 Besondere Lstg'!M40=TRUE),'StB-D1 Besondere Lstg'!J40,IF(AND(Projektgrundlagen!$I$22,'HB-D1 Besondere Lstg Land'!M40=TRUE),'HB-D1 Besondere Lstg Land'!H40+'HB-D1 Besondere Lstg Land'!J40,IF(AND(Projektgrundlagen!$I$23,'HB-D2 Besondere Lstg Bund'!M40=TRUE),'HB-D2 Besondere Lstg Bund'!H40+'HB-D2 Besondere Lstg Bund'!J40,"")))</f>
        <v/>
      </c>
      <c r="F89" s="1246" t="str">
        <f>IF(AND(Projektgrundlagen!$I$21,'StB-D1 Besondere Lstg'!M40=TRUE),'StB-D1 Besondere Lstg'!K40,IF(AND(Projektgrundlagen!$I$22,'HB-D1 Besondere Lstg Land'!M40=TRUE),'HB-D1 Besondere Lstg Land'!K40,IF(AND(Projektgrundlagen!$I$23,'HB-D2 Besondere Lstg Bund'!M40=TRUE),'HB-D2 Besondere Lstg Bund'!K40,"")))</f>
        <v/>
      </c>
      <c r="G89" s="1253"/>
      <c r="H89" s="1254"/>
    </row>
    <row r="90" spans="2:8" ht="14.4">
      <c r="B90" t="str">
        <f>IF(AND(Projektgrundlagen!$I$21,'StB-D1 Besondere Lstg'!M41=TRUE),'StB-D1 Besondere Lstg'!C41&amp;" "&amp;'StB-D1 Besondere Lstg'!F41&amp;" "&amp;'StB-D1 Besondere Lstg'!F42,IF(AND(Projektgrundlagen!$I$22,'HB-D1 Besondere Lstg Land'!M41=TRUE),'HB-D1 Besondere Lstg Land'!C41&amp;" "&amp;'HB-D1 Besondere Lstg Land'!F41&amp;" "&amp;'HB-D1 Besondere Lstg Land'!F42,IF(AND(Projektgrundlagen!$I$23,'HB-D2 Besondere Lstg Bund'!M41=TRUE),'HB-D2 Besondere Lstg Bund'!C41&amp;" "&amp;'HB-D2 Besondere Lstg Bund'!F41&amp;" "&amp;'HB-D2 Besondere Lstg Bund'!F42,"")))</f>
        <v/>
      </c>
      <c r="C90" s="1246" t="str">
        <f>IF(AND(Projektgrundlagen!$I$21,'StB-D1 Besondere Lstg'!M41=TRUE),'StB-D1 Besondere Lstg'!H41,"")</f>
        <v/>
      </c>
      <c r="D90" s="1246" t="str">
        <f>IF(AND(Projektgrundlagen!$I$21,'StB-D1 Besondere Lstg'!M41=TRUE),'StB-D1 Besondere Lstg'!I41,IF(AND(Projektgrundlagen!$I$22,'HB-D1 Besondere Lstg Land'!M41=TRUE),(IF('HB-D1 Besondere Lstg Land'!H41&gt;0,"v.H.","pauschal")),IF(AND(Projektgrundlagen!$I$23,'HB-D2 Besondere Lstg Bund'!M41=TRUE),(IF('HB-D2 Besondere Lstg Bund'!H41&gt;0,"v.H.","pauschal")),"")))</f>
        <v/>
      </c>
      <c r="E90" s="1246" t="str">
        <f>IF(AND(Projektgrundlagen!$I$21,'StB-D1 Besondere Lstg'!M41=TRUE),'StB-D1 Besondere Lstg'!J41,IF(AND(Projektgrundlagen!$I$22,'HB-D1 Besondere Lstg Land'!M41=TRUE),'HB-D1 Besondere Lstg Land'!H41+'HB-D1 Besondere Lstg Land'!J41,IF(AND(Projektgrundlagen!$I$23,'HB-D2 Besondere Lstg Bund'!M41=TRUE),'HB-D2 Besondere Lstg Bund'!H41+'HB-D2 Besondere Lstg Bund'!J41,"")))</f>
        <v/>
      </c>
      <c r="F90" s="1246" t="str">
        <f>IF(AND(Projektgrundlagen!$I$21,'StB-D1 Besondere Lstg'!M41=TRUE),'StB-D1 Besondere Lstg'!K41,IF(AND(Projektgrundlagen!$I$22,'HB-D1 Besondere Lstg Land'!M41=TRUE),'HB-D1 Besondere Lstg Land'!K41,IF(AND(Projektgrundlagen!$I$23,'HB-D2 Besondere Lstg Bund'!M41=TRUE),'HB-D2 Besondere Lstg Bund'!K41,"")))</f>
        <v/>
      </c>
      <c r="G90" s="1253"/>
      <c r="H90" s="1254"/>
    </row>
    <row r="91" spans="2:8" ht="14.4">
      <c r="B91" t="str">
        <f>IF(AND(Projektgrundlagen!$I$21,'StB-D1 Besondere Lstg'!M42=TRUE),'StB-D1 Besondere Lstg'!C42&amp;" "&amp;'StB-D1 Besondere Lstg'!F42&amp;" "&amp;'StB-D1 Besondere Lstg'!F43,IF(AND(Projektgrundlagen!$I$22,'HB-D1 Besondere Lstg Land'!M42=TRUE),'HB-D1 Besondere Lstg Land'!C42&amp;" "&amp;'HB-D1 Besondere Lstg Land'!F42&amp;" "&amp;'HB-D1 Besondere Lstg Land'!F43,IF(AND(Projektgrundlagen!$I$23,'HB-D2 Besondere Lstg Bund'!M42=TRUE),'HB-D2 Besondere Lstg Bund'!C42&amp;" "&amp;'HB-D2 Besondere Lstg Bund'!F42&amp;" "&amp;'HB-D2 Besondere Lstg Bund'!F43,"")))</f>
        <v/>
      </c>
      <c r="C91" s="1246" t="str">
        <f>IF(AND(Projektgrundlagen!$I$21,'StB-D1 Besondere Lstg'!M42=TRUE),'StB-D1 Besondere Lstg'!H42,"")</f>
        <v/>
      </c>
      <c r="D91" s="1246" t="str">
        <f>IF(AND(Projektgrundlagen!$I$21,'StB-D1 Besondere Lstg'!M42=TRUE),'StB-D1 Besondere Lstg'!I42,IF(AND(Projektgrundlagen!$I$22,'HB-D1 Besondere Lstg Land'!M42=TRUE),(IF('HB-D1 Besondere Lstg Land'!H42&gt;0,"v.H.","pauschal")),IF(AND(Projektgrundlagen!$I$23,'HB-D2 Besondere Lstg Bund'!M42=TRUE),(IF('HB-D2 Besondere Lstg Bund'!H42&gt;0,"v.H.","pauschal")),"")))</f>
        <v/>
      </c>
      <c r="E91" s="1246" t="str">
        <f>IF(AND(Projektgrundlagen!$I$21,'StB-D1 Besondere Lstg'!M42=TRUE),'StB-D1 Besondere Lstg'!J42,IF(AND(Projektgrundlagen!$I$22,'HB-D1 Besondere Lstg Land'!M42=TRUE),'HB-D1 Besondere Lstg Land'!H42+'HB-D1 Besondere Lstg Land'!J42,IF(AND(Projektgrundlagen!$I$23,'HB-D2 Besondere Lstg Bund'!M42=TRUE),'HB-D2 Besondere Lstg Bund'!H42+'HB-D2 Besondere Lstg Bund'!J42,"")))</f>
        <v/>
      </c>
      <c r="F91" s="1246" t="str">
        <f>IF(AND(Projektgrundlagen!$I$21,'StB-D1 Besondere Lstg'!M42=TRUE),'StB-D1 Besondere Lstg'!K42,IF(AND(Projektgrundlagen!$I$22,'HB-D1 Besondere Lstg Land'!M42=TRUE),'HB-D1 Besondere Lstg Land'!K42,IF(AND(Projektgrundlagen!$I$23,'HB-D2 Besondere Lstg Bund'!M42=TRUE),'HB-D2 Besondere Lstg Bund'!K42,"")))</f>
        <v/>
      </c>
      <c r="G91" s="1253"/>
      <c r="H91" s="1254"/>
    </row>
    <row r="92" spans="2:8" ht="14.4">
      <c r="B92" t="str">
        <f>IF(AND(Projektgrundlagen!$I$21,'StB-D1 Besondere Lstg'!M43=TRUE),'StB-D1 Besondere Lstg'!C43&amp;" "&amp;'StB-D1 Besondere Lstg'!F43&amp;" "&amp;'StB-D1 Besondere Lstg'!F44,IF(AND(Projektgrundlagen!$I$22,'HB-D1 Besondere Lstg Land'!M43=TRUE),'HB-D1 Besondere Lstg Land'!C43&amp;" "&amp;'HB-D1 Besondere Lstg Land'!F43&amp;" "&amp;'HB-D1 Besondere Lstg Land'!F44,IF(AND(Projektgrundlagen!$I$23,'HB-D2 Besondere Lstg Bund'!M43=TRUE),'HB-D2 Besondere Lstg Bund'!C43&amp;" "&amp;'HB-D2 Besondere Lstg Bund'!F43&amp;" "&amp;'HB-D2 Besondere Lstg Bund'!F44,"")))</f>
        <v/>
      </c>
      <c r="C92" s="1246" t="str">
        <f>IF(AND(Projektgrundlagen!$I$21,'StB-D1 Besondere Lstg'!M43=TRUE),'StB-D1 Besondere Lstg'!H43,"")</f>
        <v/>
      </c>
      <c r="D92" s="1246" t="str">
        <f>IF(AND(Projektgrundlagen!$I$21,'StB-D1 Besondere Lstg'!M43=TRUE),'StB-D1 Besondere Lstg'!I43,IF(AND(Projektgrundlagen!$I$22,'HB-D1 Besondere Lstg Land'!M43=TRUE),(IF('HB-D1 Besondere Lstg Land'!H43&gt;0,"v.H.","pauschal")),IF(AND(Projektgrundlagen!$I$23,'HB-D2 Besondere Lstg Bund'!M43=TRUE),(IF('HB-D2 Besondere Lstg Bund'!H43&gt;0,"v.H.","pauschal")),"")))</f>
        <v/>
      </c>
      <c r="E92" s="1246" t="str">
        <f>IF(AND(Projektgrundlagen!$I$21,'StB-D1 Besondere Lstg'!M43=TRUE),'StB-D1 Besondere Lstg'!J43,IF(AND(Projektgrundlagen!$I$22,'HB-D1 Besondere Lstg Land'!M43=TRUE),'HB-D1 Besondere Lstg Land'!H43+'HB-D1 Besondere Lstg Land'!J43,IF(AND(Projektgrundlagen!$I$23,'HB-D2 Besondere Lstg Bund'!M43=TRUE),'HB-D2 Besondere Lstg Bund'!H43+'HB-D2 Besondere Lstg Bund'!J43,"")))</f>
        <v/>
      </c>
      <c r="F92" s="1246" t="str">
        <f>IF(AND(Projektgrundlagen!$I$21,'StB-D1 Besondere Lstg'!M43=TRUE),'StB-D1 Besondere Lstg'!K43,IF(AND(Projektgrundlagen!$I$22,'HB-D1 Besondere Lstg Land'!M43=TRUE),'HB-D1 Besondere Lstg Land'!K43,IF(AND(Projektgrundlagen!$I$23,'HB-D2 Besondere Lstg Bund'!M43=TRUE),'HB-D2 Besondere Lstg Bund'!K43,"")))</f>
        <v/>
      </c>
      <c r="G92" s="1253"/>
      <c r="H92" s="1254"/>
    </row>
    <row r="93" spans="2:8" ht="14.4">
      <c r="B93" t="str">
        <f>IF(AND(Projektgrundlagen!$I$21,'StB-D1 Besondere Lstg'!M44=TRUE),'StB-D1 Besondere Lstg'!C44&amp;" "&amp;'StB-D1 Besondere Lstg'!F44&amp;" "&amp;'StB-D1 Besondere Lstg'!F45,IF(AND(Projektgrundlagen!$I$22,'HB-D1 Besondere Lstg Land'!M44=TRUE),'HB-D1 Besondere Lstg Land'!C44&amp;" "&amp;'HB-D1 Besondere Lstg Land'!F44&amp;" "&amp;'HB-D1 Besondere Lstg Land'!F45,IF(AND(Projektgrundlagen!$I$23,'HB-D2 Besondere Lstg Bund'!M44=TRUE),'HB-D2 Besondere Lstg Bund'!C44&amp;" "&amp;'HB-D2 Besondere Lstg Bund'!F44&amp;" "&amp;'HB-D2 Besondere Lstg Bund'!F45,"")))</f>
        <v/>
      </c>
      <c r="C93" s="1246" t="str">
        <f>IF(AND(Projektgrundlagen!$I$21,'StB-D1 Besondere Lstg'!M44=TRUE),'StB-D1 Besondere Lstg'!H44,"")</f>
        <v/>
      </c>
      <c r="D93" s="1246" t="str">
        <f>IF(AND(Projektgrundlagen!$I$21,'StB-D1 Besondere Lstg'!M44=TRUE),'StB-D1 Besondere Lstg'!I44,IF(AND(Projektgrundlagen!$I$22,'HB-D1 Besondere Lstg Land'!M44=TRUE),(IF('HB-D1 Besondere Lstg Land'!H44&gt;0,"v.H.","pauschal")),IF(AND(Projektgrundlagen!$I$23,'HB-D2 Besondere Lstg Bund'!M44=TRUE),(IF('HB-D2 Besondere Lstg Bund'!H44&gt;0,"v.H.","pauschal")),"")))</f>
        <v/>
      </c>
      <c r="E93" s="1246" t="str">
        <f>IF(AND(Projektgrundlagen!$I$21,'StB-D1 Besondere Lstg'!M44=TRUE),'StB-D1 Besondere Lstg'!J44,IF(AND(Projektgrundlagen!$I$22,'HB-D1 Besondere Lstg Land'!M44=TRUE),'HB-D1 Besondere Lstg Land'!H44+'HB-D1 Besondere Lstg Land'!J44,IF(AND(Projektgrundlagen!$I$23,'HB-D2 Besondere Lstg Bund'!M44=TRUE),'HB-D2 Besondere Lstg Bund'!H44+'HB-D2 Besondere Lstg Bund'!J44,"")))</f>
        <v/>
      </c>
      <c r="F93" s="1246" t="str">
        <f>IF(AND(Projektgrundlagen!$I$21,'StB-D1 Besondere Lstg'!M44=TRUE),'StB-D1 Besondere Lstg'!K44,IF(AND(Projektgrundlagen!$I$22,'HB-D1 Besondere Lstg Land'!M44=TRUE),'HB-D1 Besondere Lstg Land'!K44,IF(AND(Projektgrundlagen!$I$23,'HB-D2 Besondere Lstg Bund'!M44=TRUE),'HB-D2 Besondere Lstg Bund'!K44,"")))</f>
        <v/>
      </c>
      <c r="G93" s="1253"/>
      <c r="H93" s="1254"/>
    </row>
    <row r="94" spans="2:8" ht="14.4">
      <c r="B94" t="str">
        <f>IF(AND(Projektgrundlagen!$I$21,'StB-D1 Besondere Lstg'!M45=TRUE),'StB-D1 Besondere Lstg'!C45&amp;" "&amp;'StB-D1 Besondere Lstg'!F45&amp;" "&amp;'StB-D1 Besondere Lstg'!F46,IF(AND(Projektgrundlagen!$I$22,'HB-D1 Besondere Lstg Land'!M45=TRUE),'HB-D1 Besondere Lstg Land'!C45&amp;" "&amp;'HB-D1 Besondere Lstg Land'!F45&amp;" "&amp;'HB-D1 Besondere Lstg Land'!F46,IF(AND(Projektgrundlagen!$I$23,'HB-D2 Besondere Lstg Bund'!M45=TRUE),'HB-D2 Besondere Lstg Bund'!C45&amp;" "&amp;'HB-D2 Besondere Lstg Bund'!F45&amp;" "&amp;'HB-D2 Besondere Lstg Bund'!F46,"")))</f>
        <v/>
      </c>
      <c r="C94" s="1246" t="str">
        <f>IF(AND(Projektgrundlagen!$I$21,'StB-D1 Besondere Lstg'!M45=TRUE),'StB-D1 Besondere Lstg'!H45,"")</f>
        <v/>
      </c>
      <c r="D94" s="1246" t="str">
        <f>IF(AND(Projektgrundlagen!$I$21,'StB-D1 Besondere Lstg'!M45=TRUE),'StB-D1 Besondere Lstg'!I45,IF(AND(Projektgrundlagen!$I$22,'HB-D1 Besondere Lstg Land'!M45=TRUE),(IF('HB-D1 Besondere Lstg Land'!H45&gt;0,"v.H.","pauschal")),IF(AND(Projektgrundlagen!$I$23,'HB-D2 Besondere Lstg Bund'!M45=TRUE),(IF('HB-D2 Besondere Lstg Bund'!H45&gt;0,"v.H.","pauschal")),"")))</f>
        <v/>
      </c>
      <c r="E94" s="1246" t="str">
        <f>IF(AND(Projektgrundlagen!$I$21,'StB-D1 Besondere Lstg'!M45=TRUE),'StB-D1 Besondere Lstg'!J45,IF(AND(Projektgrundlagen!$I$22,'HB-D1 Besondere Lstg Land'!M45=TRUE),'HB-D1 Besondere Lstg Land'!H45+'HB-D1 Besondere Lstg Land'!J45,IF(AND(Projektgrundlagen!$I$23,'HB-D2 Besondere Lstg Bund'!M45=TRUE),'HB-D2 Besondere Lstg Bund'!H45+'HB-D2 Besondere Lstg Bund'!J45,"")))</f>
        <v/>
      </c>
      <c r="F94" s="1246" t="str">
        <f>IF(AND(Projektgrundlagen!$I$21,'StB-D1 Besondere Lstg'!M45=TRUE),'StB-D1 Besondere Lstg'!K45,IF(AND(Projektgrundlagen!$I$22,'HB-D1 Besondere Lstg Land'!M45=TRUE),'HB-D1 Besondere Lstg Land'!K45,IF(AND(Projektgrundlagen!$I$23,'HB-D2 Besondere Lstg Bund'!M45=TRUE),'HB-D2 Besondere Lstg Bund'!K45,"")))</f>
        <v/>
      </c>
      <c r="G94" s="1253"/>
      <c r="H94" s="1254"/>
    </row>
    <row r="95" spans="2:8" ht="14.4">
      <c r="B95" t="str">
        <f>IF(AND(Projektgrundlagen!$I$21,'StB-D1 Besondere Lstg'!M46=TRUE),'StB-D1 Besondere Lstg'!C46&amp;" "&amp;'StB-D1 Besondere Lstg'!F46&amp;" "&amp;'StB-D1 Besondere Lstg'!F47,IF(AND(Projektgrundlagen!$I$22,'HB-D1 Besondere Lstg Land'!M46=TRUE),'HB-D1 Besondere Lstg Land'!C46&amp;" "&amp;'HB-D1 Besondere Lstg Land'!F46&amp;" "&amp;'HB-D1 Besondere Lstg Land'!F47,IF(AND(Projektgrundlagen!$I$23,'HB-D2 Besondere Lstg Bund'!M46=TRUE),'HB-D2 Besondere Lstg Bund'!C46&amp;" "&amp;'HB-D2 Besondere Lstg Bund'!F46&amp;" "&amp;'HB-D2 Besondere Lstg Bund'!F47,"")))</f>
        <v/>
      </c>
      <c r="C95" s="1246" t="str">
        <f>IF(AND(Projektgrundlagen!$I$21,'StB-D1 Besondere Lstg'!M46=TRUE),'StB-D1 Besondere Lstg'!H46,"")</f>
        <v/>
      </c>
      <c r="D95" s="1246" t="str">
        <f>IF(AND(Projektgrundlagen!$I$21,'StB-D1 Besondere Lstg'!M46=TRUE),'StB-D1 Besondere Lstg'!I46,IF(AND(Projektgrundlagen!$I$22,'HB-D1 Besondere Lstg Land'!M46=TRUE),(IF('HB-D1 Besondere Lstg Land'!H46&gt;0,"v.H.","pauschal")),IF(AND(Projektgrundlagen!$I$23,'HB-D2 Besondere Lstg Bund'!M46=TRUE),(IF('HB-D2 Besondere Lstg Bund'!H46&gt;0,"v.H.","pauschal")),"")))</f>
        <v/>
      </c>
      <c r="E95" s="1246" t="str">
        <f>IF(AND(Projektgrundlagen!$I$21,'StB-D1 Besondere Lstg'!M46=TRUE),'StB-D1 Besondere Lstg'!J46,IF(AND(Projektgrundlagen!$I$22,'HB-D1 Besondere Lstg Land'!M46=TRUE),'HB-D1 Besondere Lstg Land'!H46+'HB-D1 Besondere Lstg Land'!J46,IF(AND(Projektgrundlagen!$I$23,'HB-D2 Besondere Lstg Bund'!M46=TRUE),'HB-D2 Besondere Lstg Bund'!H46+'HB-D2 Besondere Lstg Bund'!J46,"")))</f>
        <v/>
      </c>
      <c r="F95" s="1246" t="str">
        <f>IF(AND(Projektgrundlagen!$I$21,'StB-D1 Besondere Lstg'!M46=TRUE),'StB-D1 Besondere Lstg'!K46,IF(AND(Projektgrundlagen!$I$22,'HB-D1 Besondere Lstg Land'!M46=TRUE),'HB-D1 Besondere Lstg Land'!K46,IF(AND(Projektgrundlagen!$I$23,'HB-D2 Besondere Lstg Bund'!M46=TRUE),'HB-D2 Besondere Lstg Bund'!K46,"")))</f>
        <v/>
      </c>
      <c r="G95" s="1253"/>
      <c r="H95" s="1254"/>
    </row>
    <row r="96" spans="2:8" ht="14.4">
      <c r="B96" t="str">
        <f>IF(AND(Projektgrundlagen!$I$21,'StB-D1 Besondere Lstg'!M47=TRUE),'StB-D1 Besondere Lstg'!C47&amp;" "&amp;'StB-D1 Besondere Lstg'!F47&amp;" "&amp;'StB-D1 Besondere Lstg'!F48,IF(AND(Projektgrundlagen!$I$22,'HB-D1 Besondere Lstg Land'!M47=TRUE),'HB-D1 Besondere Lstg Land'!C47&amp;" "&amp;'HB-D1 Besondere Lstg Land'!F47&amp;" "&amp;'HB-D1 Besondere Lstg Land'!F48,IF(AND(Projektgrundlagen!$I$23,'HB-D2 Besondere Lstg Bund'!M47=TRUE),'HB-D2 Besondere Lstg Bund'!C47&amp;" "&amp;'HB-D2 Besondere Lstg Bund'!F47&amp;" "&amp;'HB-D2 Besondere Lstg Bund'!F48,"")))</f>
        <v/>
      </c>
      <c r="C96" s="1246" t="str">
        <f>IF(AND(Projektgrundlagen!$I$21,'StB-D1 Besondere Lstg'!M47=TRUE),'StB-D1 Besondere Lstg'!H47,"")</f>
        <v/>
      </c>
      <c r="D96" s="1246" t="str">
        <f>IF(AND(Projektgrundlagen!$I$21,'StB-D1 Besondere Lstg'!M47=TRUE),'StB-D1 Besondere Lstg'!I47,IF(AND(Projektgrundlagen!$I$22,'HB-D1 Besondere Lstg Land'!M47=TRUE),(IF('HB-D1 Besondere Lstg Land'!H47&gt;0,"v.H.","pauschal")),IF(AND(Projektgrundlagen!$I$23,'HB-D2 Besondere Lstg Bund'!M47=TRUE),(IF('HB-D2 Besondere Lstg Bund'!H47&gt;0,"v.H.","pauschal")),"")))</f>
        <v/>
      </c>
      <c r="E96" s="1246" t="str">
        <f>IF(AND(Projektgrundlagen!$I$21,'StB-D1 Besondere Lstg'!M47=TRUE),'StB-D1 Besondere Lstg'!J47,IF(AND(Projektgrundlagen!$I$22,'HB-D1 Besondere Lstg Land'!M47=TRUE),'HB-D1 Besondere Lstg Land'!H47+'HB-D1 Besondere Lstg Land'!J47,IF(AND(Projektgrundlagen!$I$23,'HB-D2 Besondere Lstg Bund'!M47=TRUE),'HB-D2 Besondere Lstg Bund'!H47+'HB-D2 Besondere Lstg Bund'!J47,"")))</f>
        <v/>
      </c>
      <c r="F96" s="1246" t="str">
        <f>IF(AND(Projektgrundlagen!$I$21,'StB-D1 Besondere Lstg'!M47=TRUE),'StB-D1 Besondere Lstg'!K47,IF(AND(Projektgrundlagen!$I$22,'HB-D1 Besondere Lstg Land'!M47=TRUE),'HB-D1 Besondere Lstg Land'!K47,IF(AND(Projektgrundlagen!$I$23,'HB-D2 Besondere Lstg Bund'!M47=TRUE),'HB-D2 Besondere Lstg Bund'!K47,"")))</f>
        <v/>
      </c>
      <c r="G96" s="1253"/>
      <c r="H96" s="1254"/>
    </row>
    <row r="97" spans="2:8" ht="14.4">
      <c r="B97" t="str">
        <f>IF(AND(Projektgrundlagen!$I$21,'StB-D1 Besondere Lstg'!M48=TRUE),'StB-D1 Besondere Lstg'!C48&amp;" "&amp;'StB-D1 Besondere Lstg'!F48&amp;" "&amp;'StB-D1 Besondere Lstg'!F49,IF(AND(Projektgrundlagen!$I$22,'HB-D1 Besondere Lstg Land'!M48=TRUE),'HB-D1 Besondere Lstg Land'!C48&amp;" "&amp;'HB-D1 Besondere Lstg Land'!F48&amp;" "&amp;'HB-D1 Besondere Lstg Land'!F49,IF(AND(Projektgrundlagen!$I$23,'HB-D2 Besondere Lstg Bund'!M48=TRUE),'HB-D2 Besondere Lstg Bund'!C48&amp;" "&amp;'HB-D2 Besondere Lstg Bund'!F48&amp;" "&amp;'HB-D2 Besondere Lstg Bund'!F49,"")))</f>
        <v/>
      </c>
      <c r="C97" s="1246" t="str">
        <f>IF(AND(Projektgrundlagen!$I$21,'StB-D1 Besondere Lstg'!M48=TRUE),'StB-D1 Besondere Lstg'!H48,"")</f>
        <v/>
      </c>
      <c r="D97" s="1246" t="str">
        <f>IF(AND(Projektgrundlagen!$I$21,'StB-D1 Besondere Lstg'!M48=TRUE),'StB-D1 Besondere Lstg'!I48,IF(AND(Projektgrundlagen!$I$22,'HB-D1 Besondere Lstg Land'!M48=TRUE),(IF('HB-D1 Besondere Lstg Land'!H48&gt;0,"v.H.","pauschal")),IF(AND(Projektgrundlagen!$I$23,'HB-D2 Besondere Lstg Bund'!M48=TRUE),(IF('HB-D2 Besondere Lstg Bund'!H48&gt;0,"v.H.","pauschal")),"")))</f>
        <v/>
      </c>
      <c r="E97" s="1246" t="str">
        <f>IF(AND(Projektgrundlagen!$I$21,'StB-D1 Besondere Lstg'!M48=TRUE),'StB-D1 Besondere Lstg'!J48,IF(AND(Projektgrundlagen!$I$22,'HB-D1 Besondere Lstg Land'!M48=TRUE),'HB-D1 Besondere Lstg Land'!H48+'HB-D1 Besondere Lstg Land'!J48,IF(AND(Projektgrundlagen!$I$23,'HB-D2 Besondere Lstg Bund'!M48=TRUE),'HB-D2 Besondere Lstg Bund'!H48+'HB-D2 Besondere Lstg Bund'!J48,"")))</f>
        <v/>
      </c>
      <c r="F97" s="1246" t="str">
        <f>IF(AND(Projektgrundlagen!$I$21,'StB-D1 Besondere Lstg'!M48=TRUE),'StB-D1 Besondere Lstg'!K48,IF(AND(Projektgrundlagen!$I$22,'HB-D1 Besondere Lstg Land'!M48=TRUE),'HB-D1 Besondere Lstg Land'!K48,IF(AND(Projektgrundlagen!$I$23,'HB-D2 Besondere Lstg Bund'!M48=TRUE),'HB-D2 Besondere Lstg Bund'!K48,"")))</f>
        <v/>
      </c>
      <c r="G97" s="1253"/>
      <c r="H97" s="1254"/>
    </row>
    <row r="98" spans="2:8" ht="14.4">
      <c r="B98" t="str">
        <f>IF(AND(Projektgrundlagen!$I$21,'StB-D1 Besondere Lstg'!M49=TRUE),'StB-D1 Besondere Lstg'!C49&amp;" "&amp;'StB-D1 Besondere Lstg'!F49&amp;" "&amp;'StB-D1 Besondere Lstg'!F50,IF(AND(Projektgrundlagen!$I$22,'HB-D1 Besondere Lstg Land'!M49=TRUE),'HB-D1 Besondere Lstg Land'!C49&amp;" "&amp;'HB-D1 Besondere Lstg Land'!F49&amp;" "&amp;'HB-D1 Besondere Lstg Land'!F50,IF(AND(Projektgrundlagen!$I$23,'HB-D2 Besondere Lstg Bund'!M49=TRUE),'HB-D2 Besondere Lstg Bund'!C49&amp;" "&amp;'HB-D2 Besondere Lstg Bund'!F49&amp;" "&amp;'HB-D2 Besondere Lstg Bund'!F50,"")))</f>
        <v/>
      </c>
      <c r="C98" s="1246" t="str">
        <f>IF(AND(Projektgrundlagen!$I$21,'StB-D1 Besondere Lstg'!M49=TRUE),'StB-D1 Besondere Lstg'!H49,"")</f>
        <v/>
      </c>
      <c r="D98" s="1246" t="str">
        <f>IF(AND(Projektgrundlagen!$I$21,'StB-D1 Besondere Lstg'!M49=TRUE),'StB-D1 Besondere Lstg'!I49,IF(AND(Projektgrundlagen!$I$22,'HB-D1 Besondere Lstg Land'!M49=TRUE),(IF('HB-D1 Besondere Lstg Land'!H49&gt;0,"v.H.","pauschal")),IF(AND(Projektgrundlagen!$I$23,'HB-D2 Besondere Lstg Bund'!M49=TRUE),(IF('HB-D2 Besondere Lstg Bund'!H49&gt;0,"v.H.","pauschal")),"")))</f>
        <v/>
      </c>
      <c r="E98" s="1246" t="str">
        <f>IF(AND(Projektgrundlagen!$I$21,'StB-D1 Besondere Lstg'!M49=TRUE),'StB-D1 Besondere Lstg'!J49,IF(AND(Projektgrundlagen!$I$22,'HB-D1 Besondere Lstg Land'!M49=TRUE),'HB-D1 Besondere Lstg Land'!H49+'HB-D1 Besondere Lstg Land'!J49,IF(AND(Projektgrundlagen!$I$23,'HB-D2 Besondere Lstg Bund'!M49=TRUE),'HB-D2 Besondere Lstg Bund'!H49+'HB-D2 Besondere Lstg Bund'!J49,"")))</f>
        <v/>
      </c>
      <c r="F98" s="1246" t="str">
        <f>IF(AND(Projektgrundlagen!$I$21,'StB-D1 Besondere Lstg'!M49=TRUE),'StB-D1 Besondere Lstg'!K49,IF(AND(Projektgrundlagen!$I$22,'HB-D1 Besondere Lstg Land'!M49=TRUE),'HB-D1 Besondere Lstg Land'!K49,IF(AND(Projektgrundlagen!$I$23,'HB-D2 Besondere Lstg Bund'!M49=TRUE),'HB-D2 Besondere Lstg Bund'!K49,"")))</f>
        <v/>
      </c>
      <c r="G98" s="1253"/>
      <c r="H98" s="1254"/>
    </row>
    <row r="99" spans="2:8" ht="14.4">
      <c r="B99" t="str">
        <f>IF(AND(Projektgrundlagen!$I$21,'StB-D1 Besondere Lstg'!M50=TRUE),'StB-D1 Besondere Lstg'!C50&amp;" "&amp;'StB-D1 Besondere Lstg'!F50&amp;" "&amp;'StB-D1 Besondere Lstg'!F51,IF(AND(Projektgrundlagen!$I$22,'HB-D1 Besondere Lstg Land'!M50=TRUE),'HB-D1 Besondere Lstg Land'!C50&amp;" "&amp;'HB-D1 Besondere Lstg Land'!F50&amp;" "&amp;'HB-D1 Besondere Lstg Land'!F51,IF(AND(Projektgrundlagen!$I$23,'HB-D2 Besondere Lstg Bund'!M50=TRUE),'HB-D2 Besondere Lstg Bund'!C50&amp;" "&amp;'HB-D2 Besondere Lstg Bund'!F50&amp;" "&amp;'HB-D2 Besondere Lstg Bund'!F51,"")))</f>
        <v/>
      </c>
      <c r="C99" s="1246" t="str">
        <f>IF(AND(Projektgrundlagen!$I$21,'StB-D1 Besondere Lstg'!M50=TRUE),'StB-D1 Besondere Lstg'!H50,"")</f>
        <v/>
      </c>
      <c r="D99" s="1246" t="str">
        <f>IF(AND(Projektgrundlagen!$I$21,'StB-D1 Besondere Lstg'!M50=TRUE),'StB-D1 Besondere Lstg'!I50,IF(AND(Projektgrundlagen!$I$22,'HB-D1 Besondere Lstg Land'!M50=TRUE),(IF('HB-D1 Besondere Lstg Land'!H50&gt;0,"v.H.","pauschal")),IF(AND(Projektgrundlagen!$I$23,'HB-D2 Besondere Lstg Bund'!M50=TRUE),(IF('HB-D2 Besondere Lstg Bund'!H50&gt;0,"v.H.","pauschal")),"")))</f>
        <v/>
      </c>
      <c r="E99" s="1246" t="str">
        <f>IF(AND(Projektgrundlagen!$I$21,'StB-D1 Besondere Lstg'!M50=TRUE),'StB-D1 Besondere Lstg'!J50,IF(AND(Projektgrundlagen!$I$22,'HB-D1 Besondere Lstg Land'!M50=TRUE),'HB-D1 Besondere Lstg Land'!H50+'HB-D1 Besondere Lstg Land'!J50,IF(AND(Projektgrundlagen!$I$23,'HB-D2 Besondere Lstg Bund'!M50=TRUE),'HB-D2 Besondere Lstg Bund'!H50+'HB-D2 Besondere Lstg Bund'!J50,"")))</f>
        <v/>
      </c>
      <c r="F99" s="1246" t="str">
        <f>IF(AND(Projektgrundlagen!$I$21,'StB-D1 Besondere Lstg'!M50=TRUE),'StB-D1 Besondere Lstg'!K50,IF(AND(Projektgrundlagen!$I$22,'HB-D1 Besondere Lstg Land'!M50=TRUE),'HB-D1 Besondere Lstg Land'!K50,IF(AND(Projektgrundlagen!$I$23,'HB-D2 Besondere Lstg Bund'!M50=TRUE),'HB-D2 Besondere Lstg Bund'!K50,"")))</f>
        <v/>
      </c>
      <c r="G99" s="1253"/>
      <c r="H99" s="1254"/>
    </row>
    <row r="100" spans="2:8" ht="14.4">
      <c r="B100" t="str">
        <f>IF(AND(Projektgrundlagen!$I$21,'StB-D1 Besondere Lstg'!M51=TRUE),'StB-D1 Besondere Lstg'!C51&amp;" "&amp;'StB-D1 Besondere Lstg'!F51&amp;" "&amp;'StB-D1 Besondere Lstg'!F52,IF(AND(Projektgrundlagen!$I$22,'HB-D1 Besondere Lstg Land'!M51=TRUE),'HB-D1 Besondere Lstg Land'!C51&amp;" "&amp;'HB-D1 Besondere Lstg Land'!F51&amp;" "&amp;'HB-D1 Besondere Lstg Land'!F52,IF(AND(Projektgrundlagen!$I$23,'HB-D2 Besondere Lstg Bund'!M51=TRUE),'HB-D2 Besondere Lstg Bund'!C51&amp;" "&amp;'HB-D2 Besondere Lstg Bund'!F51&amp;" "&amp;'HB-D2 Besondere Lstg Bund'!F52,"")))</f>
        <v/>
      </c>
      <c r="C100" s="1246" t="str">
        <f>IF(AND(Projektgrundlagen!$I$21,'StB-D1 Besondere Lstg'!M51=TRUE),'StB-D1 Besondere Lstg'!H51,"")</f>
        <v/>
      </c>
      <c r="D100" s="1246" t="str">
        <f>IF(AND(Projektgrundlagen!$I$21,'StB-D1 Besondere Lstg'!M51=TRUE),'StB-D1 Besondere Lstg'!I51,IF(AND(Projektgrundlagen!$I$22,'HB-D1 Besondere Lstg Land'!M51=TRUE),(IF('HB-D1 Besondere Lstg Land'!H51&gt;0,"v.H.","pauschal")),IF(AND(Projektgrundlagen!$I$23,'HB-D2 Besondere Lstg Bund'!M51=TRUE),(IF('HB-D2 Besondere Lstg Bund'!H51&gt;0,"v.H.","pauschal")),"")))</f>
        <v/>
      </c>
      <c r="E100" s="1246" t="str">
        <f>IF(AND(Projektgrundlagen!$I$21,'StB-D1 Besondere Lstg'!M51=TRUE),'StB-D1 Besondere Lstg'!J51,IF(AND(Projektgrundlagen!$I$22,'HB-D1 Besondere Lstg Land'!M51=TRUE),'HB-D1 Besondere Lstg Land'!H51+'HB-D1 Besondere Lstg Land'!J51,IF(AND(Projektgrundlagen!$I$23,'HB-D2 Besondere Lstg Bund'!M51=TRUE),'HB-D2 Besondere Lstg Bund'!H51+'HB-D2 Besondere Lstg Bund'!J51,"")))</f>
        <v/>
      </c>
      <c r="F100" s="1246" t="str">
        <f>IF(AND(Projektgrundlagen!$I$21,'StB-D1 Besondere Lstg'!M51=TRUE),'StB-D1 Besondere Lstg'!K51,IF(AND(Projektgrundlagen!$I$22,'HB-D1 Besondere Lstg Land'!M51=TRUE),'HB-D1 Besondere Lstg Land'!K51,IF(AND(Projektgrundlagen!$I$23,'HB-D2 Besondere Lstg Bund'!M51=TRUE),'HB-D2 Besondere Lstg Bund'!K51,"")))</f>
        <v/>
      </c>
      <c r="G100" s="1253"/>
      <c r="H100" s="1254"/>
    </row>
    <row r="101" spans="2:8" ht="14.4">
      <c r="B101" t="str">
        <f>IF(AND(Projektgrundlagen!$I$21,'StB-D1 Besondere Lstg'!M52=TRUE),'StB-D1 Besondere Lstg'!C52&amp;" "&amp;'StB-D1 Besondere Lstg'!F52&amp;" "&amp;'StB-D1 Besondere Lstg'!F53,IF(AND(Projektgrundlagen!$I$22,'HB-D1 Besondere Lstg Land'!M52=TRUE),'HB-D1 Besondere Lstg Land'!C52&amp;" "&amp;'HB-D1 Besondere Lstg Land'!F52&amp;" "&amp;'HB-D1 Besondere Lstg Land'!F53,IF(AND(Projektgrundlagen!$I$23,'HB-D2 Besondere Lstg Bund'!M52=TRUE),'HB-D2 Besondere Lstg Bund'!C52&amp;" "&amp;'HB-D2 Besondere Lstg Bund'!F52&amp;" "&amp;'HB-D2 Besondere Lstg Bund'!F53,"")))</f>
        <v/>
      </c>
      <c r="C101" s="1246" t="str">
        <f>IF(AND(Projektgrundlagen!$I$21,'StB-D1 Besondere Lstg'!M52=TRUE),'StB-D1 Besondere Lstg'!H52,"")</f>
        <v/>
      </c>
      <c r="D101" s="1246" t="str">
        <f>IF(AND(Projektgrundlagen!$I$21,'StB-D1 Besondere Lstg'!M52=TRUE),'StB-D1 Besondere Lstg'!I52,IF(AND(Projektgrundlagen!$I$22,'HB-D1 Besondere Lstg Land'!M52=TRUE),(IF('HB-D1 Besondere Lstg Land'!H52&gt;0,"v.H.","pauschal")),IF(AND(Projektgrundlagen!$I$23,'HB-D2 Besondere Lstg Bund'!M52=TRUE),(IF('HB-D2 Besondere Lstg Bund'!H52&gt;0,"v.H.","pauschal")),"")))</f>
        <v/>
      </c>
      <c r="E101" s="1246" t="str">
        <f>IF(AND(Projektgrundlagen!$I$21,'StB-D1 Besondere Lstg'!M52=TRUE),'StB-D1 Besondere Lstg'!J52,IF(AND(Projektgrundlagen!$I$22,'HB-D1 Besondere Lstg Land'!M52=TRUE),'HB-D1 Besondere Lstg Land'!H52+'HB-D1 Besondere Lstg Land'!J52,IF(AND(Projektgrundlagen!$I$23,'HB-D2 Besondere Lstg Bund'!M52=TRUE),'HB-D2 Besondere Lstg Bund'!H52+'HB-D2 Besondere Lstg Bund'!J52,"")))</f>
        <v/>
      </c>
      <c r="F101" s="1246" t="str">
        <f>IF(AND(Projektgrundlagen!$I$21,'StB-D1 Besondere Lstg'!M52=TRUE),'StB-D1 Besondere Lstg'!K52,IF(AND(Projektgrundlagen!$I$22,'HB-D1 Besondere Lstg Land'!M52=TRUE),'HB-D1 Besondere Lstg Land'!K52,IF(AND(Projektgrundlagen!$I$23,'HB-D2 Besondere Lstg Bund'!M52=TRUE),'HB-D2 Besondere Lstg Bund'!K52,"")))</f>
        <v/>
      </c>
      <c r="G101" s="1253"/>
      <c r="H101" s="1254"/>
    </row>
    <row r="102" spans="2:8" ht="14.4">
      <c r="B102" t="str">
        <f>IF(AND(Projektgrundlagen!$I$21,'StB-D1 Besondere Lstg'!M53=TRUE),'StB-D1 Besondere Lstg'!C53&amp;" "&amp;'StB-D1 Besondere Lstg'!F53&amp;" "&amp;'StB-D1 Besondere Lstg'!F54,IF(AND(Projektgrundlagen!$I$22,'HB-D1 Besondere Lstg Land'!M53=TRUE),'HB-D1 Besondere Lstg Land'!C53&amp;" "&amp;'HB-D1 Besondere Lstg Land'!F53&amp;" "&amp;'HB-D1 Besondere Lstg Land'!F54,IF(AND(Projektgrundlagen!$I$23,'HB-D2 Besondere Lstg Bund'!M53=TRUE),'HB-D2 Besondere Lstg Bund'!C53&amp;" "&amp;'HB-D2 Besondere Lstg Bund'!F53&amp;" "&amp;'HB-D2 Besondere Lstg Bund'!F54,"")))</f>
        <v/>
      </c>
      <c r="C102" s="1246" t="str">
        <f>IF(AND(Projektgrundlagen!$I$21,'StB-D1 Besondere Lstg'!M53=TRUE),'StB-D1 Besondere Lstg'!H53,"")</f>
        <v/>
      </c>
      <c r="D102" s="1246" t="str">
        <f>IF(AND(Projektgrundlagen!$I$21,'StB-D1 Besondere Lstg'!M53=TRUE),'StB-D1 Besondere Lstg'!I53,IF(AND(Projektgrundlagen!$I$22,'HB-D1 Besondere Lstg Land'!M53=TRUE),(IF('HB-D1 Besondere Lstg Land'!H53&gt;0,"v.H.","pauschal")),IF(AND(Projektgrundlagen!$I$23,'HB-D2 Besondere Lstg Bund'!M53=TRUE),(IF('HB-D2 Besondere Lstg Bund'!H53&gt;0,"v.H.","pauschal")),"")))</f>
        <v/>
      </c>
      <c r="E102" s="1246" t="str">
        <f>IF(AND(Projektgrundlagen!$I$21,'StB-D1 Besondere Lstg'!M53=TRUE),'StB-D1 Besondere Lstg'!J53,IF(AND(Projektgrundlagen!$I$22,'HB-D1 Besondere Lstg Land'!M53=TRUE),'HB-D1 Besondere Lstg Land'!H53+'HB-D1 Besondere Lstg Land'!J53,IF(AND(Projektgrundlagen!$I$23,'HB-D2 Besondere Lstg Bund'!M53=TRUE),'HB-D2 Besondere Lstg Bund'!H53+'HB-D2 Besondere Lstg Bund'!J53,"")))</f>
        <v/>
      </c>
      <c r="F102" s="1246" t="str">
        <f>IF(AND(Projektgrundlagen!$I$21,'StB-D1 Besondere Lstg'!M53=TRUE),'StB-D1 Besondere Lstg'!K53,IF(AND(Projektgrundlagen!$I$22,'HB-D1 Besondere Lstg Land'!M53=TRUE),'HB-D1 Besondere Lstg Land'!K53,IF(AND(Projektgrundlagen!$I$23,'HB-D2 Besondere Lstg Bund'!M53=TRUE),'HB-D2 Besondere Lstg Bund'!K53,"")))</f>
        <v/>
      </c>
      <c r="G102" s="1253"/>
      <c r="H102" s="1254"/>
    </row>
    <row r="103" spans="2:8" ht="14.4">
      <c r="B103" t="str">
        <f>IF(AND(Projektgrundlagen!$I$21,'StB-D1 Besondere Lstg'!M54=TRUE),'StB-D1 Besondere Lstg'!C54&amp;" "&amp;'StB-D1 Besondere Lstg'!F54&amp;" "&amp;'StB-D1 Besondere Lstg'!F55,IF(AND(Projektgrundlagen!$I$22,'HB-D1 Besondere Lstg Land'!M54=TRUE),'HB-D1 Besondere Lstg Land'!C54&amp;" "&amp;'HB-D1 Besondere Lstg Land'!F54&amp;" "&amp;'HB-D1 Besondere Lstg Land'!F55,IF(AND(Projektgrundlagen!$I$23,'HB-D2 Besondere Lstg Bund'!M54=TRUE),'HB-D2 Besondere Lstg Bund'!C54&amp;" "&amp;'HB-D2 Besondere Lstg Bund'!F54&amp;" "&amp;'HB-D2 Besondere Lstg Bund'!F55,"")))</f>
        <v/>
      </c>
      <c r="C103" s="1246" t="str">
        <f>IF(AND(Projektgrundlagen!$I$21,'StB-D1 Besondere Lstg'!M54=TRUE),'StB-D1 Besondere Lstg'!H54,"")</f>
        <v/>
      </c>
      <c r="D103" s="1246" t="str">
        <f>IF(AND(Projektgrundlagen!$I$21,'StB-D1 Besondere Lstg'!M54=TRUE),'StB-D1 Besondere Lstg'!I54,IF(AND(Projektgrundlagen!$I$22,'HB-D1 Besondere Lstg Land'!M54=TRUE),(IF('HB-D1 Besondere Lstg Land'!H54&gt;0,"v.H.","pauschal")),IF(AND(Projektgrundlagen!$I$23,'HB-D2 Besondere Lstg Bund'!M54=TRUE),(IF('HB-D2 Besondere Lstg Bund'!H54&gt;0,"v.H.","pauschal")),"")))</f>
        <v/>
      </c>
      <c r="E103" s="1246" t="str">
        <f>IF(AND(Projektgrundlagen!$I$21,'StB-D1 Besondere Lstg'!M54=TRUE),'StB-D1 Besondere Lstg'!J54,IF(AND(Projektgrundlagen!$I$22,'HB-D1 Besondere Lstg Land'!M54=TRUE),'HB-D1 Besondere Lstg Land'!H54+'HB-D1 Besondere Lstg Land'!J54,IF(AND(Projektgrundlagen!$I$23,'HB-D2 Besondere Lstg Bund'!M54=TRUE),'HB-D2 Besondere Lstg Bund'!H54+'HB-D2 Besondere Lstg Bund'!J54,"")))</f>
        <v/>
      </c>
      <c r="F103" s="1246" t="str">
        <f>IF(AND(Projektgrundlagen!$I$21,'StB-D1 Besondere Lstg'!M54=TRUE),'StB-D1 Besondere Lstg'!K54,IF(AND(Projektgrundlagen!$I$22,'HB-D1 Besondere Lstg Land'!M54=TRUE),'HB-D1 Besondere Lstg Land'!K54,IF(AND(Projektgrundlagen!$I$23,'HB-D2 Besondere Lstg Bund'!M54=TRUE),'HB-D2 Besondere Lstg Bund'!K54,"")))</f>
        <v/>
      </c>
      <c r="G103" s="1253"/>
      <c r="H103" s="1254"/>
    </row>
    <row r="104" spans="2:8" ht="14.4">
      <c r="B104" t="str">
        <f>IF(AND(Projektgrundlagen!$I$21,'StB-D1 Besondere Lstg'!M55=TRUE),'StB-D1 Besondere Lstg'!C55&amp;" "&amp;'StB-D1 Besondere Lstg'!F55&amp;" "&amp;'StB-D1 Besondere Lstg'!F56,IF(AND(Projektgrundlagen!$I$22,'HB-D1 Besondere Lstg Land'!M55=TRUE),'HB-D1 Besondere Lstg Land'!C55&amp;" "&amp;'HB-D1 Besondere Lstg Land'!F55&amp;" "&amp;'HB-D1 Besondere Lstg Land'!F56,IF(AND(Projektgrundlagen!$I$23,'HB-D2 Besondere Lstg Bund'!M55=TRUE),'HB-D2 Besondere Lstg Bund'!C55&amp;" "&amp;'HB-D2 Besondere Lstg Bund'!F55&amp;" "&amp;'HB-D2 Besondere Lstg Bund'!F56,"")))</f>
        <v/>
      </c>
      <c r="C104" s="1246" t="str">
        <f>IF(AND(Projektgrundlagen!$I$21,'StB-D1 Besondere Lstg'!M55=TRUE),'StB-D1 Besondere Lstg'!H55,"")</f>
        <v/>
      </c>
      <c r="D104" s="1246" t="str">
        <f>IF(AND(Projektgrundlagen!$I$21,'StB-D1 Besondere Lstg'!M55=TRUE),'StB-D1 Besondere Lstg'!I55,IF(AND(Projektgrundlagen!$I$22,'HB-D1 Besondere Lstg Land'!M55=TRUE),(IF('HB-D1 Besondere Lstg Land'!H55&gt;0,"v.H.","pauschal")),IF(AND(Projektgrundlagen!$I$23,'HB-D2 Besondere Lstg Bund'!M55=TRUE),(IF('HB-D2 Besondere Lstg Bund'!H55&gt;0,"v.H.","pauschal")),"")))</f>
        <v/>
      </c>
      <c r="E104" s="1246" t="str">
        <f>IF(AND(Projektgrundlagen!$I$21,'StB-D1 Besondere Lstg'!M55=TRUE),'StB-D1 Besondere Lstg'!J55,IF(AND(Projektgrundlagen!$I$22,'HB-D1 Besondere Lstg Land'!M55=TRUE),'HB-D1 Besondere Lstg Land'!H55+'HB-D1 Besondere Lstg Land'!J55,IF(AND(Projektgrundlagen!$I$23,'HB-D2 Besondere Lstg Bund'!M55=TRUE),'HB-D2 Besondere Lstg Bund'!H55+'HB-D2 Besondere Lstg Bund'!J55,"")))</f>
        <v/>
      </c>
      <c r="F104" s="1246" t="str">
        <f>IF(AND(Projektgrundlagen!$I$21,'StB-D1 Besondere Lstg'!M55=TRUE),'StB-D1 Besondere Lstg'!K55,IF(AND(Projektgrundlagen!$I$22,'HB-D1 Besondere Lstg Land'!M55=TRUE),'HB-D1 Besondere Lstg Land'!K55,IF(AND(Projektgrundlagen!$I$23,'HB-D2 Besondere Lstg Bund'!M55=TRUE),'HB-D2 Besondere Lstg Bund'!K55,"")))</f>
        <v/>
      </c>
      <c r="G104" s="1253"/>
      <c r="H104" s="1254"/>
    </row>
    <row r="105" spans="2:8" ht="14.4">
      <c r="B105" t="str">
        <f>IF(AND(Projektgrundlagen!$I$21,'StB-D1 Besondere Lstg'!M56=TRUE),'StB-D1 Besondere Lstg'!C56&amp;" "&amp;'StB-D1 Besondere Lstg'!F56&amp;" "&amp;'StB-D1 Besondere Lstg'!F57,IF(AND(Projektgrundlagen!$I$22,'HB-D1 Besondere Lstg Land'!M56=TRUE),'HB-D1 Besondere Lstg Land'!C56&amp;" "&amp;'HB-D1 Besondere Lstg Land'!F56&amp;" "&amp;'HB-D1 Besondere Lstg Land'!F57,IF(AND(Projektgrundlagen!$I$23,'HB-D2 Besondere Lstg Bund'!M56=TRUE),'HB-D2 Besondere Lstg Bund'!C56&amp;" "&amp;'HB-D2 Besondere Lstg Bund'!F56&amp;" "&amp;'HB-D2 Besondere Lstg Bund'!F57,"")))</f>
        <v/>
      </c>
      <c r="C105" s="1246" t="str">
        <f>IF(AND(Projektgrundlagen!$I$21,'StB-D1 Besondere Lstg'!M56=TRUE),'StB-D1 Besondere Lstg'!H56,"")</f>
        <v/>
      </c>
      <c r="D105" s="1246" t="str">
        <f>IF(AND(Projektgrundlagen!$I$21,'StB-D1 Besondere Lstg'!M56=TRUE),'StB-D1 Besondere Lstg'!I56,IF(AND(Projektgrundlagen!$I$22,'HB-D1 Besondere Lstg Land'!M56=TRUE),(IF('HB-D1 Besondere Lstg Land'!H56&gt;0,"v.H.","pauschal")),IF(AND(Projektgrundlagen!$I$23,'HB-D2 Besondere Lstg Bund'!M56=TRUE),(IF('HB-D2 Besondere Lstg Bund'!H56&gt;0,"v.H.","pauschal")),"")))</f>
        <v/>
      </c>
      <c r="E105" s="1246" t="str">
        <f>IF(AND(Projektgrundlagen!$I$21,'StB-D1 Besondere Lstg'!M56=TRUE),'StB-D1 Besondere Lstg'!J56,IF(AND(Projektgrundlagen!$I$22,'HB-D1 Besondere Lstg Land'!M56=TRUE),'HB-D1 Besondere Lstg Land'!H56+'HB-D1 Besondere Lstg Land'!J56,IF(AND(Projektgrundlagen!$I$23,'HB-D2 Besondere Lstg Bund'!M56=TRUE),'HB-D2 Besondere Lstg Bund'!H56+'HB-D2 Besondere Lstg Bund'!J56,"")))</f>
        <v/>
      </c>
      <c r="F105" s="1246" t="str">
        <f>IF(AND(Projektgrundlagen!$I$21,'StB-D1 Besondere Lstg'!M56=TRUE),'StB-D1 Besondere Lstg'!K56,IF(AND(Projektgrundlagen!$I$22,'HB-D1 Besondere Lstg Land'!M56=TRUE),'HB-D1 Besondere Lstg Land'!K56,IF(AND(Projektgrundlagen!$I$23,'HB-D2 Besondere Lstg Bund'!M56=TRUE),'HB-D2 Besondere Lstg Bund'!K56,"")))</f>
        <v/>
      </c>
      <c r="G105" s="1253"/>
      <c r="H105" s="1254"/>
    </row>
    <row r="106" spans="2:8" ht="14.4">
      <c r="B106" t="str">
        <f>IF(AND(Projektgrundlagen!$I$21,'StB-D1 Besondere Lstg'!M57=TRUE),'StB-D1 Besondere Lstg'!C57&amp;" "&amp;'StB-D1 Besondere Lstg'!F57&amp;" "&amp;'StB-D1 Besondere Lstg'!F58,IF(AND(Projektgrundlagen!$I$22,'HB-D1 Besondere Lstg Land'!M57=TRUE),'HB-D1 Besondere Lstg Land'!C57&amp;" "&amp;'HB-D1 Besondere Lstg Land'!F57&amp;" "&amp;'HB-D1 Besondere Lstg Land'!F58,IF(AND(Projektgrundlagen!$I$23,'HB-D2 Besondere Lstg Bund'!M57=TRUE),'HB-D2 Besondere Lstg Bund'!C57&amp;" "&amp;'HB-D2 Besondere Lstg Bund'!F57&amp;" "&amp;'HB-D2 Besondere Lstg Bund'!F58,"")))</f>
        <v/>
      </c>
      <c r="C106" s="1246" t="str">
        <f>IF(AND(Projektgrundlagen!$I$21,'StB-D1 Besondere Lstg'!M57=TRUE),'StB-D1 Besondere Lstg'!H57,"")</f>
        <v/>
      </c>
      <c r="D106" s="1246" t="str">
        <f>IF(AND(Projektgrundlagen!$I$21,'StB-D1 Besondere Lstg'!M57=TRUE),'StB-D1 Besondere Lstg'!I57,IF(AND(Projektgrundlagen!$I$22,'HB-D1 Besondere Lstg Land'!M57=TRUE),(IF('HB-D1 Besondere Lstg Land'!H57&gt;0,"v.H.","pauschal")),IF(AND(Projektgrundlagen!$I$23,'HB-D2 Besondere Lstg Bund'!M57=TRUE),(IF('HB-D2 Besondere Lstg Bund'!H57&gt;0,"v.H.","pauschal")),"")))</f>
        <v/>
      </c>
      <c r="E106" s="1246" t="str">
        <f>IF(AND(Projektgrundlagen!$I$21,'StB-D1 Besondere Lstg'!M57=TRUE),'StB-D1 Besondere Lstg'!J57,IF(AND(Projektgrundlagen!$I$22,'HB-D1 Besondere Lstg Land'!M57=TRUE),'HB-D1 Besondere Lstg Land'!H57+'HB-D1 Besondere Lstg Land'!J57,IF(AND(Projektgrundlagen!$I$23,'HB-D2 Besondere Lstg Bund'!M57=TRUE),'HB-D2 Besondere Lstg Bund'!H57+'HB-D2 Besondere Lstg Bund'!J57,"")))</f>
        <v/>
      </c>
      <c r="F106" s="1246" t="str">
        <f>IF(AND(Projektgrundlagen!$I$21,'StB-D1 Besondere Lstg'!M57=TRUE),'StB-D1 Besondere Lstg'!K57,IF(AND(Projektgrundlagen!$I$22,'HB-D1 Besondere Lstg Land'!M57=TRUE),'HB-D1 Besondere Lstg Land'!K57,IF(AND(Projektgrundlagen!$I$23,'HB-D2 Besondere Lstg Bund'!M57=TRUE),'HB-D2 Besondere Lstg Bund'!K57,"")))</f>
        <v/>
      </c>
      <c r="G106" s="1253"/>
      <c r="H106" s="1254"/>
    </row>
    <row r="107" spans="2:8" ht="14.4">
      <c r="B107" t="str">
        <f>IF(AND(Projektgrundlagen!$I$21,'StB-D1 Besondere Lstg'!M58=TRUE),'StB-D1 Besondere Lstg'!C58&amp;" "&amp;'StB-D1 Besondere Lstg'!F58&amp;" "&amp;'StB-D1 Besondere Lstg'!F59,IF(AND(Projektgrundlagen!$I$22,'HB-D1 Besondere Lstg Land'!M58=TRUE),'HB-D1 Besondere Lstg Land'!C58&amp;" "&amp;'HB-D1 Besondere Lstg Land'!F58&amp;" "&amp;'HB-D1 Besondere Lstg Land'!F59,IF(AND(Projektgrundlagen!$I$23,'HB-D2 Besondere Lstg Bund'!M58=TRUE),'HB-D2 Besondere Lstg Bund'!C58&amp;" "&amp;'HB-D2 Besondere Lstg Bund'!F58&amp;" "&amp;'HB-D2 Besondere Lstg Bund'!F59,"")))</f>
        <v/>
      </c>
      <c r="C107" s="1246" t="str">
        <f>IF(AND(Projektgrundlagen!$I$21,'StB-D1 Besondere Lstg'!M58=TRUE),'StB-D1 Besondere Lstg'!H58,"")</f>
        <v/>
      </c>
      <c r="D107" s="1246" t="str">
        <f>IF(AND(Projektgrundlagen!$I$21,'StB-D1 Besondere Lstg'!M58=TRUE),'StB-D1 Besondere Lstg'!I58,IF(AND(Projektgrundlagen!$I$22,'HB-D1 Besondere Lstg Land'!M58=TRUE),(IF('HB-D1 Besondere Lstg Land'!H58&gt;0,"v.H.","pauschal")),IF(AND(Projektgrundlagen!$I$23,'HB-D2 Besondere Lstg Bund'!M58=TRUE),(IF('HB-D2 Besondere Lstg Bund'!H58&gt;0,"v.H.","pauschal")),"")))</f>
        <v/>
      </c>
      <c r="E107" s="1246" t="str">
        <f>IF(AND(Projektgrundlagen!$I$21,'StB-D1 Besondere Lstg'!M58=TRUE),'StB-D1 Besondere Lstg'!J58,IF(AND(Projektgrundlagen!$I$22,'HB-D1 Besondere Lstg Land'!M58=TRUE),'HB-D1 Besondere Lstg Land'!H58+'HB-D1 Besondere Lstg Land'!J58,IF(AND(Projektgrundlagen!$I$23,'HB-D2 Besondere Lstg Bund'!M58=TRUE),'HB-D2 Besondere Lstg Bund'!H58+'HB-D2 Besondere Lstg Bund'!J58,"")))</f>
        <v/>
      </c>
      <c r="F107" s="1246" t="str">
        <f>IF(AND(Projektgrundlagen!$I$21,'StB-D1 Besondere Lstg'!M58=TRUE),'StB-D1 Besondere Lstg'!K58,IF(AND(Projektgrundlagen!$I$22,'HB-D1 Besondere Lstg Land'!M58=TRUE),'HB-D1 Besondere Lstg Land'!K58,IF(AND(Projektgrundlagen!$I$23,'HB-D2 Besondere Lstg Bund'!M58=TRUE),'HB-D2 Besondere Lstg Bund'!K58,"")))</f>
        <v/>
      </c>
      <c r="G107" s="1253"/>
      <c r="H107" s="1254"/>
    </row>
    <row r="108" spans="2:8" ht="14.4">
      <c r="B108" t="str">
        <f>IF(AND(Projektgrundlagen!$I$21,'StB-D1 Besondere Lstg'!M59=TRUE),'StB-D1 Besondere Lstg'!C59&amp;" "&amp;'StB-D1 Besondere Lstg'!F59&amp;" "&amp;'StB-D1 Besondere Lstg'!F60,IF(AND(Projektgrundlagen!$I$22,'HB-D1 Besondere Lstg Land'!M59=TRUE),'HB-D1 Besondere Lstg Land'!C59&amp;" "&amp;'HB-D1 Besondere Lstg Land'!F59&amp;" "&amp;'HB-D1 Besondere Lstg Land'!F60,IF(AND(Projektgrundlagen!$I$23,'HB-D2 Besondere Lstg Bund'!M59=TRUE),'HB-D2 Besondere Lstg Bund'!C59&amp;" "&amp;'HB-D2 Besondere Lstg Bund'!F59&amp;" "&amp;'HB-D2 Besondere Lstg Bund'!F60,"")))</f>
        <v/>
      </c>
      <c r="C108" s="1246" t="str">
        <f>IF(AND(Projektgrundlagen!$I$21,'StB-D1 Besondere Lstg'!M59=TRUE),'StB-D1 Besondere Lstg'!H59,"")</f>
        <v/>
      </c>
      <c r="D108" s="1246" t="str">
        <f>IF(AND(Projektgrundlagen!$I$21,'StB-D1 Besondere Lstg'!M59=TRUE),'StB-D1 Besondere Lstg'!I59,IF(AND(Projektgrundlagen!$I$22,'HB-D1 Besondere Lstg Land'!M59=TRUE),(IF('HB-D1 Besondere Lstg Land'!H59&gt;0,"v.H.","pauschal")),IF(AND(Projektgrundlagen!$I$23,'HB-D2 Besondere Lstg Bund'!M59=TRUE),(IF('HB-D2 Besondere Lstg Bund'!H59&gt;0,"v.H.","pauschal")),"")))</f>
        <v/>
      </c>
      <c r="E108" s="1246" t="str">
        <f>IF(AND(Projektgrundlagen!$I$21,'StB-D1 Besondere Lstg'!M59=TRUE),'StB-D1 Besondere Lstg'!J59,IF(AND(Projektgrundlagen!$I$22,'HB-D1 Besondere Lstg Land'!M59=TRUE),'HB-D1 Besondere Lstg Land'!H59+'HB-D1 Besondere Lstg Land'!J59,IF(AND(Projektgrundlagen!$I$23,'HB-D2 Besondere Lstg Bund'!M59=TRUE),'HB-D2 Besondere Lstg Bund'!H59+'HB-D2 Besondere Lstg Bund'!J59,"")))</f>
        <v/>
      </c>
      <c r="F108" s="1246" t="str">
        <f>IF(AND(Projektgrundlagen!$I$21,'StB-D1 Besondere Lstg'!M59=TRUE),'StB-D1 Besondere Lstg'!K59,IF(AND(Projektgrundlagen!$I$22,'HB-D1 Besondere Lstg Land'!M59=TRUE),'HB-D1 Besondere Lstg Land'!K59,IF(AND(Projektgrundlagen!$I$23,'HB-D2 Besondere Lstg Bund'!M59=TRUE),'HB-D2 Besondere Lstg Bund'!K59,"")))</f>
        <v/>
      </c>
      <c r="G108" s="1253"/>
      <c r="H108" s="1254"/>
    </row>
    <row r="109" spans="2:8" ht="14.4">
      <c r="B109" t="str">
        <f>IF(AND(Projektgrundlagen!$I$21,'StB-D1 Besondere Lstg'!M60=TRUE),'StB-D1 Besondere Lstg'!C60&amp;" "&amp;'StB-D1 Besondere Lstg'!F60&amp;" "&amp;'StB-D1 Besondere Lstg'!F61,IF(AND(Projektgrundlagen!$I$22,'HB-D1 Besondere Lstg Land'!M60=TRUE),'HB-D1 Besondere Lstg Land'!C60&amp;" "&amp;'HB-D1 Besondere Lstg Land'!F60&amp;" "&amp;'HB-D1 Besondere Lstg Land'!F61,IF(AND(Projektgrundlagen!$I$23,'HB-D2 Besondere Lstg Bund'!M60=TRUE),'HB-D2 Besondere Lstg Bund'!C60&amp;" "&amp;'HB-D2 Besondere Lstg Bund'!F60&amp;" "&amp;'HB-D2 Besondere Lstg Bund'!F61,"")))</f>
        <v/>
      </c>
      <c r="C109" s="1246" t="str">
        <f>IF(AND(Projektgrundlagen!$I$21,'StB-D1 Besondere Lstg'!M60=TRUE),'StB-D1 Besondere Lstg'!H60,"")</f>
        <v/>
      </c>
      <c r="D109" s="1246" t="str">
        <f>IF(AND(Projektgrundlagen!$I$21,'StB-D1 Besondere Lstg'!M60=TRUE),'StB-D1 Besondere Lstg'!I60,IF(AND(Projektgrundlagen!$I$22,'HB-D1 Besondere Lstg Land'!M60=TRUE),(IF('HB-D1 Besondere Lstg Land'!H60&gt;0,"v.H.","pauschal")),IF(AND(Projektgrundlagen!$I$23,'HB-D2 Besondere Lstg Bund'!M60=TRUE),(IF('HB-D2 Besondere Lstg Bund'!H60&gt;0,"v.H.","pauschal")),"")))</f>
        <v/>
      </c>
      <c r="E109" s="1246" t="str">
        <f>IF(AND(Projektgrundlagen!$I$21,'StB-D1 Besondere Lstg'!M60=TRUE),'StB-D1 Besondere Lstg'!J60,IF(AND(Projektgrundlagen!$I$22,'HB-D1 Besondere Lstg Land'!M60=TRUE),'HB-D1 Besondere Lstg Land'!H60+'HB-D1 Besondere Lstg Land'!J60,IF(AND(Projektgrundlagen!$I$23,'HB-D2 Besondere Lstg Bund'!M60=TRUE),'HB-D2 Besondere Lstg Bund'!H60+'HB-D2 Besondere Lstg Bund'!J60,"")))</f>
        <v/>
      </c>
      <c r="F109" s="1246" t="str">
        <f>IF(AND(Projektgrundlagen!$I$21,'StB-D1 Besondere Lstg'!M60=TRUE),'StB-D1 Besondere Lstg'!K60,IF(AND(Projektgrundlagen!$I$22,'HB-D1 Besondere Lstg Land'!M60=TRUE),'HB-D1 Besondere Lstg Land'!K60,IF(AND(Projektgrundlagen!$I$23,'HB-D2 Besondere Lstg Bund'!M60=TRUE),'HB-D2 Besondere Lstg Bund'!K60,"")))</f>
        <v/>
      </c>
      <c r="G109" s="1253"/>
      <c r="H109" s="1254"/>
    </row>
    <row r="110" spans="2:8" ht="14.4">
      <c r="B110" t="str">
        <f>IF(AND(Projektgrundlagen!$I$21,'StB-D1 Besondere Lstg'!M61=TRUE),'StB-D1 Besondere Lstg'!C61&amp;" "&amp;'StB-D1 Besondere Lstg'!F61&amp;" "&amp;'StB-D1 Besondere Lstg'!F62,IF(AND(Projektgrundlagen!$I$22,'HB-D1 Besondere Lstg Land'!M61=TRUE),'HB-D1 Besondere Lstg Land'!C61&amp;" "&amp;'HB-D1 Besondere Lstg Land'!F61&amp;" "&amp;'HB-D1 Besondere Lstg Land'!F62,IF(AND(Projektgrundlagen!$I$23,'HB-D2 Besondere Lstg Bund'!M61=TRUE),'HB-D2 Besondere Lstg Bund'!C61&amp;" "&amp;'HB-D2 Besondere Lstg Bund'!F61&amp;" "&amp;'HB-D2 Besondere Lstg Bund'!F62,"")))</f>
        <v/>
      </c>
      <c r="C110" s="1246" t="str">
        <f>IF(AND(Projektgrundlagen!$I$21,'StB-D1 Besondere Lstg'!M61=TRUE),'StB-D1 Besondere Lstg'!H61,"")</f>
        <v/>
      </c>
      <c r="D110" s="1246" t="str">
        <f>IF(AND(Projektgrundlagen!$I$21,'StB-D1 Besondere Lstg'!M61=TRUE),'StB-D1 Besondere Lstg'!I61,IF(AND(Projektgrundlagen!$I$22,'HB-D1 Besondere Lstg Land'!M61=TRUE),(IF('HB-D1 Besondere Lstg Land'!H61&gt;0,"v.H.","pauschal")),IF(AND(Projektgrundlagen!$I$23,'HB-D2 Besondere Lstg Bund'!M61=TRUE),(IF('HB-D2 Besondere Lstg Bund'!H61&gt;0,"v.H.","pauschal")),"")))</f>
        <v/>
      </c>
      <c r="E110" s="1246" t="str">
        <f>IF(AND(Projektgrundlagen!$I$21,'StB-D1 Besondere Lstg'!M61=TRUE),'StB-D1 Besondere Lstg'!J61,IF(AND(Projektgrundlagen!$I$22,'HB-D1 Besondere Lstg Land'!M61=TRUE),'HB-D1 Besondere Lstg Land'!H61+'HB-D1 Besondere Lstg Land'!J61,IF(AND(Projektgrundlagen!$I$23,'HB-D2 Besondere Lstg Bund'!M61=TRUE),'HB-D2 Besondere Lstg Bund'!H61+'HB-D2 Besondere Lstg Bund'!J61,"")))</f>
        <v/>
      </c>
      <c r="F110" s="1246" t="str">
        <f>IF(AND(Projektgrundlagen!$I$21,'StB-D1 Besondere Lstg'!M61=TRUE),'StB-D1 Besondere Lstg'!K61,IF(AND(Projektgrundlagen!$I$22,'HB-D1 Besondere Lstg Land'!M61=TRUE),'HB-D1 Besondere Lstg Land'!K61,IF(AND(Projektgrundlagen!$I$23,'HB-D2 Besondere Lstg Bund'!M61=TRUE),'HB-D2 Besondere Lstg Bund'!K61,"")))</f>
        <v/>
      </c>
      <c r="G110" s="1253"/>
      <c r="H110" s="1254"/>
    </row>
    <row r="111" spans="2:8" ht="14.4">
      <c r="B111" t="str">
        <f>IF(AND(Projektgrundlagen!$I$21,'StB-D1 Besondere Lstg'!M62=TRUE),'StB-D1 Besondere Lstg'!C62&amp;" "&amp;'StB-D1 Besondere Lstg'!F62&amp;" "&amp;'StB-D1 Besondere Lstg'!F63,IF(AND(Projektgrundlagen!$I$22,'HB-D1 Besondere Lstg Land'!M62=TRUE),'HB-D1 Besondere Lstg Land'!C62&amp;" "&amp;'HB-D1 Besondere Lstg Land'!F62&amp;" "&amp;'HB-D1 Besondere Lstg Land'!F63,IF(AND(Projektgrundlagen!$I$23,'HB-D2 Besondere Lstg Bund'!M62=TRUE),'HB-D2 Besondere Lstg Bund'!C62&amp;" "&amp;'HB-D2 Besondere Lstg Bund'!F62&amp;" "&amp;'HB-D2 Besondere Lstg Bund'!F63,"")))</f>
        <v/>
      </c>
      <c r="C111" s="1246" t="str">
        <f>IF(AND(Projektgrundlagen!$I$21,'StB-D1 Besondere Lstg'!M62=TRUE),'StB-D1 Besondere Lstg'!H62,"")</f>
        <v/>
      </c>
      <c r="D111" s="1246" t="str">
        <f>IF(AND(Projektgrundlagen!$I$21,'StB-D1 Besondere Lstg'!M62=TRUE),'StB-D1 Besondere Lstg'!I62,IF(AND(Projektgrundlagen!$I$22,'HB-D1 Besondere Lstg Land'!M62=TRUE),(IF('HB-D1 Besondere Lstg Land'!H62&gt;0,"v.H.","pauschal")),IF(AND(Projektgrundlagen!$I$23,'HB-D2 Besondere Lstg Bund'!M62=TRUE),(IF('HB-D2 Besondere Lstg Bund'!H62&gt;0,"v.H.","pauschal")),"")))</f>
        <v/>
      </c>
      <c r="E111" s="1246" t="str">
        <f>IF(AND(Projektgrundlagen!$I$21,'StB-D1 Besondere Lstg'!M62=TRUE),'StB-D1 Besondere Lstg'!J62,IF(AND(Projektgrundlagen!$I$22,'HB-D1 Besondere Lstg Land'!M62=TRUE),'HB-D1 Besondere Lstg Land'!H62+'HB-D1 Besondere Lstg Land'!J62,IF(AND(Projektgrundlagen!$I$23,'HB-D2 Besondere Lstg Bund'!M62=TRUE),'HB-D2 Besondere Lstg Bund'!H62+'HB-D2 Besondere Lstg Bund'!J62,"")))</f>
        <v/>
      </c>
      <c r="F111" s="1246" t="str">
        <f>IF(AND(Projektgrundlagen!$I$21,'StB-D1 Besondere Lstg'!M62=TRUE),'StB-D1 Besondere Lstg'!K62,IF(AND(Projektgrundlagen!$I$22,'HB-D1 Besondere Lstg Land'!M62=TRUE),'HB-D1 Besondere Lstg Land'!K62,IF(AND(Projektgrundlagen!$I$23,'HB-D2 Besondere Lstg Bund'!M62=TRUE),'HB-D2 Besondere Lstg Bund'!K62,"")))</f>
        <v/>
      </c>
      <c r="G111" s="1253"/>
      <c r="H111" s="1254"/>
    </row>
    <row r="112" spans="2:8" ht="14.4">
      <c r="B112" t="str">
        <f>IF(AND(Projektgrundlagen!$I$21,'StB-D1 Besondere Lstg'!M63=TRUE),'StB-D1 Besondere Lstg'!C63&amp;" "&amp;'StB-D1 Besondere Lstg'!F63&amp;" "&amp;'StB-D1 Besondere Lstg'!F64,IF(AND(Projektgrundlagen!$I$22,'HB-D1 Besondere Lstg Land'!M63=TRUE),'HB-D1 Besondere Lstg Land'!C63&amp;" "&amp;'HB-D1 Besondere Lstg Land'!F63&amp;" "&amp;'HB-D1 Besondere Lstg Land'!F64,IF(AND(Projektgrundlagen!$I$23,'HB-D2 Besondere Lstg Bund'!M63=TRUE),'HB-D2 Besondere Lstg Bund'!C63&amp;" "&amp;'HB-D2 Besondere Lstg Bund'!F63&amp;" "&amp;'HB-D2 Besondere Lstg Bund'!F64,"")))</f>
        <v/>
      </c>
      <c r="C112" s="1246" t="str">
        <f>IF(AND(Projektgrundlagen!$I$21,'StB-D1 Besondere Lstg'!M63=TRUE),'StB-D1 Besondere Lstg'!H63,"")</f>
        <v/>
      </c>
      <c r="D112" s="1246" t="str">
        <f>IF(AND(Projektgrundlagen!$I$21,'StB-D1 Besondere Lstg'!M63=TRUE),'StB-D1 Besondere Lstg'!I63,IF(AND(Projektgrundlagen!$I$22,'HB-D1 Besondere Lstg Land'!M63=TRUE),(IF('HB-D1 Besondere Lstg Land'!H63&gt;0,"v.H.","pauschal")),IF(AND(Projektgrundlagen!$I$23,'HB-D2 Besondere Lstg Bund'!M63=TRUE),(IF('HB-D2 Besondere Lstg Bund'!H63&gt;0,"v.H.","pauschal")),"")))</f>
        <v/>
      </c>
      <c r="E112" s="1246" t="str">
        <f>IF(AND(Projektgrundlagen!$I$21,'StB-D1 Besondere Lstg'!M63=TRUE),'StB-D1 Besondere Lstg'!J63,IF(AND(Projektgrundlagen!$I$22,'HB-D1 Besondere Lstg Land'!M63=TRUE),'HB-D1 Besondere Lstg Land'!H63+'HB-D1 Besondere Lstg Land'!J63,IF(AND(Projektgrundlagen!$I$23,'HB-D2 Besondere Lstg Bund'!M63=TRUE),'HB-D2 Besondere Lstg Bund'!H63+'HB-D2 Besondere Lstg Bund'!J63,"")))</f>
        <v/>
      </c>
      <c r="F112" s="1246" t="str">
        <f>IF(AND(Projektgrundlagen!$I$21,'StB-D1 Besondere Lstg'!M63=TRUE),'StB-D1 Besondere Lstg'!K63,IF(AND(Projektgrundlagen!$I$22,'HB-D1 Besondere Lstg Land'!M63=TRUE),'HB-D1 Besondere Lstg Land'!K63,IF(AND(Projektgrundlagen!$I$23,'HB-D2 Besondere Lstg Bund'!M63=TRUE),'HB-D2 Besondere Lstg Bund'!K63,"")))</f>
        <v/>
      </c>
      <c r="G112" s="1253"/>
      <c r="H112" s="1254"/>
    </row>
    <row r="113" spans="2:8" ht="14.4">
      <c r="B113" t="str">
        <f>IF(AND(Projektgrundlagen!$I$21,'StB-D1 Besondere Lstg'!M64=TRUE),'StB-D1 Besondere Lstg'!C64&amp;" "&amp;'StB-D1 Besondere Lstg'!F64&amp;" "&amp;'StB-D1 Besondere Lstg'!F65,IF(AND(Projektgrundlagen!$I$22,'HB-D1 Besondere Lstg Land'!M64=TRUE),'HB-D1 Besondere Lstg Land'!C64&amp;" "&amp;'HB-D1 Besondere Lstg Land'!F64&amp;" "&amp;'HB-D1 Besondere Lstg Land'!F65,IF(AND(Projektgrundlagen!$I$23,'HB-D2 Besondere Lstg Bund'!M64=TRUE),'HB-D2 Besondere Lstg Bund'!C64&amp;" "&amp;'HB-D2 Besondere Lstg Bund'!F64&amp;" "&amp;'HB-D2 Besondere Lstg Bund'!F65,"")))</f>
        <v/>
      </c>
      <c r="C113" s="1246" t="str">
        <f>IF(AND(Projektgrundlagen!$I$21,'StB-D1 Besondere Lstg'!M64=TRUE),'StB-D1 Besondere Lstg'!H64,"")</f>
        <v/>
      </c>
      <c r="D113" s="1246" t="str">
        <f>IF(AND(Projektgrundlagen!$I$21,'StB-D1 Besondere Lstg'!M64=TRUE),'StB-D1 Besondere Lstg'!I64,IF(AND(Projektgrundlagen!$I$22,'HB-D1 Besondere Lstg Land'!M64=TRUE),(IF('HB-D1 Besondere Lstg Land'!H64&gt;0,"v.H.","pauschal")),IF(AND(Projektgrundlagen!$I$23,'HB-D2 Besondere Lstg Bund'!M64=TRUE),(IF('HB-D2 Besondere Lstg Bund'!H64&gt;0,"v.H.","pauschal")),"")))</f>
        <v/>
      </c>
      <c r="E113" s="1246" t="str">
        <f>IF(AND(Projektgrundlagen!$I$21,'StB-D1 Besondere Lstg'!M64=TRUE),'StB-D1 Besondere Lstg'!J64,IF(AND(Projektgrundlagen!$I$22,'HB-D1 Besondere Lstg Land'!M64=TRUE),'HB-D1 Besondere Lstg Land'!H64+'HB-D1 Besondere Lstg Land'!J64,IF(AND(Projektgrundlagen!$I$23,'HB-D2 Besondere Lstg Bund'!M64=TRUE),'HB-D2 Besondere Lstg Bund'!H64+'HB-D2 Besondere Lstg Bund'!J64,"")))</f>
        <v/>
      </c>
      <c r="F113" s="1246" t="str">
        <f>IF(AND(Projektgrundlagen!$I$21,'StB-D1 Besondere Lstg'!M64=TRUE),'StB-D1 Besondere Lstg'!K64,IF(AND(Projektgrundlagen!$I$22,'HB-D1 Besondere Lstg Land'!M64=TRUE),'HB-D1 Besondere Lstg Land'!K64,IF(AND(Projektgrundlagen!$I$23,'HB-D2 Besondere Lstg Bund'!M64=TRUE),'HB-D2 Besondere Lstg Bund'!K64,"")))</f>
        <v/>
      </c>
      <c r="G113" s="1253"/>
      <c r="H113" s="1254"/>
    </row>
    <row r="114" spans="2:8" ht="14.4">
      <c r="B114" t="str">
        <f>IF(AND(Projektgrundlagen!$I$21,'StB-D1 Besondere Lstg'!M65=TRUE),'StB-D1 Besondere Lstg'!C65&amp;" "&amp;'StB-D1 Besondere Lstg'!F65&amp;" "&amp;'StB-D1 Besondere Lstg'!F66,IF(AND(Projektgrundlagen!$I$22,'HB-D1 Besondere Lstg Land'!M65=TRUE),'HB-D1 Besondere Lstg Land'!C65&amp;" "&amp;'HB-D1 Besondere Lstg Land'!F65&amp;" "&amp;'HB-D1 Besondere Lstg Land'!F66,IF(AND(Projektgrundlagen!$I$23,'HB-D2 Besondere Lstg Bund'!M65=TRUE),'HB-D2 Besondere Lstg Bund'!C65&amp;" "&amp;'HB-D2 Besondere Lstg Bund'!F65&amp;" "&amp;'HB-D2 Besondere Lstg Bund'!F66,"")))</f>
        <v/>
      </c>
      <c r="C114" s="1246" t="str">
        <f>IF(AND(Projektgrundlagen!$I$21,'StB-D1 Besondere Lstg'!M65=TRUE),'StB-D1 Besondere Lstg'!H65,"")</f>
        <v/>
      </c>
      <c r="D114" s="1246" t="str">
        <f>IF(AND(Projektgrundlagen!$I$21,'StB-D1 Besondere Lstg'!M65=TRUE),'StB-D1 Besondere Lstg'!I65,IF(AND(Projektgrundlagen!$I$22,'HB-D1 Besondere Lstg Land'!M65=TRUE),(IF('HB-D1 Besondere Lstg Land'!H65&gt;0,"v.H.","pauschal")),IF(AND(Projektgrundlagen!$I$23,'HB-D2 Besondere Lstg Bund'!M65=TRUE),(IF('HB-D2 Besondere Lstg Bund'!H65&gt;0,"v.H.","pauschal")),"")))</f>
        <v/>
      </c>
      <c r="E114" s="1246" t="str">
        <f>IF(AND(Projektgrundlagen!$I$21,'StB-D1 Besondere Lstg'!M65=TRUE),'StB-D1 Besondere Lstg'!J65,IF(AND(Projektgrundlagen!$I$22,'HB-D1 Besondere Lstg Land'!M65=TRUE),'HB-D1 Besondere Lstg Land'!H65+'HB-D1 Besondere Lstg Land'!J65,IF(AND(Projektgrundlagen!$I$23,'HB-D2 Besondere Lstg Bund'!M65=TRUE),'HB-D2 Besondere Lstg Bund'!H65+'HB-D2 Besondere Lstg Bund'!J65,"")))</f>
        <v/>
      </c>
      <c r="F114" s="1246" t="str">
        <f>IF(AND(Projektgrundlagen!$I$21,'StB-D1 Besondere Lstg'!M65=TRUE),'StB-D1 Besondere Lstg'!K65,IF(AND(Projektgrundlagen!$I$22,'HB-D1 Besondere Lstg Land'!M65=TRUE),'HB-D1 Besondere Lstg Land'!K65,IF(AND(Projektgrundlagen!$I$23,'HB-D2 Besondere Lstg Bund'!M65=TRUE),'HB-D2 Besondere Lstg Bund'!K65,"")))</f>
        <v/>
      </c>
      <c r="G114" s="1253"/>
      <c r="H114" s="1254"/>
    </row>
    <row r="115" spans="2:8" ht="14.4">
      <c r="B115" t="str">
        <f>IF(AND(Projektgrundlagen!$I$21,'StB-D1 Besondere Lstg'!M66=TRUE),'StB-D1 Besondere Lstg'!C66&amp;" "&amp;'StB-D1 Besondere Lstg'!F66&amp;" "&amp;'StB-D1 Besondere Lstg'!F67,IF(AND(Projektgrundlagen!$I$22,'HB-D1 Besondere Lstg Land'!M66=TRUE),'HB-D1 Besondere Lstg Land'!C66&amp;" "&amp;'HB-D1 Besondere Lstg Land'!F66&amp;" "&amp;'HB-D1 Besondere Lstg Land'!F67,IF(AND(Projektgrundlagen!$I$23,'HB-D2 Besondere Lstg Bund'!M66=TRUE),'HB-D2 Besondere Lstg Bund'!C66&amp;" "&amp;'HB-D2 Besondere Lstg Bund'!F66&amp;" "&amp;'HB-D2 Besondere Lstg Bund'!F67,"")))</f>
        <v/>
      </c>
      <c r="C115" s="1246" t="str">
        <f>IF(AND(Projektgrundlagen!$I$21,'StB-D1 Besondere Lstg'!M66=TRUE),'StB-D1 Besondere Lstg'!H66,"")</f>
        <v/>
      </c>
      <c r="D115" s="1246" t="str">
        <f>IF(AND(Projektgrundlagen!$I$21,'StB-D1 Besondere Lstg'!M66=TRUE),'StB-D1 Besondere Lstg'!I66,IF(AND(Projektgrundlagen!$I$22,'HB-D1 Besondere Lstg Land'!M66=TRUE),(IF('HB-D1 Besondere Lstg Land'!H66&gt;0,"v.H.","pauschal")),IF(AND(Projektgrundlagen!$I$23,'HB-D2 Besondere Lstg Bund'!M66=TRUE),(IF('HB-D2 Besondere Lstg Bund'!H66&gt;0,"v.H.","pauschal")),"")))</f>
        <v/>
      </c>
      <c r="E115" s="1246" t="str">
        <f>IF(AND(Projektgrundlagen!$I$21,'StB-D1 Besondere Lstg'!M66=TRUE),'StB-D1 Besondere Lstg'!J66,IF(AND(Projektgrundlagen!$I$22,'HB-D1 Besondere Lstg Land'!M66=TRUE),'HB-D1 Besondere Lstg Land'!H66+'HB-D1 Besondere Lstg Land'!J66,IF(AND(Projektgrundlagen!$I$23,'HB-D2 Besondere Lstg Bund'!M66=TRUE),'HB-D2 Besondere Lstg Bund'!H66+'HB-D2 Besondere Lstg Bund'!J66,"")))</f>
        <v/>
      </c>
      <c r="F115" s="1246" t="str">
        <f>IF(AND(Projektgrundlagen!$I$21,'StB-D1 Besondere Lstg'!M66=TRUE),'StB-D1 Besondere Lstg'!K66,IF(AND(Projektgrundlagen!$I$22,'HB-D1 Besondere Lstg Land'!M66=TRUE),'HB-D1 Besondere Lstg Land'!K66,IF(AND(Projektgrundlagen!$I$23,'HB-D2 Besondere Lstg Bund'!M66=TRUE),'HB-D2 Besondere Lstg Bund'!K66,"")))</f>
        <v/>
      </c>
      <c r="G115" s="1253"/>
      <c r="H115" s="1254"/>
    </row>
    <row r="116" spans="2:8" ht="14.4">
      <c r="B116" t="str">
        <f>IF(AND(Projektgrundlagen!$I$21,'StB-D1 Besondere Lstg'!M67=TRUE),'StB-D1 Besondere Lstg'!C67&amp;" "&amp;'StB-D1 Besondere Lstg'!F67&amp;" "&amp;'StB-D1 Besondere Lstg'!F68,IF(AND(Projektgrundlagen!$I$22,'HB-D1 Besondere Lstg Land'!M67=TRUE),'HB-D1 Besondere Lstg Land'!C67&amp;" "&amp;'HB-D1 Besondere Lstg Land'!F67&amp;" "&amp;'HB-D1 Besondere Lstg Land'!F68,IF(AND(Projektgrundlagen!$I$23,'HB-D2 Besondere Lstg Bund'!M67=TRUE),'HB-D2 Besondere Lstg Bund'!C67&amp;" "&amp;'HB-D2 Besondere Lstg Bund'!F67&amp;" "&amp;'HB-D2 Besondere Lstg Bund'!F68,"")))</f>
        <v/>
      </c>
      <c r="C116" s="1246" t="str">
        <f>IF(AND(Projektgrundlagen!$I$21,'StB-D1 Besondere Lstg'!M67=TRUE),'StB-D1 Besondere Lstg'!H67,"")</f>
        <v/>
      </c>
      <c r="D116" s="1246" t="str">
        <f>IF(AND(Projektgrundlagen!$I$21,'StB-D1 Besondere Lstg'!M67=TRUE),'StB-D1 Besondere Lstg'!I67,IF(AND(Projektgrundlagen!$I$22,'HB-D1 Besondere Lstg Land'!M67=TRUE),(IF('HB-D1 Besondere Lstg Land'!H67&gt;0,"v.H.","pauschal")),IF(AND(Projektgrundlagen!$I$23,'HB-D2 Besondere Lstg Bund'!M67=TRUE),(IF('HB-D2 Besondere Lstg Bund'!H67&gt;0,"v.H.","pauschal")),"")))</f>
        <v/>
      </c>
      <c r="E116" s="1246" t="str">
        <f>IF(AND(Projektgrundlagen!$I$21,'StB-D1 Besondere Lstg'!M67=TRUE),'StB-D1 Besondere Lstg'!J67,IF(AND(Projektgrundlagen!$I$22,'HB-D1 Besondere Lstg Land'!M67=TRUE),'HB-D1 Besondere Lstg Land'!H67+'HB-D1 Besondere Lstg Land'!J67,IF(AND(Projektgrundlagen!$I$23,'HB-D2 Besondere Lstg Bund'!M67=TRUE),'HB-D2 Besondere Lstg Bund'!H67+'HB-D2 Besondere Lstg Bund'!J67,"")))</f>
        <v/>
      </c>
      <c r="F116" s="1246" t="str">
        <f>IF(AND(Projektgrundlagen!$I$21,'StB-D1 Besondere Lstg'!M67=TRUE),'StB-D1 Besondere Lstg'!K67,IF(AND(Projektgrundlagen!$I$22,'HB-D1 Besondere Lstg Land'!M67=TRUE),'HB-D1 Besondere Lstg Land'!K67,IF(AND(Projektgrundlagen!$I$23,'HB-D2 Besondere Lstg Bund'!M67=TRUE),'HB-D2 Besondere Lstg Bund'!K67,"")))</f>
        <v/>
      </c>
      <c r="G116" s="1253"/>
      <c r="H116" s="1254"/>
    </row>
    <row r="117" spans="2:8" ht="14.4">
      <c r="B117" t="str">
        <f>IF(AND(Projektgrundlagen!$I$21,'StB-D1 Besondere Lstg'!M68=TRUE),'StB-D1 Besondere Lstg'!C68&amp;" "&amp;'StB-D1 Besondere Lstg'!F68&amp;" "&amp;'StB-D1 Besondere Lstg'!F69,IF(AND(Projektgrundlagen!$I$22,'HB-D1 Besondere Lstg Land'!M68=TRUE),'HB-D1 Besondere Lstg Land'!C68&amp;" "&amp;'HB-D1 Besondere Lstg Land'!F68&amp;" "&amp;'HB-D1 Besondere Lstg Land'!F69,IF(AND(Projektgrundlagen!$I$23,'HB-D2 Besondere Lstg Bund'!M68=TRUE),'HB-D2 Besondere Lstg Bund'!C68&amp;" "&amp;'HB-D2 Besondere Lstg Bund'!F68&amp;" "&amp;'HB-D2 Besondere Lstg Bund'!F69,"")))</f>
        <v/>
      </c>
      <c r="C117" s="1246" t="str">
        <f>IF(AND(Projektgrundlagen!$I$21,'StB-D1 Besondere Lstg'!M68=TRUE),'StB-D1 Besondere Lstg'!H68,"")</f>
        <v/>
      </c>
      <c r="D117" s="1246" t="str">
        <f>IF(AND(Projektgrundlagen!$I$21,'StB-D1 Besondere Lstg'!M68=TRUE),'StB-D1 Besondere Lstg'!I68,IF(AND(Projektgrundlagen!$I$22,'HB-D1 Besondere Lstg Land'!M68=TRUE),(IF('HB-D1 Besondere Lstg Land'!H68&gt;0,"v.H.","pauschal")),IF(AND(Projektgrundlagen!$I$23,'HB-D2 Besondere Lstg Bund'!M68=TRUE),(IF('HB-D2 Besondere Lstg Bund'!H68&gt;0,"v.H.","pauschal")),"")))</f>
        <v/>
      </c>
      <c r="E117" s="1246" t="str">
        <f>IF(AND(Projektgrundlagen!$I$21,'StB-D1 Besondere Lstg'!M68=TRUE),'StB-D1 Besondere Lstg'!J68,IF(AND(Projektgrundlagen!$I$22,'HB-D1 Besondere Lstg Land'!M68=TRUE),'HB-D1 Besondere Lstg Land'!H68+'HB-D1 Besondere Lstg Land'!J68,IF(AND(Projektgrundlagen!$I$23,'HB-D2 Besondere Lstg Bund'!M68=TRUE),'HB-D2 Besondere Lstg Bund'!H68+'HB-D2 Besondere Lstg Bund'!J68,"")))</f>
        <v/>
      </c>
      <c r="F117" s="1246" t="str">
        <f>IF(AND(Projektgrundlagen!$I$21,'StB-D1 Besondere Lstg'!M68=TRUE),'StB-D1 Besondere Lstg'!K68,IF(AND(Projektgrundlagen!$I$22,'HB-D1 Besondere Lstg Land'!M68=TRUE),'HB-D1 Besondere Lstg Land'!K68,IF(AND(Projektgrundlagen!$I$23,'HB-D2 Besondere Lstg Bund'!M68=TRUE),'HB-D2 Besondere Lstg Bund'!K68,"")))</f>
        <v/>
      </c>
      <c r="G117" s="1253"/>
      <c r="H117" s="1254"/>
    </row>
    <row r="118" spans="2:8" ht="14.4">
      <c r="B118" t="str">
        <f>IF(AND(Projektgrundlagen!$I$21,'StB-D1 Besondere Lstg'!M69=TRUE),'StB-D1 Besondere Lstg'!C69&amp;" "&amp;'StB-D1 Besondere Lstg'!F69&amp;" "&amp;'StB-D1 Besondere Lstg'!F70,IF(AND(Projektgrundlagen!$I$22,'HB-D1 Besondere Lstg Land'!M69=TRUE),'HB-D1 Besondere Lstg Land'!C69&amp;" "&amp;'HB-D1 Besondere Lstg Land'!F69&amp;" "&amp;'HB-D1 Besondere Lstg Land'!F70,IF(AND(Projektgrundlagen!$I$23,'HB-D2 Besondere Lstg Bund'!M69=TRUE),'HB-D2 Besondere Lstg Bund'!C69&amp;" "&amp;'HB-D2 Besondere Lstg Bund'!F69&amp;" "&amp;'HB-D2 Besondere Lstg Bund'!F70,"")))</f>
        <v/>
      </c>
      <c r="C118" s="1246" t="str">
        <f>IF(AND(Projektgrundlagen!$I$21,'StB-D1 Besondere Lstg'!M69=TRUE),'StB-D1 Besondere Lstg'!H69,"")</f>
        <v/>
      </c>
      <c r="D118" s="1246" t="str">
        <f>IF(AND(Projektgrundlagen!$I$21,'StB-D1 Besondere Lstg'!M69=TRUE),'StB-D1 Besondere Lstg'!I69,IF(AND(Projektgrundlagen!$I$22,'HB-D1 Besondere Lstg Land'!M69=TRUE),(IF('HB-D1 Besondere Lstg Land'!H69&gt;0,"v.H.","pauschal")),IF(AND(Projektgrundlagen!$I$23,'HB-D2 Besondere Lstg Bund'!M69=TRUE),(IF('HB-D2 Besondere Lstg Bund'!H69&gt;0,"v.H.","pauschal")),"")))</f>
        <v/>
      </c>
      <c r="E118" s="1246" t="str">
        <f>IF(AND(Projektgrundlagen!$I$21,'StB-D1 Besondere Lstg'!M69=TRUE),'StB-D1 Besondere Lstg'!J69,IF(AND(Projektgrundlagen!$I$22,'HB-D1 Besondere Lstg Land'!M69=TRUE),'HB-D1 Besondere Lstg Land'!H69+'HB-D1 Besondere Lstg Land'!J69,IF(AND(Projektgrundlagen!$I$23,'HB-D2 Besondere Lstg Bund'!M69=TRUE),'HB-D2 Besondere Lstg Bund'!H69+'HB-D2 Besondere Lstg Bund'!J69,"")))</f>
        <v/>
      </c>
      <c r="F118" s="1246" t="str">
        <f>IF(AND(Projektgrundlagen!$I$21,'StB-D1 Besondere Lstg'!M69=TRUE),'StB-D1 Besondere Lstg'!K69,IF(AND(Projektgrundlagen!$I$22,'HB-D1 Besondere Lstg Land'!M69=TRUE),'HB-D1 Besondere Lstg Land'!K69,IF(AND(Projektgrundlagen!$I$23,'HB-D2 Besondere Lstg Bund'!M69=TRUE),'HB-D2 Besondere Lstg Bund'!K69,"")))</f>
        <v/>
      </c>
      <c r="G118" s="1253"/>
      <c r="H118" s="1254"/>
    </row>
    <row r="119" spans="2:8" ht="14.4">
      <c r="B119" t="str">
        <f>IF(AND(Projektgrundlagen!$I$21,'StB-D1 Besondere Lstg'!M70=TRUE),'StB-D1 Besondere Lstg'!C70&amp;" "&amp;'StB-D1 Besondere Lstg'!F70&amp;" "&amp;'StB-D1 Besondere Lstg'!F71,IF(AND(Projektgrundlagen!$I$22,'HB-D1 Besondere Lstg Land'!M70=TRUE),'HB-D1 Besondere Lstg Land'!C70&amp;" "&amp;'HB-D1 Besondere Lstg Land'!F70&amp;" "&amp;'HB-D1 Besondere Lstg Land'!F71,IF(AND(Projektgrundlagen!$I$23,'HB-D2 Besondere Lstg Bund'!M70=TRUE),'HB-D2 Besondere Lstg Bund'!C70&amp;" "&amp;'HB-D2 Besondere Lstg Bund'!F70&amp;" "&amp;'HB-D2 Besondere Lstg Bund'!F71,"")))</f>
        <v/>
      </c>
      <c r="C119" s="1246" t="str">
        <f>IF(AND(Projektgrundlagen!$I$21,'StB-D1 Besondere Lstg'!M70=TRUE),'StB-D1 Besondere Lstg'!H70,"")</f>
        <v/>
      </c>
      <c r="D119" s="1246" t="str">
        <f>IF(AND(Projektgrundlagen!$I$21,'StB-D1 Besondere Lstg'!M70=TRUE),'StB-D1 Besondere Lstg'!I70,IF(AND(Projektgrundlagen!$I$22,'HB-D1 Besondere Lstg Land'!M70=TRUE),(IF('HB-D1 Besondere Lstg Land'!H70&gt;0,"v.H.","pauschal")),IF(AND(Projektgrundlagen!$I$23,'HB-D2 Besondere Lstg Bund'!M70=TRUE),(IF('HB-D2 Besondere Lstg Bund'!H70&gt;0,"v.H.","pauschal")),"")))</f>
        <v/>
      </c>
      <c r="E119" s="1246" t="str">
        <f>IF(AND(Projektgrundlagen!$I$21,'StB-D1 Besondere Lstg'!M70=TRUE),'StB-D1 Besondere Lstg'!J70,IF(AND(Projektgrundlagen!$I$22,'HB-D1 Besondere Lstg Land'!M70=TRUE),'HB-D1 Besondere Lstg Land'!H70+'HB-D1 Besondere Lstg Land'!J70,IF(AND(Projektgrundlagen!$I$23,'HB-D2 Besondere Lstg Bund'!M70=TRUE),'HB-D2 Besondere Lstg Bund'!H70+'HB-D2 Besondere Lstg Bund'!J70,"")))</f>
        <v/>
      </c>
      <c r="F119" s="1246" t="str">
        <f>IF(AND(Projektgrundlagen!$I$21,'StB-D1 Besondere Lstg'!M70=TRUE),'StB-D1 Besondere Lstg'!K70,IF(AND(Projektgrundlagen!$I$22,'HB-D1 Besondere Lstg Land'!M70=TRUE),'HB-D1 Besondere Lstg Land'!K70,IF(AND(Projektgrundlagen!$I$23,'HB-D2 Besondere Lstg Bund'!M70=TRUE),'HB-D2 Besondere Lstg Bund'!K70,"")))</f>
        <v/>
      </c>
      <c r="G119" s="1253"/>
      <c r="H119" s="1254"/>
    </row>
    <row r="120" spans="2:8" ht="14.4">
      <c r="B120" t="str">
        <f>IF(AND(Projektgrundlagen!$I$21,'StB-D1 Besondere Lstg'!M71=TRUE),'StB-D1 Besondere Lstg'!C71&amp;" "&amp;'StB-D1 Besondere Lstg'!F71&amp;" "&amp;'StB-D1 Besondere Lstg'!F72,IF(AND(Projektgrundlagen!$I$22,'HB-D1 Besondere Lstg Land'!M71=TRUE),'HB-D1 Besondere Lstg Land'!C71&amp;" "&amp;'HB-D1 Besondere Lstg Land'!F71&amp;" "&amp;'HB-D1 Besondere Lstg Land'!F72,IF(AND(Projektgrundlagen!$I$23,'HB-D2 Besondere Lstg Bund'!M71=TRUE),'HB-D2 Besondere Lstg Bund'!C71&amp;" "&amp;'HB-D2 Besondere Lstg Bund'!F71&amp;" "&amp;'HB-D2 Besondere Lstg Bund'!F72,"")))</f>
        <v/>
      </c>
      <c r="C120" s="1246" t="str">
        <f>IF(AND(Projektgrundlagen!$I$21,'StB-D1 Besondere Lstg'!M71=TRUE),'StB-D1 Besondere Lstg'!H71,"")</f>
        <v/>
      </c>
      <c r="D120" s="1246" t="str">
        <f>IF(AND(Projektgrundlagen!$I$21,'StB-D1 Besondere Lstg'!M71=TRUE),'StB-D1 Besondere Lstg'!I71,IF(AND(Projektgrundlagen!$I$22,'HB-D1 Besondere Lstg Land'!M71=TRUE),(IF('HB-D1 Besondere Lstg Land'!H71&gt;0,"v.H.","pauschal")),IF(AND(Projektgrundlagen!$I$23,'HB-D2 Besondere Lstg Bund'!M71=TRUE),(IF('HB-D2 Besondere Lstg Bund'!H71&gt;0,"v.H.","pauschal")),"")))</f>
        <v/>
      </c>
      <c r="E120" s="1246" t="str">
        <f>IF(AND(Projektgrundlagen!$I$21,'StB-D1 Besondere Lstg'!M71=TRUE),'StB-D1 Besondere Lstg'!J71,IF(AND(Projektgrundlagen!$I$22,'HB-D1 Besondere Lstg Land'!M71=TRUE),'HB-D1 Besondere Lstg Land'!H71+'HB-D1 Besondere Lstg Land'!J71,IF(AND(Projektgrundlagen!$I$23,'HB-D2 Besondere Lstg Bund'!M71=TRUE),'HB-D2 Besondere Lstg Bund'!H71+'HB-D2 Besondere Lstg Bund'!J71,"")))</f>
        <v/>
      </c>
      <c r="F120" s="1246" t="str">
        <f>IF(AND(Projektgrundlagen!$I$21,'StB-D1 Besondere Lstg'!M71=TRUE),'StB-D1 Besondere Lstg'!K71,IF(AND(Projektgrundlagen!$I$22,'HB-D1 Besondere Lstg Land'!M71=TRUE),'HB-D1 Besondere Lstg Land'!K71,IF(AND(Projektgrundlagen!$I$23,'HB-D2 Besondere Lstg Bund'!M71=TRUE),'HB-D2 Besondere Lstg Bund'!K71,"")))</f>
        <v/>
      </c>
      <c r="G120" s="1253"/>
      <c r="H120" s="1254"/>
    </row>
    <row r="121" spans="2:8" ht="14.4">
      <c r="B121" t="str">
        <f>IF(AND(Projektgrundlagen!$I$21,'StB-D1 Besondere Lstg'!M72=TRUE),'StB-D1 Besondere Lstg'!C72&amp;" "&amp;'StB-D1 Besondere Lstg'!F72&amp;" "&amp;'StB-D1 Besondere Lstg'!F73,IF(AND(Projektgrundlagen!$I$22,'HB-D1 Besondere Lstg Land'!M72=TRUE),'HB-D1 Besondere Lstg Land'!C72&amp;" "&amp;'HB-D1 Besondere Lstg Land'!F72&amp;" "&amp;'HB-D1 Besondere Lstg Land'!F73,IF(AND(Projektgrundlagen!$I$23,'HB-D2 Besondere Lstg Bund'!M72=TRUE),'HB-D2 Besondere Lstg Bund'!C72&amp;" "&amp;'HB-D2 Besondere Lstg Bund'!F72&amp;" "&amp;'HB-D2 Besondere Lstg Bund'!F73,"")))</f>
        <v/>
      </c>
      <c r="C121" s="1246" t="str">
        <f>IF(AND(Projektgrundlagen!$I$21,'StB-D1 Besondere Lstg'!M72=TRUE),'StB-D1 Besondere Lstg'!H72,"")</f>
        <v/>
      </c>
      <c r="D121" s="1246" t="str">
        <f>IF(AND(Projektgrundlagen!$I$21,'StB-D1 Besondere Lstg'!M72=TRUE),'StB-D1 Besondere Lstg'!I72,IF(AND(Projektgrundlagen!$I$22,'HB-D1 Besondere Lstg Land'!M72=TRUE),(IF('HB-D1 Besondere Lstg Land'!H72&gt;0,"v.H.","pauschal")),IF(AND(Projektgrundlagen!$I$23,'HB-D2 Besondere Lstg Bund'!M72=TRUE),(IF('HB-D2 Besondere Lstg Bund'!H72&gt;0,"v.H.","pauschal")),"")))</f>
        <v/>
      </c>
      <c r="E121" s="1246" t="str">
        <f>IF(AND(Projektgrundlagen!$I$21,'StB-D1 Besondere Lstg'!M72=TRUE),'StB-D1 Besondere Lstg'!J72,IF(AND(Projektgrundlagen!$I$22,'HB-D1 Besondere Lstg Land'!M72=TRUE),'HB-D1 Besondere Lstg Land'!H72+'HB-D1 Besondere Lstg Land'!J72,IF(AND(Projektgrundlagen!$I$23,'HB-D2 Besondere Lstg Bund'!M72=TRUE),'HB-D2 Besondere Lstg Bund'!H72+'HB-D2 Besondere Lstg Bund'!J72,"")))</f>
        <v/>
      </c>
      <c r="F121" s="1246" t="str">
        <f>IF(AND(Projektgrundlagen!$I$21,'StB-D1 Besondere Lstg'!M72=TRUE),'StB-D1 Besondere Lstg'!K72,IF(AND(Projektgrundlagen!$I$22,'HB-D1 Besondere Lstg Land'!M72=TRUE),'HB-D1 Besondere Lstg Land'!K72,IF(AND(Projektgrundlagen!$I$23,'HB-D2 Besondere Lstg Bund'!M72=TRUE),'HB-D2 Besondere Lstg Bund'!K72,"")))</f>
        <v/>
      </c>
      <c r="G121" s="1253"/>
      <c r="H121" s="1254"/>
    </row>
    <row r="122" spans="2:8" ht="14.4">
      <c r="B122" t="str">
        <f>IF(AND(Projektgrundlagen!$I$21,'StB-D1 Besondere Lstg'!M73=TRUE),'StB-D1 Besondere Lstg'!C73&amp;" "&amp;'StB-D1 Besondere Lstg'!F73&amp;" "&amp;'StB-D1 Besondere Lstg'!F74,IF(AND(Projektgrundlagen!$I$22,'HB-D1 Besondere Lstg Land'!M73=TRUE),'HB-D1 Besondere Lstg Land'!C73&amp;" "&amp;'HB-D1 Besondere Lstg Land'!F73&amp;" "&amp;'HB-D1 Besondere Lstg Land'!F74,IF(AND(Projektgrundlagen!$I$23,'HB-D2 Besondere Lstg Bund'!M73=TRUE),'HB-D2 Besondere Lstg Bund'!C73&amp;" "&amp;'HB-D2 Besondere Lstg Bund'!F73&amp;" "&amp;'HB-D2 Besondere Lstg Bund'!F74,"")))</f>
        <v/>
      </c>
      <c r="C122" s="1246" t="str">
        <f>IF(AND(Projektgrundlagen!$I$21,'StB-D1 Besondere Lstg'!M73=TRUE),'StB-D1 Besondere Lstg'!H73,"")</f>
        <v/>
      </c>
      <c r="D122" s="1246" t="str">
        <f>IF(AND(Projektgrundlagen!$I$21,'StB-D1 Besondere Lstg'!M73=TRUE),'StB-D1 Besondere Lstg'!I73,IF(AND(Projektgrundlagen!$I$22,'HB-D1 Besondere Lstg Land'!M73=TRUE),(IF('HB-D1 Besondere Lstg Land'!H73&gt;0,"v.H.","pauschal")),IF(AND(Projektgrundlagen!$I$23,'HB-D2 Besondere Lstg Bund'!M73=TRUE),(IF('HB-D2 Besondere Lstg Bund'!H73&gt;0,"v.H.","pauschal")),"")))</f>
        <v/>
      </c>
      <c r="E122" s="1246" t="str">
        <f>IF(AND(Projektgrundlagen!$I$21,'StB-D1 Besondere Lstg'!M73=TRUE),'StB-D1 Besondere Lstg'!J73,IF(AND(Projektgrundlagen!$I$22,'HB-D1 Besondere Lstg Land'!M73=TRUE),'HB-D1 Besondere Lstg Land'!H73+'HB-D1 Besondere Lstg Land'!J73,IF(AND(Projektgrundlagen!$I$23,'HB-D2 Besondere Lstg Bund'!M73=TRUE),'HB-D2 Besondere Lstg Bund'!H73+'HB-D2 Besondere Lstg Bund'!J73,"")))</f>
        <v/>
      </c>
      <c r="F122" s="1246" t="str">
        <f>IF(AND(Projektgrundlagen!$I$21,'StB-D1 Besondere Lstg'!M73=TRUE),'StB-D1 Besondere Lstg'!K73,IF(AND(Projektgrundlagen!$I$22,'HB-D1 Besondere Lstg Land'!M73=TRUE),'HB-D1 Besondere Lstg Land'!K73,IF(AND(Projektgrundlagen!$I$23,'HB-D2 Besondere Lstg Bund'!M73=TRUE),'HB-D2 Besondere Lstg Bund'!K73,"")))</f>
        <v/>
      </c>
      <c r="G122" s="1253"/>
      <c r="H122" s="1254"/>
    </row>
    <row r="123" spans="2:8" ht="14.4">
      <c r="B123" t="str">
        <f>IF(AND(Projektgrundlagen!$I$21,'StB-D1 Besondere Lstg'!M74=TRUE),'StB-D1 Besondere Lstg'!C74&amp;" "&amp;'StB-D1 Besondere Lstg'!F74&amp;" "&amp;'StB-D1 Besondere Lstg'!F75,IF(AND(Projektgrundlagen!$I$22,'HB-D1 Besondere Lstg Land'!M74=TRUE),'HB-D1 Besondere Lstg Land'!C74&amp;" "&amp;'HB-D1 Besondere Lstg Land'!F74&amp;" "&amp;'HB-D1 Besondere Lstg Land'!F75,IF(AND(Projektgrundlagen!$I$23,'HB-D2 Besondere Lstg Bund'!M74=TRUE),'HB-D2 Besondere Lstg Bund'!C74&amp;" "&amp;'HB-D2 Besondere Lstg Bund'!F74&amp;" "&amp;'HB-D2 Besondere Lstg Bund'!F75,"")))</f>
        <v/>
      </c>
      <c r="C123" s="1246" t="str">
        <f>IF(AND(Projektgrundlagen!$I$21,'StB-D1 Besondere Lstg'!M74=TRUE),'StB-D1 Besondere Lstg'!H74,"")</f>
        <v/>
      </c>
      <c r="D123" s="1246" t="str">
        <f>IF(AND(Projektgrundlagen!$I$21,'StB-D1 Besondere Lstg'!M74=TRUE),'StB-D1 Besondere Lstg'!I74,IF(AND(Projektgrundlagen!$I$22,'HB-D1 Besondere Lstg Land'!M74=TRUE),(IF('HB-D1 Besondere Lstg Land'!H74&gt;0,"v.H.","pauschal")),IF(AND(Projektgrundlagen!$I$23,'HB-D2 Besondere Lstg Bund'!M74=TRUE),(IF('HB-D2 Besondere Lstg Bund'!H74&gt;0,"v.H.","pauschal")),"")))</f>
        <v/>
      </c>
      <c r="E123" s="1246" t="str">
        <f>IF(AND(Projektgrundlagen!$I$21,'StB-D1 Besondere Lstg'!M74=TRUE),'StB-D1 Besondere Lstg'!J74,IF(AND(Projektgrundlagen!$I$22,'HB-D1 Besondere Lstg Land'!M74=TRUE),'HB-D1 Besondere Lstg Land'!H74+'HB-D1 Besondere Lstg Land'!J74,IF(AND(Projektgrundlagen!$I$23,'HB-D2 Besondere Lstg Bund'!M74=TRUE),'HB-D2 Besondere Lstg Bund'!H74+'HB-D2 Besondere Lstg Bund'!J74,"")))</f>
        <v/>
      </c>
      <c r="F123" s="1246" t="str">
        <f>IF(AND(Projektgrundlagen!$I$21,'StB-D1 Besondere Lstg'!M74=TRUE),'StB-D1 Besondere Lstg'!K74,IF(AND(Projektgrundlagen!$I$22,'HB-D1 Besondere Lstg Land'!M74=TRUE),'HB-D1 Besondere Lstg Land'!K74,IF(AND(Projektgrundlagen!$I$23,'HB-D2 Besondere Lstg Bund'!M74=TRUE),'HB-D2 Besondere Lstg Bund'!K74,"")))</f>
        <v/>
      </c>
      <c r="G123" s="1253"/>
      <c r="H123" s="1254"/>
    </row>
    <row r="124" spans="2:8" ht="14.4">
      <c r="B124" t="str">
        <f>IF(AND(Projektgrundlagen!$I$21,'StB-D1 Besondere Lstg'!M75=TRUE),'StB-D1 Besondere Lstg'!C75&amp;" "&amp;'StB-D1 Besondere Lstg'!F75&amp;" "&amp;'StB-D1 Besondere Lstg'!F76,IF(AND(Projektgrundlagen!$I$22,'HB-D1 Besondere Lstg Land'!M75=TRUE),'HB-D1 Besondere Lstg Land'!C75&amp;" "&amp;'HB-D1 Besondere Lstg Land'!F75&amp;" "&amp;'HB-D1 Besondere Lstg Land'!F76,IF(AND(Projektgrundlagen!$I$23,'HB-D2 Besondere Lstg Bund'!M75=TRUE),'HB-D2 Besondere Lstg Bund'!C75&amp;" "&amp;'HB-D2 Besondere Lstg Bund'!F75&amp;" "&amp;'HB-D2 Besondere Lstg Bund'!F76,"")))</f>
        <v/>
      </c>
      <c r="C124" s="1246" t="str">
        <f>IF(AND(Projektgrundlagen!$I$21,'StB-D1 Besondere Lstg'!M75=TRUE),'StB-D1 Besondere Lstg'!H75,"")</f>
        <v/>
      </c>
      <c r="D124" s="1246" t="str">
        <f>IF(AND(Projektgrundlagen!$I$21,'StB-D1 Besondere Lstg'!M75=TRUE),'StB-D1 Besondere Lstg'!I75,IF(AND(Projektgrundlagen!$I$22,'HB-D1 Besondere Lstg Land'!M75=TRUE),(IF('HB-D1 Besondere Lstg Land'!H75&gt;0,"v.H.","pauschal")),IF(AND(Projektgrundlagen!$I$23,'HB-D2 Besondere Lstg Bund'!M75=TRUE),(IF('HB-D2 Besondere Lstg Bund'!H75&gt;0,"v.H.","pauschal")),"")))</f>
        <v/>
      </c>
      <c r="E124" s="1246" t="str">
        <f>IF(AND(Projektgrundlagen!$I$21,'StB-D1 Besondere Lstg'!M75=TRUE),'StB-D1 Besondere Lstg'!J75,IF(AND(Projektgrundlagen!$I$22,'HB-D1 Besondere Lstg Land'!M75=TRUE),'HB-D1 Besondere Lstg Land'!H75+'HB-D1 Besondere Lstg Land'!J75,IF(AND(Projektgrundlagen!$I$23,'HB-D2 Besondere Lstg Bund'!M75=TRUE),'HB-D2 Besondere Lstg Bund'!H75+'HB-D2 Besondere Lstg Bund'!J75,"")))</f>
        <v/>
      </c>
      <c r="F124" s="1246" t="str">
        <f>IF(AND(Projektgrundlagen!$I$21,'StB-D1 Besondere Lstg'!M75=TRUE),'StB-D1 Besondere Lstg'!K75,IF(AND(Projektgrundlagen!$I$22,'HB-D1 Besondere Lstg Land'!M75=TRUE),'HB-D1 Besondere Lstg Land'!K75,IF(AND(Projektgrundlagen!$I$23,'HB-D2 Besondere Lstg Bund'!M75=TRUE),'HB-D2 Besondere Lstg Bund'!K75,"")))</f>
        <v/>
      </c>
      <c r="G124" s="1253"/>
      <c r="H124" s="1254"/>
    </row>
    <row r="125" spans="2:8" ht="14.4">
      <c r="B125" t="str">
        <f>IF(AND(Projektgrundlagen!$I$21,'StB-D1 Besondere Lstg'!M76=TRUE),'StB-D1 Besondere Lstg'!C76&amp;" "&amp;'StB-D1 Besondere Lstg'!F76&amp;" "&amp;'StB-D1 Besondere Lstg'!F77,IF(AND(Projektgrundlagen!$I$22,'HB-D1 Besondere Lstg Land'!M76=TRUE),'HB-D1 Besondere Lstg Land'!C76&amp;" "&amp;'HB-D1 Besondere Lstg Land'!F76&amp;" "&amp;'HB-D1 Besondere Lstg Land'!F77,IF(AND(Projektgrundlagen!$I$23,'HB-D2 Besondere Lstg Bund'!M76=TRUE),'HB-D2 Besondere Lstg Bund'!C76&amp;" "&amp;'HB-D2 Besondere Lstg Bund'!F76&amp;" "&amp;'HB-D2 Besondere Lstg Bund'!F77,"")))</f>
        <v/>
      </c>
      <c r="C125" s="1246" t="str">
        <f>IF(AND(Projektgrundlagen!$I$21,'StB-D1 Besondere Lstg'!M76=TRUE),'StB-D1 Besondere Lstg'!H76,"")</f>
        <v/>
      </c>
      <c r="D125" s="1246" t="str">
        <f>IF(AND(Projektgrundlagen!$I$21,'StB-D1 Besondere Lstg'!M76=TRUE),'StB-D1 Besondere Lstg'!I76,IF(AND(Projektgrundlagen!$I$22,'HB-D1 Besondere Lstg Land'!M76=TRUE),(IF('HB-D1 Besondere Lstg Land'!H76&gt;0,"v.H.","pauschal")),IF(AND(Projektgrundlagen!$I$23,'HB-D2 Besondere Lstg Bund'!M76=TRUE),(IF('HB-D2 Besondere Lstg Bund'!H76&gt;0,"v.H.","pauschal")),"")))</f>
        <v/>
      </c>
      <c r="E125" s="1246" t="str">
        <f>IF(AND(Projektgrundlagen!$I$21,'StB-D1 Besondere Lstg'!M76=TRUE),'StB-D1 Besondere Lstg'!J76,IF(AND(Projektgrundlagen!$I$22,'HB-D1 Besondere Lstg Land'!M76=TRUE),'HB-D1 Besondere Lstg Land'!H76+'HB-D1 Besondere Lstg Land'!J76,IF(AND(Projektgrundlagen!$I$23,'HB-D2 Besondere Lstg Bund'!M76=TRUE),'HB-D2 Besondere Lstg Bund'!H76+'HB-D2 Besondere Lstg Bund'!J76,"")))</f>
        <v/>
      </c>
      <c r="F125" s="1246" t="str">
        <f>IF(AND(Projektgrundlagen!$I$21,'StB-D1 Besondere Lstg'!M76=TRUE),'StB-D1 Besondere Lstg'!K76,IF(AND(Projektgrundlagen!$I$22,'HB-D1 Besondere Lstg Land'!M76=TRUE),'HB-D1 Besondere Lstg Land'!K76,IF(AND(Projektgrundlagen!$I$23,'HB-D2 Besondere Lstg Bund'!M76=TRUE),'HB-D2 Besondere Lstg Bund'!K76,"")))</f>
        <v/>
      </c>
      <c r="G125" s="1253"/>
      <c r="H125" s="1254"/>
    </row>
    <row r="126" spans="2:8" ht="14.4">
      <c r="B126" t="str">
        <f>IF(AND(Projektgrundlagen!$I$21,'StB-D1 Besondere Lstg'!M77=TRUE),'StB-D1 Besondere Lstg'!C77&amp;" "&amp;'StB-D1 Besondere Lstg'!F77&amp;" "&amp;'StB-D1 Besondere Lstg'!F78,IF(AND(Projektgrundlagen!$I$22,'HB-D1 Besondere Lstg Land'!M77=TRUE),'HB-D1 Besondere Lstg Land'!C77&amp;" "&amp;'HB-D1 Besondere Lstg Land'!F77&amp;" "&amp;'HB-D1 Besondere Lstg Land'!F78,IF(AND(Projektgrundlagen!$I$23,'HB-D2 Besondere Lstg Bund'!M77=TRUE),'HB-D2 Besondere Lstg Bund'!C77&amp;" "&amp;'HB-D2 Besondere Lstg Bund'!F77&amp;" "&amp;'HB-D2 Besondere Lstg Bund'!F78,"")))</f>
        <v/>
      </c>
      <c r="C126" s="1246" t="str">
        <f>IF(AND(Projektgrundlagen!$I$21,'StB-D1 Besondere Lstg'!M77=TRUE),'StB-D1 Besondere Lstg'!H77,"")</f>
        <v/>
      </c>
      <c r="D126" s="1246" t="str">
        <f>IF(AND(Projektgrundlagen!$I$21,'StB-D1 Besondere Lstg'!M77=TRUE),'StB-D1 Besondere Lstg'!I77,IF(AND(Projektgrundlagen!$I$22,'HB-D1 Besondere Lstg Land'!M77=TRUE),(IF('HB-D1 Besondere Lstg Land'!H77&gt;0,"v.H.","pauschal")),IF(AND(Projektgrundlagen!$I$23,'HB-D2 Besondere Lstg Bund'!M77=TRUE),(IF('HB-D2 Besondere Lstg Bund'!H77&gt;0,"v.H.","pauschal")),"")))</f>
        <v/>
      </c>
      <c r="E126" s="1246" t="str">
        <f>IF(AND(Projektgrundlagen!$I$21,'StB-D1 Besondere Lstg'!M77=TRUE),'StB-D1 Besondere Lstg'!J77,IF(AND(Projektgrundlagen!$I$22,'HB-D1 Besondere Lstg Land'!M77=TRUE),'HB-D1 Besondere Lstg Land'!H77+'HB-D1 Besondere Lstg Land'!J77,IF(AND(Projektgrundlagen!$I$23,'HB-D2 Besondere Lstg Bund'!M77=TRUE),'HB-D2 Besondere Lstg Bund'!H77+'HB-D2 Besondere Lstg Bund'!J77,"")))</f>
        <v/>
      </c>
      <c r="F126" s="1246" t="str">
        <f>IF(AND(Projektgrundlagen!$I$21,'StB-D1 Besondere Lstg'!M77=TRUE),'StB-D1 Besondere Lstg'!K77,IF(AND(Projektgrundlagen!$I$22,'HB-D1 Besondere Lstg Land'!M77=TRUE),'HB-D1 Besondere Lstg Land'!K77,IF(AND(Projektgrundlagen!$I$23,'HB-D2 Besondere Lstg Bund'!M77=TRUE),'HB-D2 Besondere Lstg Bund'!K77,"")))</f>
        <v/>
      </c>
      <c r="G126" s="1253"/>
      <c r="H126" s="1254"/>
    </row>
    <row r="127" spans="2:8" ht="14.4">
      <c r="B127" t="str">
        <f>IF(AND(Projektgrundlagen!$I$21,'StB-D1 Besondere Lstg'!M78=TRUE),'StB-D1 Besondere Lstg'!C78&amp;" "&amp;'StB-D1 Besondere Lstg'!F78&amp;" "&amp;'StB-D1 Besondere Lstg'!F79,IF(AND(Projektgrundlagen!$I$22,'HB-D1 Besondere Lstg Land'!M78=TRUE),'HB-D1 Besondere Lstg Land'!C78&amp;" "&amp;'HB-D1 Besondere Lstg Land'!F78&amp;" "&amp;'HB-D1 Besondere Lstg Land'!F79,IF(AND(Projektgrundlagen!$I$23,'HB-D2 Besondere Lstg Bund'!M78=TRUE),'HB-D2 Besondere Lstg Bund'!C78&amp;" "&amp;'HB-D2 Besondere Lstg Bund'!F78&amp;" "&amp;'HB-D2 Besondere Lstg Bund'!F79,"")))</f>
        <v/>
      </c>
      <c r="C127" s="1246" t="str">
        <f>IF(AND(Projektgrundlagen!$I$21,'StB-D1 Besondere Lstg'!M78=TRUE),'StB-D1 Besondere Lstg'!H78,"")</f>
        <v/>
      </c>
      <c r="D127" s="1246" t="str">
        <f>IF(AND(Projektgrundlagen!$I$21,'StB-D1 Besondere Lstg'!M78=TRUE),'StB-D1 Besondere Lstg'!I78,IF(AND(Projektgrundlagen!$I$22,'HB-D1 Besondere Lstg Land'!M78=TRUE),(IF('HB-D1 Besondere Lstg Land'!H78&gt;0,"v.H.","pauschal")),IF(AND(Projektgrundlagen!$I$23,'HB-D2 Besondere Lstg Bund'!M78=TRUE),(IF('HB-D2 Besondere Lstg Bund'!H78&gt;0,"v.H.","pauschal")),"")))</f>
        <v/>
      </c>
      <c r="E127" s="1246" t="str">
        <f>IF(AND(Projektgrundlagen!$I$21,'StB-D1 Besondere Lstg'!M78=TRUE),'StB-D1 Besondere Lstg'!J78,IF(AND(Projektgrundlagen!$I$22,'HB-D1 Besondere Lstg Land'!M78=TRUE),'HB-D1 Besondere Lstg Land'!H78+'HB-D1 Besondere Lstg Land'!J78,IF(AND(Projektgrundlagen!$I$23,'HB-D2 Besondere Lstg Bund'!M78=TRUE),'HB-D2 Besondere Lstg Bund'!H78+'HB-D2 Besondere Lstg Bund'!J78,"")))</f>
        <v/>
      </c>
      <c r="F127" s="1246" t="str">
        <f>IF(AND(Projektgrundlagen!$I$21,'StB-D1 Besondere Lstg'!M78=TRUE),'StB-D1 Besondere Lstg'!K78,IF(AND(Projektgrundlagen!$I$22,'HB-D1 Besondere Lstg Land'!M78=TRUE),'HB-D1 Besondere Lstg Land'!K78,IF(AND(Projektgrundlagen!$I$23,'HB-D2 Besondere Lstg Bund'!M78=TRUE),'HB-D2 Besondere Lstg Bund'!K78,"")))</f>
        <v/>
      </c>
      <c r="G127" s="1253"/>
      <c r="H127" s="1254"/>
    </row>
    <row r="128" spans="2:8" ht="14.4">
      <c r="B128" t="str">
        <f>IF(AND(Projektgrundlagen!$I$21,'StB-D1 Besondere Lstg'!M79=TRUE),'StB-D1 Besondere Lstg'!C79&amp;" "&amp;'StB-D1 Besondere Lstg'!F79&amp;" "&amp;'StB-D1 Besondere Lstg'!F80,IF(AND(Projektgrundlagen!$I$22,'HB-D1 Besondere Lstg Land'!M79=TRUE),'HB-D1 Besondere Lstg Land'!C79&amp;" "&amp;'HB-D1 Besondere Lstg Land'!F79&amp;" "&amp;'HB-D1 Besondere Lstg Land'!F80,IF(AND(Projektgrundlagen!$I$23,'HB-D2 Besondere Lstg Bund'!M79=TRUE),'HB-D2 Besondere Lstg Bund'!C79&amp;" "&amp;'HB-D2 Besondere Lstg Bund'!F79&amp;" "&amp;'HB-D2 Besondere Lstg Bund'!F80,"")))</f>
        <v/>
      </c>
      <c r="C128" s="1246" t="str">
        <f>IF(AND(Projektgrundlagen!$I$21,'StB-D1 Besondere Lstg'!M79=TRUE),'StB-D1 Besondere Lstg'!H79,"")</f>
        <v/>
      </c>
      <c r="D128" s="1246" t="str">
        <f>IF(AND(Projektgrundlagen!$I$21,'StB-D1 Besondere Lstg'!M79=TRUE),'StB-D1 Besondere Lstg'!I79,IF(AND(Projektgrundlagen!$I$22,'HB-D1 Besondere Lstg Land'!M79=TRUE),(IF('HB-D1 Besondere Lstg Land'!H79&gt;0,"v.H.","pauschal")),IF(AND(Projektgrundlagen!$I$23,'HB-D2 Besondere Lstg Bund'!M79=TRUE),(IF('HB-D2 Besondere Lstg Bund'!H79&gt;0,"v.H.","pauschal")),"")))</f>
        <v/>
      </c>
      <c r="E128" s="1246" t="str">
        <f>IF(AND(Projektgrundlagen!$I$21,'StB-D1 Besondere Lstg'!M79=TRUE),'StB-D1 Besondere Lstg'!J79,IF(AND(Projektgrundlagen!$I$22,'HB-D1 Besondere Lstg Land'!M79=TRUE),'HB-D1 Besondere Lstg Land'!H79+'HB-D1 Besondere Lstg Land'!J79,IF(AND(Projektgrundlagen!$I$23,'HB-D2 Besondere Lstg Bund'!M79=TRUE),'HB-D2 Besondere Lstg Bund'!H79+'HB-D2 Besondere Lstg Bund'!J79,"")))</f>
        <v/>
      </c>
      <c r="F128" s="1246" t="str">
        <f>IF(AND(Projektgrundlagen!$I$21,'StB-D1 Besondere Lstg'!M79=TRUE),'StB-D1 Besondere Lstg'!K79,IF(AND(Projektgrundlagen!$I$22,'HB-D1 Besondere Lstg Land'!M79=TRUE),'HB-D1 Besondere Lstg Land'!K79,IF(AND(Projektgrundlagen!$I$23,'HB-D2 Besondere Lstg Bund'!M79=TRUE),'HB-D2 Besondere Lstg Bund'!K79,"")))</f>
        <v/>
      </c>
      <c r="G128" s="1253"/>
      <c r="H128" s="1254"/>
    </row>
    <row r="129" spans="2:8" ht="14.4">
      <c r="B129" t="str">
        <f>IF(AND(Projektgrundlagen!$I$21,'StB-D1 Besondere Lstg'!M80=TRUE),'StB-D1 Besondere Lstg'!C80&amp;" "&amp;'StB-D1 Besondere Lstg'!F80&amp;" "&amp;'StB-D1 Besondere Lstg'!F81,IF(AND(Projektgrundlagen!$I$22,'HB-D1 Besondere Lstg Land'!M80=TRUE),'HB-D1 Besondere Lstg Land'!C80&amp;" "&amp;'HB-D1 Besondere Lstg Land'!F80&amp;" "&amp;'HB-D1 Besondere Lstg Land'!F81,IF(AND(Projektgrundlagen!$I$23,'HB-D2 Besondere Lstg Bund'!M80=TRUE),'HB-D2 Besondere Lstg Bund'!C80&amp;" "&amp;'HB-D2 Besondere Lstg Bund'!F80&amp;" "&amp;'HB-D2 Besondere Lstg Bund'!F81,"")))</f>
        <v/>
      </c>
      <c r="C129" s="1246" t="str">
        <f>IF(AND(Projektgrundlagen!$I$21,'StB-D1 Besondere Lstg'!M80=TRUE),'StB-D1 Besondere Lstg'!H80,"")</f>
        <v/>
      </c>
      <c r="D129" s="1246" t="str">
        <f>IF(AND(Projektgrundlagen!$I$21,'StB-D1 Besondere Lstg'!M80=TRUE),'StB-D1 Besondere Lstg'!I80,IF(AND(Projektgrundlagen!$I$22,'HB-D1 Besondere Lstg Land'!M80=TRUE),(IF('HB-D1 Besondere Lstg Land'!H80&gt;0,"v.H.","pauschal")),IF(AND(Projektgrundlagen!$I$23,'HB-D2 Besondere Lstg Bund'!M80=TRUE),(IF('HB-D2 Besondere Lstg Bund'!H80&gt;0,"v.H.","pauschal")),"")))</f>
        <v/>
      </c>
      <c r="E129" s="1246" t="str">
        <f>IF(AND(Projektgrundlagen!$I$21,'StB-D1 Besondere Lstg'!M80=TRUE),'StB-D1 Besondere Lstg'!J80,IF(AND(Projektgrundlagen!$I$22,'HB-D1 Besondere Lstg Land'!M80=TRUE),'HB-D1 Besondere Lstg Land'!H80+'HB-D1 Besondere Lstg Land'!J80,IF(AND(Projektgrundlagen!$I$23,'HB-D2 Besondere Lstg Bund'!M80=TRUE),'HB-D2 Besondere Lstg Bund'!H80+'HB-D2 Besondere Lstg Bund'!J80,"")))</f>
        <v/>
      </c>
      <c r="F129" s="1246" t="str">
        <f>IF(AND(Projektgrundlagen!$I$21,'StB-D1 Besondere Lstg'!M80=TRUE),'StB-D1 Besondere Lstg'!K80,IF(AND(Projektgrundlagen!$I$22,'HB-D1 Besondere Lstg Land'!M80=TRUE),'HB-D1 Besondere Lstg Land'!K80,IF(AND(Projektgrundlagen!$I$23,'HB-D2 Besondere Lstg Bund'!M80=TRUE),'HB-D2 Besondere Lstg Bund'!K80,"")))</f>
        <v/>
      </c>
      <c r="G129" s="1253"/>
      <c r="H129" s="1254"/>
    </row>
    <row r="130" spans="2:8" ht="14.4">
      <c r="B130" t="str">
        <f>IF(AND(Projektgrundlagen!$I$21,'StB-D1 Besondere Lstg'!M81=TRUE),'StB-D1 Besondere Lstg'!C81&amp;" "&amp;'StB-D1 Besondere Lstg'!F81&amp;" "&amp;'StB-D1 Besondere Lstg'!F82,IF(AND(Projektgrundlagen!$I$22,'HB-D1 Besondere Lstg Land'!M81=TRUE),'HB-D1 Besondere Lstg Land'!C81&amp;" "&amp;'HB-D1 Besondere Lstg Land'!F81&amp;" "&amp;'HB-D1 Besondere Lstg Land'!F82,IF(AND(Projektgrundlagen!$I$23,'HB-D2 Besondere Lstg Bund'!M81=TRUE),'HB-D2 Besondere Lstg Bund'!C81&amp;" "&amp;'HB-D2 Besondere Lstg Bund'!F81&amp;" "&amp;'HB-D2 Besondere Lstg Bund'!F82,"")))</f>
        <v/>
      </c>
      <c r="C130" s="1246" t="str">
        <f>IF(AND(Projektgrundlagen!$I$21,'StB-D1 Besondere Lstg'!M81=TRUE),'StB-D1 Besondere Lstg'!H81,"")</f>
        <v/>
      </c>
      <c r="D130" s="1246" t="str">
        <f>IF(AND(Projektgrundlagen!$I$21,'StB-D1 Besondere Lstg'!M81=TRUE),'StB-D1 Besondere Lstg'!I81,IF(AND(Projektgrundlagen!$I$22,'HB-D1 Besondere Lstg Land'!M81=TRUE),(IF('HB-D1 Besondere Lstg Land'!H81&gt;0,"v.H.","pauschal")),IF(AND(Projektgrundlagen!$I$23,'HB-D2 Besondere Lstg Bund'!M81=TRUE),(IF('HB-D2 Besondere Lstg Bund'!H81&gt;0,"v.H.","pauschal")),"")))</f>
        <v/>
      </c>
      <c r="E130" s="1246" t="str">
        <f>IF(AND(Projektgrundlagen!$I$21,'StB-D1 Besondere Lstg'!M81=TRUE),'StB-D1 Besondere Lstg'!J81,IF(AND(Projektgrundlagen!$I$22,'HB-D1 Besondere Lstg Land'!M81=TRUE),'HB-D1 Besondere Lstg Land'!H81+'HB-D1 Besondere Lstg Land'!J81,IF(AND(Projektgrundlagen!$I$23,'HB-D2 Besondere Lstg Bund'!M81=TRUE),'HB-D2 Besondere Lstg Bund'!H81+'HB-D2 Besondere Lstg Bund'!J81,"")))</f>
        <v/>
      </c>
      <c r="F130" s="1246" t="str">
        <f>IF(AND(Projektgrundlagen!$I$21,'StB-D1 Besondere Lstg'!M81=TRUE),'StB-D1 Besondere Lstg'!K81,IF(AND(Projektgrundlagen!$I$22,'HB-D1 Besondere Lstg Land'!M81=TRUE),'HB-D1 Besondere Lstg Land'!K81,IF(AND(Projektgrundlagen!$I$23,'HB-D2 Besondere Lstg Bund'!M81=TRUE),'HB-D2 Besondere Lstg Bund'!K81,"")))</f>
        <v/>
      </c>
      <c r="G130" s="1253"/>
      <c r="H130" s="1254"/>
    </row>
    <row r="131" spans="2:8" ht="14.4">
      <c r="B131" t="str">
        <f>IF(AND(Projektgrundlagen!$I$21,'StB-D1 Besondere Lstg'!M82=TRUE),'StB-D1 Besondere Lstg'!C82&amp;" "&amp;'StB-D1 Besondere Lstg'!F82&amp;" "&amp;'StB-D1 Besondere Lstg'!F83,IF(AND(Projektgrundlagen!$I$22,'HB-D1 Besondere Lstg Land'!M82=TRUE),'HB-D1 Besondere Lstg Land'!C82&amp;" "&amp;'HB-D1 Besondere Lstg Land'!F82&amp;" "&amp;'HB-D1 Besondere Lstg Land'!F83,IF(AND(Projektgrundlagen!$I$23,'HB-D2 Besondere Lstg Bund'!M82=TRUE),'HB-D2 Besondere Lstg Bund'!C82&amp;" "&amp;'HB-D2 Besondere Lstg Bund'!F82&amp;" "&amp;'HB-D2 Besondere Lstg Bund'!F83,"")))</f>
        <v/>
      </c>
      <c r="C131" s="1246" t="str">
        <f>IF(AND(Projektgrundlagen!$I$21,'StB-D1 Besondere Lstg'!M82=TRUE),'StB-D1 Besondere Lstg'!H82,"")</f>
        <v/>
      </c>
      <c r="D131" s="1246" t="str">
        <f>IF(AND(Projektgrundlagen!$I$21,'StB-D1 Besondere Lstg'!M82=TRUE),'StB-D1 Besondere Lstg'!I82,IF(AND(Projektgrundlagen!$I$22,'HB-D1 Besondere Lstg Land'!M82=TRUE),(IF('HB-D1 Besondere Lstg Land'!H82&gt;0,"v.H.","pauschal")),IF(AND(Projektgrundlagen!$I$23,'HB-D2 Besondere Lstg Bund'!M82=TRUE),(IF('HB-D2 Besondere Lstg Bund'!H82&gt;0,"v.H.","pauschal")),"")))</f>
        <v/>
      </c>
      <c r="E131" s="1246" t="str">
        <f>IF(AND(Projektgrundlagen!$I$21,'StB-D1 Besondere Lstg'!M82=TRUE),'StB-D1 Besondere Lstg'!J82,IF(AND(Projektgrundlagen!$I$22,'HB-D1 Besondere Lstg Land'!M82=TRUE),'HB-D1 Besondere Lstg Land'!H82+'HB-D1 Besondere Lstg Land'!J82,IF(AND(Projektgrundlagen!$I$23,'HB-D2 Besondere Lstg Bund'!M82=TRUE),'HB-D2 Besondere Lstg Bund'!H82+'HB-D2 Besondere Lstg Bund'!J82,"")))</f>
        <v/>
      </c>
      <c r="F131" s="1246" t="str">
        <f>IF(AND(Projektgrundlagen!$I$21,'StB-D1 Besondere Lstg'!M82=TRUE),'StB-D1 Besondere Lstg'!K82,IF(AND(Projektgrundlagen!$I$22,'HB-D1 Besondere Lstg Land'!M82=TRUE),'HB-D1 Besondere Lstg Land'!K82,IF(AND(Projektgrundlagen!$I$23,'HB-D2 Besondere Lstg Bund'!M82=TRUE),'HB-D2 Besondere Lstg Bund'!K82,"")))</f>
        <v/>
      </c>
      <c r="G131" s="1253"/>
      <c r="H131" s="1254"/>
    </row>
    <row r="132" spans="2:8" ht="14.4">
      <c r="B132" t="str">
        <f>IF(AND(Projektgrundlagen!$I$21,'StB-D1 Besondere Lstg'!M83=TRUE),'StB-D1 Besondere Lstg'!C83&amp;" "&amp;'StB-D1 Besondere Lstg'!F83&amp;" "&amp;'StB-D1 Besondere Lstg'!F84,IF(AND(Projektgrundlagen!$I$22,'HB-D1 Besondere Lstg Land'!M83=TRUE),'HB-D1 Besondere Lstg Land'!C83&amp;" "&amp;'HB-D1 Besondere Lstg Land'!F83&amp;" "&amp;'HB-D1 Besondere Lstg Land'!F84,IF(AND(Projektgrundlagen!$I$23,'HB-D2 Besondere Lstg Bund'!M83=TRUE),'HB-D2 Besondere Lstg Bund'!C83&amp;" "&amp;'HB-D2 Besondere Lstg Bund'!F83&amp;" "&amp;'HB-D2 Besondere Lstg Bund'!F84,"")))</f>
        <v/>
      </c>
      <c r="C132" s="1246" t="str">
        <f>IF(AND(Projektgrundlagen!$I$21,'StB-D1 Besondere Lstg'!M83=TRUE),'StB-D1 Besondere Lstg'!H83,"")</f>
        <v/>
      </c>
      <c r="D132" s="1246" t="str">
        <f>IF(AND(Projektgrundlagen!$I$21,'StB-D1 Besondere Lstg'!M83=TRUE),'StB-D1 Besondere Lstg'!I83,IF(AND(Projektgrundlagen!$I$22,'HB-D1 Besondere Lstg Land'!M83=TRUE),(IF('HB-D1 Besondere Lstg Land'!H83&gt;0,"v.H.","pauschal")),IF(AND(Projektgrundlagen!$I$23,'HB-D2 Besondere Lstg Bund'!M83=TRUE),(IF('HB-D2 Besondere Lstg Bund'!H83&gt;0,"v.H.","pauschal")),"")))</f>
        <v/>
      </c>
      <c r="E132" s="1246" t="str">
        <f>IF(AND(Projektgrundlagen!$I$21,'StB-D1 Besondere Lstg'!M83=TRUE),'StB-D1 Besondere Lstg'!J83,IF(AND(Projektgrundlagen!$I$22,'HB-D1 Besondere Lstg Land'!M83=TRUE),'HB-D1 Besondere Lstg Land'!H83+'HB-D1 Besondere Lstg Land'!J83,IF(AND(Projektgrundlagen!$I$23,'HB-D2 Besondere Lstg Bund'!M83=TRUE),'HB-D2 Besondere Lstg Bund'!H83+'HB-D2 Besondere Lstg Bund'!J83,"")))</f>
        <v/>
      </c>
      <c r="F132" s="1246" t="str">
        <f>IF(AND(Projektgrundlagen!$I$21,'StB-D1 Besondere Lstg'!M83=TRUE),'StB-D1 Besondere Lstg'!K83,IF(AND(Projektgrundlagen!$I$22,'HB-D1 Besondere Lstg Land'!M83=TRUE),'HB-D1 Besondere Lstg Land'!K83,IF(AND(Projektgrundlagen!$I$23,'HB-D2 Besondere Lstg Bund'!M83=TRUE),'HB-D2 Besondere Lstg Bund'!K83,"")))</f>
        <v/>
      </c>
      <c r="G132" s="1253"/>
      <c r="H132" s="1254"/>
    </row>
    <row r="133" spans="2:8" ht="14.4">
      <c r="B133" t="str">
        <f>IF(AND(Projektgrundlagen!$I$21,'StB-D1 Besondere Lstg'!M84=TRUE),'StB-D1 Besondere Lstg'!C84&amp;" "&amp;'StB-D1 Besondere Lstg'!F84&amp;" "&amp;'StB-D1 Besondere Lstg'!F85,IF(AND(Projektgrundlagen!$I$22,'HB-D1 Besondere Lstg Land'!M84=TRUE),'HB-D1 Besondere Lstg Land'!C84&amp;" "&amp;'HB-D1 Besondere Lstg Land'!F84&amp;" "&amp;'HB-D1 Besondere Lstg Land'!F85,IF(AND(Projektgrundlagen!$I$23,'HB-D2 Besondere Lstg Bund'!M84=TRUE),'HB-D2 Besondere Lstg Bund'!C84&amp;" "&amp;'HB-D2 Besondere Lstg Bund'!F84&amp;" "&amp;'HB-D2 Besondere Lstg Bund'!F85,"")))</f>
        <v/>
      </c>
      <c r="C133" s="1246" t="str">
        <f>IF(AND(Projektgrundlagen!$I$21,'StB-D1 Besondere Lstg'!M84=TRUE),'StB-D1 Besondere Lstg'!H84,"")</f>
        <v/>
      </c>
      <c r="D133" s="1246" t="str">
        <f>IF(AND(Projektgrundlagen!$I$21,'StB-D1 Besondere Lstg'!M84=TRUE),'StB-D1 Besondere Lstg'!I84,IF(AND(Projektgrundlagen!$I$22,'HB-D1 Besondere Lstg Land'!M84=TRUE),(IF('HB-D1 Besondere Lstg Land'!H84&gt;0,"v.H.","pauschal")),IF(AND(Projektgrundlagen!$I$23,'HB-D2 Besondere Lstg Bund'!M84=TRUE),(IF('HB-D2 Besondere Lstg Bund'!H84&gt;0,"v.H.","pauschal")),"")))</f>
        <v/>
      </c>
      <c r="E133" s="1246" t="str">
        <f>IF(AND(Projektgrundlagen!$I$21,'StB-D1 Besondere Lstg'!M84=TRUE),'StB-D1 Besondere Lstg'!J84,IF(AND(Projektgrundlagen!$I$22,'HB-D1 Besondere Lstg Land'!M84=TRUE),'HB-D1 Besondere Lstg Land'!H84+'HB-D1 Besondere Lstg Land'!J84,IF(AND(Projektgrundlagen!$I$23,'HB-D2 Besondere Lstg Bund'!M84=TRUE),'HB-D2 Besondere Lstg Bund'!H84+'HB-D2 Besondere Lstg Bund'!J84,"")))</f>
        <v/>
      </c>
      <c r="F133" s="1246" t="str">
        <f>IF(AND(Projektgrundlagen!$I$21,'StB-D1 Besondere Lstg'!M84=TRUE),'StB-D1 Besondere Lstg'!K84,IF(AND(Projektgrundlagen!$I$22,'HB-D1 Besondere Lstg Land'!M84=TRUE),'HB-D1 Besondere Lstg Land'!K84,IF(AND(Projektgrundlagen!$I$23,'HB-D2 Besondere Lstg Bund'!M84=TRUE),'HB-D2 Besondere Lstg Bund'!K84,"")))</f>
        <v/>
      </c>
      <c r="G133" s="1253"/>
      <c r="H133" s="1254"/>
    </row>
    <row r="134" spans="2:8" ht="14.4">
      <c r="B134" t="str">
        <f>IF(AND(Projektgrundlagen!$I$21,'StB-D1 Besondere Lstg'!M85=TRUE),'StB-D1 Besondere Lstg'!C85&amp;" "&amp;'StB-D1 Besondere Lstg'!F85&amp;" "&amp;'StB-D1 Besondere Lstg'!F86,IF(AND(Projektgrundlagen!$I$22,'HB-D1 Besondere Lstg Land'!M85=TRUE),'HB-D1 Besondere Lstg Land'!C85&amp;" "&amp;'HB-D1 Besondere Lstg Land'!F85&amp;" "&amp;'HB-D1 Besondere Lstg Land'!F86,IF(AND(Projektgrundlagen!$I$23,'HB-D2 Besondere Lstg Bund'!M85=TRUE),'HB-D2 Besondere Lstg Bund'!C85&amp;" "&amp;'HB-D2 Besondere Lstg Bund'!F85&amp;" "&amp;'HB-D2 Besondere Lstg Bund'!F86,"")))</f>
        <v/>
      </c>
      <c r="C134" s="1246" t="str">
        <f>IF(AND(Projektgrundlagen!$I$21,'StB-D1 Besondere Lstg'!M85=TRUE),'StB-D1 Besondere Lstg'!H85,"")</f>
        <v/>
      </c>
      <c r="D134" s="1246" t="str">
        <f>IF(AND(Projektgrundlagen!$I$21,'StB-D1 Besondere Lstg'!M85=TRUE),'StB-D1 Besondere Lstg'!I85,IF(AND(Projektgrundlagen!$I$22,'HB-D1 Besondere Lstg Land'!M85=TRUE),(IF('HB-D1 Besondere Lstg Land'!H85&gt;0,"v.H.","pauschal")),IF(AND(Projektgrundlagen!$I$23,'HB-D2 Besondere Lstg Bund'!M85=TRUE),(IF('HB-D2 Besondere Lstg Bund'!H85&gt;0,"v.H.","pauschal")),"")))</f>
        <v/>
      </c>
      <c r="E134" s="1246" t="str">
        <f>IF(AND(Projektgrundlagen!$I$21,'StB-D1 Besondere Lstg'!M85=TRUE),'StB-D1 Besondere Lstg'!J85,IF(AND(Projektgrundlagen!$I$22,'HB-D1 Besondere Lstg Land'!M85=TRUE),'HB-D1 Besondere Lstg Land'!H85+'HB-D1 Besondere Lstg Land'!J85,IF(AND(Projektgrundlagen!$I$23,'HB-D2 Besondere Lstg Bund'!M85=TRUE),'HB-D2 Besondere Lstg Bund'!H85+'HB-D2 Besondere Lstg Bund'!J85,"")))</f>
        <v/>
      </c>
      <c r="F134" s="1246" t="str">
        <f>IF(AND(Projektgrundlagen!$I$21,'StB-D1 Besondere Lstg'!M85=TRUE),'StB-D1 Besondere Lstg'!K85,IF(AND(Projektgrundlagen!$I$22,'HB-D1 Besondere Lstg Land'!M85=TRUE),'HB-D1 Besondere Lstg Land'!K85,IF(AND(Projektgrundlagen!$I$23,'HB-D2 Besondere Lstg Bund'!M85=TRUE),'HB-D2 Besondere Lstg Bund'!K85,"")))</f>
        <v/>
      </c>
      <c r="G134" s="1253"/>
      <c r="H134" s="1254"/>
    </row>
    <row r="135" spans="2:8" ht="14.4">
      <c r="B135" t="str">
        <f>IF(AND(Projektgrundlagen!$I$21,'StB-D1 Besondere Lstg'!M86=TRUE),'StB-D1 Besondere Lstg'!C86&amp;" "&amp;'StB-D1 Besondere Lstg'!F86&amp;" "&amp;'StB-D1 Besondere Lstg'!F87,IF(AND(Projektgrundlagen!$I$22,'HB-D1 Besondere Lstg Land'!M86=TRUE),'HB-D1 Besondere Lstg Land'!C86&amp;" "&amp;'HB-D1 Besondere Lstg Land'!F86&amp;" "&amp;'HB-D1 Besondere Lstg Land'!F87,IF(AND(Projektgrundlagen!$I$23,'HB-D2 Besondere Lstg Bund'!M86=TRUE),'HB-D2 Besondere Lstg Bund'!C86&amp;" "&amp;'HB-D2 Besondere Lstg Bund'!F86&amp;" "&amp;'HB-D2 Besondere Lstg Bund'!F87,"")))</f>
        <v/>
      </c>
      <c r="C135" s="1246" t="str">
        <f>IF(AND(Projektgrundlagen!$I$21,'StB-D1 Besondere Lstg'!M86=TRUE),'StB-D1 Besondere Lstg'!H86,"")</f>
        <v/>
      </c>
      <c r="D135" s="1246" t="str">
        <f>IF(AND(Projektgrundlagen!$I$21,'StB-D1 Besondere Lstg'!M86=TRUE),'StB-D1 Besondere Lstg'!I86,IF(AND(Projektgrundlagen!$I$22,'HB-D1 Besondere Lstg Land'!M86=TRUE),(IF('HB-D1 Besondere Lstg Land'!H86&gt;0,"v.H.","pauschal")),IF(AND(Projektgrundlagen!$I$23,'HB-D2 Besondere Lstg Bund'!M86=TRUE),(IF('HB-D2 Besondere Lstg Bund'!H86&gt;0,"v.H.","pauschal")),"")))</f>
        <v/>
      </c>
      <c r="E135" s="1246" t="str">
        <f>IF(AND(Projektgrundlagen!$I$21,'StB-D1 Besondere Lstg'!M86=TRUE),'StB-D1 Besondere Lstg'!J86,IF(AND(Projektgrundlagen!$I$22,'HB-D1 Besondere Lstg Land'!M86=TRUE),'HB-D1 Besondere Lstg Land'!H86+'HB-D1 Besondere Lstg Land'!J86,IF(AND(Projektgrundlagen!$I$23,'HB-D2 Besondere Lstg Bund'!M86=TRUE),'HB-D2 Besondere Lstg Bund'!H86+'HB-D2 Besondere Lstg Bund'!J86,"")))</f>
        <v/>
      </c>
      <c r="F135" s="1246" t="str">
        <f>IF(AND(Projektgrundlagen!$I$21,'StB-D1 Besondere Lstg'!M86=TRUE),'StB-D1 Besondere Lstg'!K86,IF(AND(Projektgrundlagen!$I$22,'HB-D1 Besondere Lstg Land'!M86=TRUE),'HB-D1 Besondere Lstg Land'!K86,IF(AND(Projektgrundlagen!$I$23,'HB-D2 Besondere Lstg Bund'!M86=TRUE),'HB-D2 Besondere Lstg Bund'!K86,"")))</f>
        <v/>
      </c>
      <c r="G135" s="1253"/>
      <c r="H135" s="1254"/>
    </row>
    <row r="136" spans="2:8" ht="14.4">
      <c r="B136" t="str">
        <f>IF(AND(Projektgrundlagen!$I$21,'StB-D1 Besondere Lstg'!M87=TRUE),'StB-D1 Besondere Lstg'!C87&amp;" "&amp;'StB-D1 Besondere Lstg'!F87&amp;" "&amp;'StB-D1 Besondere Lstg'!F88,IF(AND(Projektgrundlagen!$I$22,'HB-D1 Besondere Lstg Land'!M87=TRUE),'HB-D1 Besondere Lstg Land'!C87&amp;" "&amp;'HB-D1 Besondere Lstg Land'!F87&amp;" "&amp;'HB-D1 Besondere Lstg Land'!F88,IF(AND(Projektgrundlagen!$I$23,'HB-D2 Besondere Lstg Bund'!M87=TRUE),'HB-D2 Besondere Lstg Bund'!C87&amp;" "&amp;'HB-D2 Besondere Lstg Bund'!F87&amp;" "&amp;'HB-D2 Besondere Lstg Bund'!F88,"")))</f>
        <v/>
      </c>
      <c r="C136" s="1246" t="str">
        <f>IF(AND(Projektgrundlagen!$I$21,'StB-D1 Besondere Lstg'!M87=TRUE),'StB-D1 Besondere Lstg'!H87,"")</f>
        <v/>
      </c>
      <c r="D136" s="1246" t="str">
        <f>IF(AND(Projektgrundlagen!$I$21,'StB-D1 Besondere Lstg'!M87=TRUE),'StB-D1 Besondere Lstg'!I87,IF(AND(Projektgrundlagen!$I$22,'HB-D1 Besondere Lstg Land'!M87=TRUE),(IF('HB-D1 Besondere Lstg Land'!H87&gt;0,"v.H.","pauschal")),IF(AND(Projektgrundlagen!$I$23,'HB-D2 Besondere Lstg Bund'!M87=TRUE),(IF('HB-D2 Besondere Lstg Bund'!H87&gt;0,"v.H.","pauschal")),"")))</f>
        <v/>
      </c>
      <c r="E136" s="1246" t="str">
        <f>IF(AND(Projektgrundlagen!$I$21,'StB-D1 Besondere Lstg'!M87=TRUE),'StB-D1 Besondere Lstg'!J87,IF(AND(Projektgrundlagen!$I$22,'HB-D1 Besondere Lstg Land'!M87=TRUE),'HB-D1 Besondere Lstg Land'!H87+'HB-D1 Besondere Lstg Land'!J87,IF(AND(Projektgrundlagen!$I$23,'HB-D2 Besondere Lstg Bund'!M87=TRUE),'HB-D2 Besondere Lstg Bund'!H87+'HB-D2 Besondere Lstg Bund'!J87,"")))</f>
        <v/>
      </c>
      <c r="F136" s="1246" t="str">
        <f>IF(AND(Projektgrundlagen!$I$21,'StB-D1 Besondere Lstg'!M87=TRUE),'StB-D1 Besondere Lstg'!K87,IF(AND(Projektgrundlagen!$I$22,'HB-D1 Besondere Lstg Land'!M87=TRUE),'HB-D1 Besondere Lstg Land'!K87,IF(AND(Projektgrundlagen!$I$23,'HB-D2 Besondere Lstg Bund'!M87=TRUE),'HB-D2 Besondere Lstg Bund'!K87,"")))</f>
        <v/>
      </c>
      <c r="G136" s="1253"/>
      <c r="H136" s="1254"/>
    </row>
    <row r="137" spans="2:8" ht="14.4">
      <c r="B137" t="str">
        <f>IF(AND(Projektgrundlagen!$I$21,'StB-D1 Besondere Lstg'!M88=TRUE),'StB-D1 Besondere Lstg'!C88&amp;" "&amp;'StB-D1 Besondere Lstg'!F88&amp;" "&amp;'StB-D1 Besondere Lstg'!F89,IF(AND(Projektgrundlagen!$I$22,'HB-D1 Besondere Lstg Land'!M88=TRUE),'HB-D1 Besondere Lstg Land'!C88&amp;" "&amp;'HB-D1 Besondere Lstg Land'!F88&amp;" "&amp;'HB-D1 Besondere Lstg Land'!F89,IF(AND(Projektgrundlagen!$I$23,'HB-D2 Besondere Lstg Bund'!M88=TRUE),'HB-D2 Besondere Lstg Bund'!C88&amp;" "&amp;'HB-D2 Besondere Lstg Bund'!F88&amp;" "&amp;'HB-D2 Besondere Lstg Bund'!F89,"")))</f>
        <v/>
      </c>
      <c r="C137" s="1246" t="str">
        <f>IF(AND(Projektgrundlagen!$I$21,'StB-D1 Besondere Lstg'!M88=TRUE),'StB-D1 Besondere Lstg'!H88,"")</f>
        <v/>
      </c>
      <c r="D137" s="1246" t="str">
        <f>IF(AND(Projektgrundlagen!$I$21,'StB-D1 Besondere Lstg'!M88=TRUE),'StB-D1 Besondere Lstg'!I88,IF(AND(Projektgrundlagen!$I$22,'HB-D1 Besondere Lstg Land'!M88=TRUE),(IF('HB-D1 Besondere Lstg Land'!H88&gt;0,"v.H.","pauschal")),IF(AND(Projektgrundlagen!$I$23,'HB-D2 Besondere Lstg Bund'!M88=TRUE),(IF('HB-D2 Besondere Lstg Bund'!H88&gt;0,"v.H.","pauschal")),"")))</f>
        <v/>
      </c>
      <c r="E137" s="1246" t="str">
        <f>IF(AND(Projektgrundlagen!$I$21,'StB-D1 Besondere Lstg'!M88=TRUE),'StB-D1 Besondere Lstg'!J88,IF(AND(Projektgrundlagen!$I$22,'HB-D1 Besondere Lstg Land'!M88=TRUE),'HB-D1 Besondere Lstg Land'!H88+'HB-D1 Besondere Lstg Land'!J88,IF(AND(Projektgrundlagen!$I$23,'HB-D2 Besondere Lstg Bund'!M88=TRUE),'HB-D2 Besondere Lstg Bund'!H88+'HB-D2 Besondere Lstg Bund'!J88,"")))</f>
        <v/>
      </c>
      <c r="F137" s="1246" t="str">
        <f>IF(AND(Projektgrundlagen!$I$21,'StB-D1 Besondere Lstg'!M88=TRUE),'StB-D1 Besondere Lstg'!K88,IF(AND(Projektgrundlagen!$I$22,'HB-D1 Besondere Lstg Land'!M88=TRUE),'HB-D1 Besondere Lstg Land'!K88,IF(AND(Projektgrundlagen!$I$23,'HB-D2 Besondere Lstg Bund'!M88=TRUE),'HB-D2 Besondere Lstg Bund'!K88,"")))</f>
        <v/>
      </c>
      <c r="G137" s="1253"/>
      <c r="H137" s="1254"/>
    </row>
    <row r="138" spans="2:8" ht="14.4">
      <c r="B138" t="str">
        <f>IF(AND(Projektgrundlagen!$I$21,'StB-D1 Besondere Lstg'!M89=TRUE),'StB-D1 Besondere Lstg'!C89&amp;" "&amp;'StB-D1 Besondere Lstg'!F89&amp;" "&amp;'StB-D1 Besondere Lstg'!F90,IF(AND(Projektgrundlagen!$I$22,'HB-D1 Besondere Lstg Land'!M89=TRUE),'HB-D1 Besondere Lstg Land'!C89&amp;" "&amp;'HB-D1 Besondere Lstg Land'!F89&amp;" "&amp;'HB-D1 Besondere Lstg Land'!F90,IF(AND(Projektgrundlagen!$I$23,'HB-D2 Besondere Lstg Bund'!M89=TRUE),'HB-D2 Besondere Lstg Bund'!C89&amp;" "&amp;'HB-D2 Besondere Lstg Bund'!F89&amp;" "&amp;'HB-D2 Besondere Lstg Bund'!F90,"")))</f>
        <v/>
      </c>
      <c r="C138" s="1246" t="str">
        <f>IF(AND(Projektgrundlagen!$I$21,'StB-D1 Besondere Lstg'!M89=TRUE),'StB-D1 Besondere Lstg'!H89,"")</f>
        <v/>
      </c>
      <c r="D138" s="1246" t="str">
        <f>IF(AND(Projektgrundlagen!$I$21,'StB-D1 Besondere Lstg'!M89=TRUE),'StB-D1 Besondere Lstg'!I89,IF(AND(Projektgrundlagen!$I$22,'HB-D1 Besondere Lstg Land'!M89=TRUE),(IF('HB-D1 Besondere Lstg Land'!H89&gt;0,"v.H.","pauschal")),IF(AND(Projektgrundlagen!$I$23,'HB-D2 Besondere Lstg Bund'!M89=TRUE),(IF('HB-D2 Besondere Lstg Bund'!H89&gt;0,"v.H.","pauschal")),"")))</f>
        <v/>
      </c>
      <c r="E138" s="1246" t="str">
        <f>IF(AND(Projektgrundlagen!$I$21,'StB-D1 Besondere Lstg'!M89=TRUE),'StB-D1 Besondere Lstg'!J89,IF(AND(Projektgrundlagen!$I$22,'HB-D1 Besondere Lstg Land'!M89=TRUE),'HB-D1 Besondere Lstg Land'!H89+'HB-D1 Besondere Lstg Land'!J89,IF(AND(Projektgrundlagen!$I$23,'HB-D2 Besondere Lstg Bund'!M89=TRUE),'HB-D2 Besondere Lstg Bund'!H89+'HB-D2 Besondere Lstg Bund'!J89,"")))</f>
        <v/>
      </c>
      <c r="F138" s="1246" t="str">
        <f>IF(AND(Projektgrundlagen!$I$21,'StB-D1 Besondere Lstg'!M89=TRUE),'StB-D1 Besondere Lstg'!K89,IF(AND(Projektgrundlagen!$I$22,'HB-D1 Besondere Lstg Land'!M89=TRUE),'HB-D1 Besondere Lstg Land'!K89,IF(AND(Projektgrundlagen!$I$23,'HB-D2 Besondere Lstg Bund'!M89=TRUE),'HB-D2 Besondere Lstg Bund'!K89,"")))</f>
        <v/>
      </c>
      <c r="G138" s="1253"/>
      <c r="H138" s="1254"/>
    </row>
    <row r="139" spans="2:8" ht="14.4">
      <c r="B139" t="str">
        <f>IF(AND(Projektgrundlagen!$I$21,'StB-D1 Besondere Lstg'!M90=TRUE),'StB-D1 Besondere Lstg'!C90&amp;" "&amp;'StB-D1 Besondere Lstg'!F90&amp;" "&amp;'StB-D1 Besondere Lstg'!F91,IF(AND(Projektgrundlagen!$I$22,'HB-D1 Besondere Lstg Land'!M90=TRUE),'HB-D1 Besondere Lstg Land'!C90&amp;" "&amp;'HB-D1 Besondere Lstg Land'!F90&amp;" "&amp;'HB-D1 Besondere Lstg Land'!F91,IF(AND(Projektgrundlagen!$I$23,'HB-D2 Besondere Lstg Bund'!M90=TRUE),'HB-D2 Besondere Lstg Bund'!C90&amp;" "&amp;'HB-D2 Besondere Lstg Bund'!F90&amp;" "&amp;'HB-D2 Besondere Lstg Bund'!F91,"")))</f>
        <v/>
      </c>
      <c r="C139" s="1246" t="str">
        <f>IF(AND(Projektgrundlagen!$I$21,'StB-D1 Besondere Lstg'!M90=TRUE),'StB-D1 Besondere Lstg'!H90,"")</f>
        <v/>
      </c>
      <c r="D139" s="1246" t="str">
        <f>IF(AND(Projektgrundlagen!$I$21,'StB-D1 Besondere Lstg'!M90=TRUE),'StB-D1 Besondere Lstg'!I90,IF(AND(Projektgrundlagen!$I$22,'HB-D1 Besondere Lstg Land'!M90=TRUE),(IF('HB-D1 Besondere Lstg Land'!H90&gt;0,"v.H.","pauschal")),IF(AND(Projektgrundlagen!$I$23,'HB-D2 Besondere Lstg Bund'!M90=TRUE),(IF('HB-D2 Besondere Lstg Bund'!H90&gt;0,"v.H.","pauschal")),"")))</f>
        <v/>
      </c>
      <c r="E139" s="1246" t="str">
        <f>IF(AND(Projektgrundlagen!$I$21,'StB-D1 Besondere Lstg'!M90=TRUE),'StB-D1 Besondere Lstg'!J90,IF(AND(Projektgrundlagen!$I$22,'HB-D1 Besondere Lstg Land'!M90=TRUE),'HB-D1 Besondere Lstg Land'!H90+'HB-D1 Besondere Lstg Land'!J90,IF(AND(Projektgrundlagen!$I$23,'HB-D2 Besondere Lstg Bund'!M90=TRUE),'HB-D2 Besondere Lstg Bund'!H90+'HB-D2 Besondere Lstg Bund'!J90,"")))</f>
        <v/>
      </c>
      <c r="F139" s="1246" t="str">
        <f>IF(AND(Projektgrundlagen!$I$21,'StB-D1 Besondere Lstg'!M90=TRUE),'StB-D1 Besondere Lstg'!K90,IF(AND(Projektgrundlagen!$I$22,'HB-D1 Besondere Lstg Land'!M90=TRUE),'HB-D1 Besondere Lstg Land'!K90,IF(AND(Projektgrundlagen!$I$23,'HB-D2 Besondere Lstg Bund'!M90=TRUE),'HB-D2 Besondere Lstg Bund'!K90,"")))</f>
        <v/>
      </c>
      <c r="G139" s="1253"/>
      <c r="H139" s="1254"/>
    </row>
    <row r="140" spans="2:8" ht="14.4">
      <c r="B140" t="str">
        <f>IF(AND(Projektgrundlagen!$I$21,'StB-D1 Besondere Lstg'!M91=TRUE),'StB-D1 Besondere Lstg'!C91&amp;" "&amp;'StB-D1 Besondere Lstg'!F91&amp;" "&amp;'StB-D1 Besondere Lstg'!F92,IF(AND(Projektgrundlagen!$I$22,'HB-D1 Besondere Lstg Land'!M91=TRUE),'HB-D1 Besondere Lstg Land'!C91&amp;" "&amp;'HB-D1 Besondere Lstg Land'!F91&amp;" "&amp;'HB-D1 Besondere Lstg Land'!F92,IF(AND(Projektgrundlagen!$I$23,'HB-D2 Besondere Lstg Bund'!M91=TRUE),'HB-D2 Besondere Lstg Bund'!C91&amp;" "&amp;'HB-D2 Besondere Lstg Bund'!F91&amp;" "&amp;'HB-D2 Besondere Lstg Bund'!F92,"")))</f>
        <v/>
      </c>
      <c r="C140" s="1246" t="str">
        <f>IF(AND(Projektgrundlagen!$I$21,'StB-D1 Besondere Lstg'!M91=TRUE),'StB-D1 Besondere Lstg'!H91,"")</f>
        <v/>
      </c>
      <c r="D140" s="1246" t="str">
        <f>IF(AND(Projektgrundlagen!$I$21,'StB-D1 Besondere Lstg'!M91=TRUE),'StB-D1 Besondere Lstg'!I91,IF(AND(Projektgrundlagen!$I$22,'HB-D1 Besondere Lstg Land'!M91=TRUE),(IF('HB-D1 Besondere Lstg Land'!H91&gt;0,"v.H.","pauschal")),IF(AND(Projektgrundlagen!$I$23,'HB-D2 Besondere Lstg Bund'!M91=TRUE),(IF('HB-D2 Besondere Lstg Bund'!H91&gt;0,"v.H.","pauschal")),"")))</f>
        <v/>
      </c>
      <c r="E140" s="1246" t="str">
        <f>IF(AND(Projektgrundlagen!$I$21,'StB-D1 Besondere Lstg'!M91=TRUE),'StB-D1 Besondere Lstg'!J91,IF(AND(Projektgrundlagen!$I$22,'HB-D1 Besondere Lstg Land'!M91=TRUE),'HB-D1 Besondere Lstg Land'!H91+'HB-D1 Besondere Lstg Land'!J91,IF(AND(Projektgrundlagen!$I$23,'HB-D2 Besondere Lstg Bund'!M91=TRUE),'HB-D2 Besondere Lstg Bund'!H91+'HB-D2 Besondere Lstg Bund'!J91,"")))</f>
        <v/>
      </c>
      <c r="F140" s="1246" t="str">
        <f>IF(AND(Projektgrundlagen!$I$21,'StB-D1 Besondere Lstg'!M91=TRUE),'StB-D1 Besondere Lstg'!K91,IF(AND(Projektgrundlagen!$I$22,'HB-D1 Besondere Lstg Land'!M91=TRUE),'HB-D1 Besondere Lstg Land'!K91,IF(AND(Projektgrundlagen!$I$23,'HB-D2 Besondere Lstg Bund'!M91=TRUE),'HB-D2 Besondere Lstg Bund'!K91,"")))</f>
        <v/>
      </c>
      <c r="G140" s="1253"/>
      <c r="H140" s="1254"/>
    </row>
    <row r="141" spans="2:8" ht="14.4">
      <c r="B141" t="str">
        <f>IF(AND(Projektgrundlagen!$I$21,'StB-D1 Besondere Lstg'!M92=TRUE),'StB-D1 Besondere Lstg'!C92&amp;" "&amp;'StB-D1 Besondere Lstg'!F92&amp;" "&amp;'StB-D1 Besondere Lstg'!F93,IF(AND(Projektgrundlagen!$I$22,'HB-D1 Besondere Lstg Land'!M92=TRUE),'HB-D1 Besondere Lstg Land'!C92&amp;" "&amp;'HB-D1 Besondere Lstg Land'!F92&amp;" "&amp;'HB-D1 Besondere Lstg Land'!F93,IF(AND(Projektgrundlagen!$I$23,'HB-D2 Besondere Lstg Bund'!M92=TRUE),'HB-D2 Besondere Lstg Bund'!C92&amp;" "&amp;'HB-D2 Besondere Lstg Bund'!F92&amp;" "&amp;'HB-D2 Besondere Lstg Bund'!F93,"")))</f>
        <v/>
      </c>
      <c r="C141" s="1246" t="str">
        <f>IF(AND(Projektgrundlagen!$I$21,'StB-D1 Besondere Lstg'!M92=TRUE),'StB-D1 Besondere Lstg'!H92,"")</f>
        <v/>
      </c>
      <c r="D141" s="1246" t="str">
        <f>IF(AND(Projektgrundlagen!$I$21,'StB-D1 Besondere Lstg'!M92=TRUE),'StB-D1 Besondere Lstg'!I92,IF(AND(Projektgrundlagen!$I$22,'HB-D1 Besondere Lstg Land'!M92=TRUE),(IF('HB-D1 Besondere Lstg Land'!H92&gt;0,"v.H.","pauschal")),IF(AND(Projektgrundlagen!$I$23,'HB-D2 Besondere Lstg Bund'!M92=TRUE),(IF('HB-D2 Besondere Lstg Bund'!H92&gt;0,"v.H.","pauschal")),"")))</f>
        <v/>
      </c>
      <c r="E141" s="1246" t="str">
        <f>IF(AND(Projektgrundlagen!$I$21,'StB-D1 Besondere Lstg'!M92=TRUE),'StB-D1 Besondere Lstg'!J92,IF(AND(Projektgrundlagen!$I$22,'HB-D1 Besondere Lstg Land'!M92=TRUE),'HB-D1 Besondere Lstg Land'!H92+'HB-D1 Besondere Lstg Land'!J92,IF(AND(Projektgrundlagen!$I$23,'HB-D2 Besondere Lstg Bund'!M92=TRUE),'HB-D2 Besondere Lstg Bund'!H92+'HB-D2 Besondere Lstg Bund'!J92,"")))</f>
        <v/>
      </c>
      <c r="F141" s="1246" t="str">
        <f>IF(AND(Projektgrundlagen!$I$21,'StB-D1 Besondere Lstg'!M92=TRUE),'StB-D1 Besondere Lstg'!K92,IF(AND(Projektgrundlagen!$I$22,'HB-D1 Besondere Lstg Land'!M92=TRUE),'HB-D1 Besondere Lstg Land'!K92,IF(AND(Projektgrundlagen!$I$23,'HB-D2 Besondere Lstg Bund'!M92=TRUE),'HB-D2 Besondere Lstg Bund'!K92,"")))</f>
        <v/>
      </c>
      <c r="G141" s="1253"/>
      <c r="H141" s="1254"/>
    </row>
    <row r="142" spans="2:8" ht="14.4">
      <c r="B142" t="str">
        <f>IF(AND(Projektgrundlagen!$I$21,'StB-D1 Besondere Lstg'!M93=TRUE),'StB-D1 Besondere Lstg'!C93&amp;" "&amp;'StB-D1 Besondere Lstg'!F93&amp;" "&amp;'StB-D1 Besondere Lstg'!F94,IF(AND(Projektgrundlagen!$I$22,'HB-D1 Besondere Lstg Land'!M93=TRUE),'HB-D1 Besondere Lstg Land'!C93&amp;" "&amp;'HB-D1 Besondere Lstg Land'!F93&amp;" "&amp;'HB-D1 Besondere Lstg Land'!F94,IF(AND(Projektgrundlagen!$I$23,'HB-D2 Besondere Lstg Bund'!M93=TRUE),'HB-D2 Besondere Lstg Bund'!C93&amp;" "&amp;'HB-D2 Besondere Lstg Bund'!F93&amp;" "&amp;'HB-D2 Besondere Lstg Bund'!F94,"")))</f>
        <v/>
      </c>
      <c r="C142" s="1246" t="str">
        <f>IF(AND(Projektgrundlagen!$I$21,'StB-D1 Besondere Lstg'!M93=TRUE),'StB-D1 Besondere Lstg'!H93,"")</f>
        <v/>
      </c>
      <c r="D142" s="1246" t="str">
        <f>IF(AND(Projektgrundlagen!$I$21,'StB-D1 Besondere Lstg'!M93=TRUE),'StB-D1 Besondere Lstg'!I93,IF(AND(Projektgrundlagen!$I$22,'HB-D1 Besondere Lstg Land'!M93=TRUE),(IF('HB-D1 Besondere Lstg Land'!H93&gt;0,"v.H.","pauschal")),IF(AND(Projektgrundlagen!$I$23,'HB-D2 Besondere Lstg Bund'!M93=TRUE),(IF('HB-D2 Besondere Lstg Bund'!H93&gt;0,"v.H.","pauschal")),"")))</f>
        <v/>
      </c>
      <c r="E142" s="1246" t="str">
        <f>IF(AND(Projektgrundlagen!$I$21,'StB-D1 Besondere Lstg'!M93=TRUE),'StB-D1 Besondere Lstg'!J93,IF(AND(Projektgrundlagen!$I$22,'HB-D1 Besondere Lstg Land'!M93=TRUE),'HB-D1 Besondere Lstg Land'!H93+'HB-D1 Besondere Lstg Land'!J93,IF(AND(Projektgrundlagen!$I$23,'HB-D2 Besondere Lstg Bund'!M93=TRUE),'HB-D2 Besondere Lstg Bund'!H93+'HB-D2 Besondere Lstg Bund'!J93,"")))</f>
        <v/>
      </c>
      <c r="F142" s="1246" t="str">
        <f>IF(AND(Projektgrundlagen!$I$21,'StB-D1 Besondere Lstg'!M93=TRUE),'StB-D1 Besondere Lstg'!K93,IF(AND(Projektgrundlagen!$I$22,'HB-D1 Besondere Lstg Land'!M93=TRUE),'HB-D1 Besondere Lstg Land'!K93,IF(AND(Projektgrundlagen!$I$23,'HB-D2 Besondere Lstg Bund'!M93=TRUE),'HB-D2 Besondere Lstg Bund'!K93,"")))</f>
        <v/>
      </c>
      <c r="G142" s="1253"/>
      <c r="H142" s="1254"/>
    </row>
    <row r="143" spans="2:8" ht="14.4">
      <c r="B143" t="str">
        <f>IF(AND(Projektgrundlagen!$I$21,'StB-D1 Besondere Lstg'!M94=TRUE),'StB-D1 Besondere Lstg'!C94&amp;" "&amp;'StB-D1 Besondere Lstg'!F94&amp;" "&amp;'StB-D1 Besondere Lstg'!F95,IF(AND(Projektgrundlagen!$I$22,'HB-D1 Besondere Lstg Land'!M94=TRUE),'HB-D1 Besondere Lstg Land'!C94&amp;" "&amp;'HB-D1 Besondere Lstg Land'!F94&amp;" "&amp;'HB-D1 Besondere Lstg Land'!F95,IF(AND(Projektgrundlagen!$I$23,'HB-D2 Besondere Lstg Bund'!M94=TRUE),'HB-D2 Besondere Lstg Bund'!C94&amp;" "&amp;'HB-D2 Besondere Lstg Bund'!F94&amp;" "&amp;'HB-D2 Besondere Lstg Bund'!F95,"")))</f>
        <v/>
      </c>
      <c r="C143" s="1246" t="str">
        <f>IF(AND(Projektgrundlagen!$I$21,'StB-D1 Besondere Lstg'!M94=TRUE),'StB-D1 Besondere Lstg'!H94,"")</f>
        <v/>
      </c>
      <c r="D143" s="1246" t="str">
        <f>IF(AND(Projektgrundlagen!$I$21,'StB-D1 Besondere Lstg'!M94=TRUE),'StB-D1 Besondere Lstg'!I94,IF(AND(Projektgrundlagen!$I$22,'HB-D1 Besondere Lstg Land'!M94=TRUE),(IF('HB-D1 Besondere Lstg Land'!H94&gt;0,"v.H.","pauschal")),IF(AND(Projektgrundlagen!$I$23,'HB-D2 Besondere Lstg Bund'!M94=TRUE),(IF('HB-D2 Besondere Lstg Bund'!H94&gt;0,"v.H.","pauschal")),"")))</f>
        <v/>
      </c>
      <c r="E143" s="1246" t="str">
        <f>IF(AND(Projektgrundlagen!$I$21,'StB-D1 Besondere Lstg'!M94=TRUE),'StB-D1 Besondere Lstg'!J94,IF(AND(Projektgrundlagen!$I$22,'HB-D1 Besondere Lstg Land'!M94=TRUE),'HB-D1 Besondere Lstg Land'!H94+'HB-D1 Besondere Lstg Land'!J94,IF(AND(Projektgrundlagen!$I$23,'HB-D2 Besondere Lstg Bund'!M94=TRUE),'HB-D2 Besondere Lstg Bund'!H94+'HB-D2 Besondere Lstg Bund'!J94,"")))</f>
        <v/>
      </c>
      <c r="F143" s="1246" t="str">
        <f>IF(AND(Projektgrundlagen!$I$21,'StB-D1 Besondere Lstg'!M94=TRUE),'StB-D1 Besondere Lstg'!K94,IF(AND(Projektgrundlagen!$I$22,'HB-D1 Besondere Lstg Land'!M94=TRUE),'HB-D1 Besondere Lstg Land'!K94,IF(AND(Projektgrundlagen!$I$23,'HB-D2 Besondere Lstg Bund'!M94=TRUE),'HB-D2 Besondere Lstg Bund'!K94,"")))</f>
        <v/>
      </c>
      <c r="G143" s="1253"/>
      <c r="H143" s="1254"/>
    </row>
    <row r="144" spans="2:8" ht="14.4">
      <c r="B144" t="str">
        <f>IF(AND(Projektgrundlagen!$I$21,'StB-D1 Besondere Lstg'!M95=TRUE),'StB-D1 Besondere Lstg'!C95&amp;" "&amp;'StB-D1 Besondere Lstg'!F95&amp;" "&amp;'StB-D1 Besondere Lstg'!F96,IF(AND(Projektgrundlagen!$I$22,'HB-D1 Besondere Lstg Land'!M95=TRUE),'HB-D1 Besondere Lstg Land'!C95&amp;" "&amp;'HB-D1 Besondere Lstg Land'!F95&amp;" "&amp;'HB-D1 Besondere Lstg Land'!F96,IF(AND(Projektgrundlagen!$I$23,'HB-D2 Besondere Lstg Bund'!M95=TRUE),'HB-D2 Besondere Lstg Bund'!C95&amp;" "&amp;'HB-D2 Besondere Lstg Bund'!F95&amp;" "&amp;'HB-D2 Besondere Lstg Bund'!F96,"")))</f>
        <v/>
      </c>
      <c r="C144" s="1246" t="str">
        <f>IF(AND(Projektgrundlagen!$I$21,'StB-D1 Besondere Lstg'!M95=TRUE),'StB-D1 Besondere Lstg'!H95,"")</f>
        <v/>
      </c>
      <c r="D144" s="1246" t="str">
        <f>IF(AND(Projektgrundlagen!$I$21,'StB-D1 Besondere Lstg'!M95=TRUE),'StB-D1 Besondere Lstg'!I95,IF(AND(Projektgrundlagen!$I$22,'HB-D1 Besondere Lstg Land'!M95=TRUE),(IF('HB-D1 Besondere Lstg Land'!H95&gt;0,"v.H.","pauschal")),IF(AND(Projektgrundlagen!$I$23,'HB-D2 Besondere Lstg Bund'!M95=TRUE),(IF('HB-D2 Besondere Lstg Bund'!H95&gt;0,"v.H.","pauschal")),"")))</f>
        <v/>
      </c>
      <c r="E144" s="1246" t="str">
        <f>IF(AND(Projektgrundlagen!$I$21,'StB-D1 Besondere Lstg'!M95=TRUE),'StB-D1 Besondere Lstg'!J95,IF(AND(Projektgrundlagen!$I$22,'HB-D1 Besondere Lstg Land'!M95=TRUE),'HB-D1 Besondere Lstg Land'!H95+'HB-D1 Besondere Lstg Land'!J95,IF(AND(Projektgrundlagen!$I$23,'HB-D2 Besondere Lstg Bund'!M95=TRUE),'HB-D2 Besondere Lstg Bund'!H95+'HB-D2 Besondere Lstg Bund'!J95,"")))</f>
        <v/>
      </c>
      <c r="F144" s="1246" t="str">
        <f>IF(AND(Projektgrundlagen!$I$21,'StB-D1 Besondere Lstg'!M95=TRUE),'StB-D1 Besondere Lstg'!K95,IF(AND(Projektgrundlagen!$I$22,'HB-D1 Besondere Lstg Land'!M95=TRUE),'HB-D1 Besondere Lstg Land'!K95,IF(AND(Projektgrundlagen!$I$23,'HB-D2 Besondere Lstg Bund'!M95=TRUE),'HB-D2 Besondere Lstg Bund'!K95,"")))</f>
        <v/>
      </c>
      <c r="G144" s="1253"/>
      <c r="H144" s="1254"/>
    </row>
    <row r="145" spans="2:8" ht="14.4">
      <c r="B145" t="str">
        <f>IF(AND(Projektgrundlagen!$I$21,'StB-D1 Besondere Lstg'!M96=TRUE),'StB-D1 Besondere Lstg'!C96&amp;" "&amp;'StB-D1 Besondere Lstg'!F96&amp;" "&amp;'StB-D1 Besondere Lstg'!F97,IF(AND(Projektgrundlagen!$I$22,'HB-D1 Besondere Lstg Land'!M96=TRUE),'HB-D1 Besondere Lstg Land'!C96&amp;" "&amp;'HB-D1 Besondere Lstg Land'!F96&amp;" "&amp;'HB-D1 Besondere Lstg Land'!F97,IF(AND(Projektgrundlagen!$I$23,'HB-D2 Besondere Lstg Bund'!M96=TRUE),'HB-D2 Besondere Lstg Bund'!C96&amp;" "&amp;'HB-D2 Besondere Lstg Bund'!F96&amp;" "&amp;'HB-D2 Besondere Lstg Bund'!F97,"")))</f>
        <v/>
      </c>
      <c r="C145" s="1246" t="str">
        <f>IF(AND(Projektgrundlagen!$I$21,'StB-D1 Besondere Lstg'!M96=TRUE),'StB-D1 Besondere Lstg'!H96,"")</f>
        <v/>
      </c>
      <c r="D145" s="1246" t="str">
        <f>IF(AND(Projektgrundlagen!$I$21,'StB-D1 Besondere Lstg'!M96=TRUE),'StB-D1 Besondere Lstg'!I96,IF(AND(Projektgrundlagen!$I$22,'HB-D1 Besondere Lstg Land'!M96=TRUE),(IF('HB-D1 Besondere Lstg Land'!H96&gt;0,"v.H.","pauschal")),IF(AND(Projektgrundlagen!$I$23,'HB-D2 Besondere Lstg Bund'!M96=TRUE),(IF('HB-D2 Besondere Lstg Bund'!H96&gt;0,"v.H.","pauschal")),"")))</f>
        <v/>
      </c>
      <c r="E145" s="1246" t="str">
        <f>IF(AND(Projektgrundlagen!$I$21,'StB-D1 Besondere Lstg'!M96=TRUE),'StB-D1 Besondere Lstg'!J96,IF(AND(Projektgrundlagen!$I$22,'HB-D1 Besondere Lstg Land'!M96=TRUE),'HB-D1 Besondere Lstg Land'!H96+'HB-D1 Besondere Lstg Land'!J96,IF(AND(Projektgrundlagen!$I$23,'HB-D2 Besondere Lstg Bund'!M96=TRUE),'HB-D2 Besondere Lstg Bund'!H96+'HB-D2 Besondere Lstg Bund'!J96,"")))</f>
        <v/>
      </c>
      <c r="F145" s="1246" t="str">
        <f>IF(AND(Projektgrundlagen!$I$21,'StB-D1 Besondere Lstg'!M96=TRUE),'StB-D1 Besondere Lstg'!K96,IF(AND(Projektgrundlagen!$I$22,'HB-D1 Besondere Lstg Land'!M96=TRUE),'HB-D1 Besondere Lstg Land'!K96,IF(AND(Projektgrundlagen!$I$23,'HB-D2 Besondere Lstg Bund'!M96=TRUE),'HB-D2 Besondere Lstg Bund'!K96,"")))</f>
        <v/>
      </c>
      <c r="G145" s="1253"/>
      <c r="H145" s="1254"/>
    </row>
    <row r="146" spans="2:8" ht="14.4">
      <c r="B146" t="str">
        <f>IF(AND(Projektgrundlagen!$I$21,'StB-D1 Besondere Lstg'!M97=TRUE),'StB-D1 Besondere Lstg'!C97&amp;" "&amp;'StB-D1 Besondere Lstg'!F97&amp;" "&amp;'StB-D1 Besondere Lstg'!F98,IF(AND(Projektgrundlagen!$I$22,'HB-D1 Besondere Lstg Land'!M97=TRUE),'HB-D1 Besondere Lstg Land'!C97&amp;" "&amp;'HB-D1 Besondere Lstg Land'!F97&amp;" "&amp;'HB-D1 Besondere Lstg Land'!F98,IF(AND(Projektgrundlagen!$I$23,'HB-D2 Besondere Lstg Bund'!M97=TRUE),'HB-D2 Besondere Lstg Bund'!C97&amp;" "&amp;'HB-D2 Besondere Lstg Bund'!F97&amp;" "&amp;'HB-D2 Besondere Lstg Bund'!F98,"")))</f>
        <v/>
      </c>
      <c r="C146" s="1246" t="str">
        <f>IF(AND(Projektgrundlagen!$I$21,'StB-D1 Besondere Lstg'!M97=TRUE),'StB-D1 Besondere Lstg'!H97,"")</f>
        <v/>
      </c>
      <c r="D146" s="1246" t="str">
        <f>IF(AND(Projektgrundlagen!$I$21,'StB-D1 Besondere Lstg'!M97=TRUE),'StB-D1 Besondere Lstg'!I97,IF(AND(Projektgrundlagen!$I$22,'HB-D1 Besondere Lstg Land'!M97=TRUE),(IF('HB-D1 Besondere Lstg Land'!H97&gt;0,"v.H.","pauschal")),IF(AND(Projektgrundlagen!$I$23,'HB-D2 Besondere Lstg Bund'!M97=TRUE),(IF('HB-D2 Besondere Lstg Bund'!H97&gt;0,"v.H.","pauschal")),"")))</f>
        <v/>
      </c>
      <c r="E146" s="1246" t="str">
        <f>IF(AND(Projektgrundlagen!$I$21,'StB-D1 Besondere Lstg'!M97=TRUE),'StB-D1 Besondere Lstg'!J97,IF(AND(Projektgrundlagen!$I$22,'HB-D1 Besondere Lstg Land'!M97=TRUE),'HB-D1 Besondere Lstg Land'!H97+'HB-D1 Besondere Lstg Land'!J97,IF(AND(Projektgrundlagen!$I$23,'HB-D2 Besondere Lstg Bund'!M97=TRUE),'HB-D2 Besondere Lstg Bund'!H97+'HB-D2 Besondere Lstg Bund'!J97,"")))</f>
        <v/>
      </c>
      <c r="F146" s="1246" t="str">
        <f>IF(AND(Projektgrundlagen!$I$21,'StB-D1 Besondere Lstg'!M97=TRUE),'StB-D1 Besondere Lstg'!K97,IF(AND(Projektgrundlagen!$I$22,'HB-D1 Besondere Lstg Land'!M97=TRUE),'HB-D1 Besondere Lstg Land'!K97,IF(AND(Projektgrundlagen!$I$23,'HB-D2 Besondere Lstg Bund'!M97=TRUE),'HB-D2 Besondere Lstg Bund'!K97,"")))</f>
        <v/>
      </c>
      <c r="G146" s="1253"/>
      <c r="H146" s="1254"/>
    </row>
    <row r="147" spans="2:8" ht="14.4">
      <c r="B147" t="str">
        <f>IF(AND(Projektgrundlagen!$I$21,'StB-D1 Besondere Lstg'!M98=TRUE),'StB-D1 Besondere Lstg'!C98&amp;" "&amp;'StB-D1 Besondere Lstg'!F98&amp;" "&amp;'StB-D1 Besondere Lstg'!F99,IF(AND(Projektgrundlagen!$I$22,'HB-D1 Besondere Lstg Land'!M98=TRUE),'HB-D1 Besondere Lstg Land'!C98&amp;" "&amp;'HB-D1 Besondere Lstg Land'!F98&amp;" "&amp;'HB-D1 Besondere Lstg Land'!F99,IF(AND(Projektgrundlagen!$I$23,'HB-D2 Besondere Lstg Bund'!M98=TRUE),'HB-D2 Besondere Lstg Bund'!C98&amp;" "&amp;'HB-D2 Besondere Lstg Bund'!F98&amp;" "&amp;'HB-D2 Besondere Lstg Bund'!F99,"")))</f>
        <v/>
      </c>
      <c r="C147" s="1246" t="str">
        <f>IF(AND(Projektgrundlagen!$I$21,'StB-D1 Besondere Lstg'!M98=TRUE),'StB-D1 Besondere Lstg'!H98,"")</f>
        <v/>
      </c>
      <c r="D147" s="1246" t="str">
        <f>IF(AND(Projektgrundlagen!$I$21,'StB-D1 Besondere Lstg'!M98=TRUE),'StB-D1 Besondere Lstg'!I98,IF(AND(Projektgrundlagen!$I$22,'HB-D1 Besondere Lstg Land'!M98=TRUE),(IF('HB-D1 Besondere Lstg Land'!H98&gt;0,"v.H.","pauschal")),IF(AND(Projektgrundlagen!$I$23,'HB-D2 Besondere Lstg Bund'!M98=TRUE),(IF('HB-D2 Besondere Lstg Bund'!H98&gt;0,"v.H.","pauschal")),"")))</f>
        <v/>
      </c>
      <c r="E147" s="1246" t="str">
        <f>IF(AND(Projektgrundlagen!$I$21,'StB-D1 Besondere Lstg'!M98=TRUE),'StB-D1 Besondere Lstg'!J98,IF(AND(Projektgrundlagen!$I$22,'HB-D1 Besondere Lstg Land'!M98=TRUE),'HB-D1 Besondere Lstg Land'!H98+'HB-D1 Besondere Lstg Land'!J98,IF(AND(Projektgrundlagen!$I$23,'HB-D2 Besondere Lstg Bund'!M98=TRUE),'HB-D2 Besondere Lstg Bund'!H98+'HB-D2 Besondere Lstg Bund'!J98,"")))</f>
        <v/>
      </c>
      <c r="F147" s="1246" t="str">
        <f>IF(AND(Projektgrundlagen!$I$21,'StB-D1 Besondere Lstg'!M98=TRUE),'StB-D1 Besondere Lstg'!K98,IF(AND(Projektgrundlagen!$I$22,'HB-D1 Besondere Lstg Land'!M98=TRUE),'HB-D1 Besondere Lstg Land'!K98,IF(AND(Projektgrundlagen!$I$23,'HB-D2 Besondere Lstg Bund'!M98=TRUE),'HB-D2 Besondere Lstg Bund'!K98,"")))</f>
        <v/>
      </c>
      <c r="G147" s="1253"/>
      <c r="H147" s="1254"/>
    </row>
    <row r="148" spans="2:8" ht="14.4">
      <c r="B148" t="str">
        <f>IF(AND(Projektgrundlagen!$I$21,'StB-D1 Besondere Lstg'!M99=TRUE),'StB-D1 Besondere Lstg'!C99&amp;" "&amp;'StB-D1 Besondere Lstg'!F99&amp;" "&amp;'StB-D1 Besondere Lstg'!F100,IF(AND(Projektgrundlagen!$I$22,'HB-D1 Besondere Lstg Land'!M99=TRUE),'HB-D1 Besondere Lstg Land'!C99&amp;" "&amp;'HB-D1 Besondere Lstg Land'!F99&amp;" "&amp;'HB-D1 Besondere Lstg Land'!F100,IF(AND(Projektgrundlagen!$I$23,'HB-D2 Besondere Lstg Bund'!M99=TRUE),'HB-D2 Besondere Lstg Bund'!C99&amp;" "&amp;'HB-D2 Besondere Lstg Bund'!F99&amp;" "&amp;'HB-D2 Besondere Lstg Bund'!F100,"")))</f>
        <v/>
      </c>
      <c r="C148" s="1246" t="str">
        <f>IF(AND(Projektgrundlagen!$I$21,'StB-D1 Besondere Lstg'!M99=TRUE),'StB-D1 Besondere Lstg'!H99,"")</f>
        <v/>
      </c>
      <c r="D148" s="1246" t="str">
        <f>IF(AND(Projektgrundlagen!$I$21,'StB-D1 Besondere Lstg'!M99=TRUE),'StB-D1 Besondere Lstg'!I99,IF(AND(Projektgrundlagen!$I$22,'HB-D1 Besondere Lstg Land'!M99=TRUE),(IF('HB-D1 Besondere Lstg Land'!H99&gt;0,"v.H.","pauschal")),IF(AND(Projektgrundlagen!$I$23,'HB-D2 Besondere Lstg Bund'!M99=TRUE),(IF('HB-D2 Besondere Lstg Bund'!H99&gt;0,"v.H.","pauschal")),"")))</f>
        <v/>
      </c>
      <c r="E148" s="1246" t="str">
        <f>IF(AND(Projektgrundlagen!$I$21,'StB-D1 Besondere Lstg'!M99=TRUE),'StB-D1 Besondere Lstg'!J99,IF(AND(Projektgrundlagen!$I$22,'HB-D1 Besondere Lstg Land'!M99=TRUE),'HB-D1 Besondere Lstg Land'!H99+'HB-D1 Besondere Lstg Land'!J99,IF(AND(Projektgrundlagen!$I$23,'HB-D2 Besondere Lstg Bund'!M99=TRUE),'HB-D2 Besondere Lstg Bund'!H99+'HB-D2 Besondere Lstg Bund'!J99,"")))</f>
        <v/>
      </c>
      <c r="F148" s="1246" t="str">
        <f>IF(AND(Projektgrundlagen!$I$21,'StB-D1 Besondere Lstg'!M99=TRUE),'StB-D1 Besondere Lstg'!K99,IF(AND(Projektgrundlagen!$I$22,'HB-D1 Besondere Lstg Land'!M99=TRUE),'HB-D1 Besondere Lstg Land'!K99,IF(AND(Projektgrundlagen!$I$23,'HB-D2 Besondere Lstg Bund'!M99=TRUE),'HB-D2 Besondere Lstg Bund'!K99,"")))</f>
        <v/>
      </c>
      <c r="G148" s="1253"/>
      <c r="H148" s="1254"/>
    </row>
    <row r="149" spans="2:8" ht="14.4">
      <c r="B149" t="str">
        <f>IF(AND(Projektgrundlagen!$I$21,'StB-D1 Besondere Lstg'!M100=TRUE),'StB-D1 Besondere Lstg'!C100&amp;" "&amp;'StB-D1 Besondere Lstg'!F100&amp;" "&amp;'StB-D1 Besondere Lstg'!F101,IF(AND(Projektgrundlagen!$I$22,'HB-D1 Besondere Lstg Land'!M100=TRUE),'HB-D1 Besondere Lstg Land'!C100&amp;" "&amp;'HB-D1 Besondere Lstg Land'!F100&amp;" "&amp;'HB-D1 Besondere Lstg Land'!F101,IF(AND(Projektgrundlagen!$I$23,'HB-D2 Besondere Lstg Bund'!M100=TRUE),'HB-D2 Besondere Lstg Bund'!C100&amp;" "&amp;'HB-D2 Besondere Lstg Bund'!F100&amp;" "&amp;'HB-D2 Besondere Lstg Bund'!F101,"")))</f>
        <v/>
      </c>
      <c r="C149" s="1246" t="str">
        <f>IF(AND(Projektgrundlagen!$I$21,'StB-D1 Besondere Lstg'!M100=TRUE),'StB-D1 Besondere Lstg'!H100,"")</f>
        <v/>
      </c>
      <c r="D149" s="1246" t="str">
        <f>IF(AND(Projektgrundlagen!$I$21,'StB-D1 Besondere Lstg'!M100=TRUE),'StB-D1 Besondere Lstg'!I100,IF(AND(Projektgrundlagen!$I$22,'HB-D1 Besondere Lstg Land'!M100=TRUE),(IF('HB-D1 Besondere Lstg Land'!H100&gt;0,"v.H.","pauschal")),IF(AND(Projektgrundlagen!$I$23,'HB-D2 Besondere Lstg Bund'!M100=TRUE),(IF('HB-D2 Besondere Lstg Bund'!H100&gt;0,"v.H.","pauschal")),"")))</f>
        <v/>
      </c>
      <c r="E149" s="1246" t="str">
        <f>IF(AND(Projektgrundlagen!$I$21,'StB-D1 Besondere Lstg'!M100=TRUE),'StB-D1 Besondere Lstg'!J100,IF(AND(Projektgrundlagen!$I$22,'HB-D1 Besondere Lstg Land'!M100=TRUE),'HB-D1 Besondere Lstg Land'!H100+'HB-D1 Besondere Lstg Land'!J100,IF(AND(Projektgrundlagen!$I$23,'HB-D2 Besondere Lstg Bund'!M100=TRUE),'HB-D2 Besondere Lstg Bund'!H100+'HB-D2 Besondere Lstg Bund'!J100,"")))</f>
        <v/>
      </c>
      <c r="F149" s="1246" t="str">
        <f>IF(AND(Projektgrundlagen!$I$21,'StB-D1 Besondere Lstg'!M100=TRUE),'StB-D1 Besondere Lstg'!K100,IF(AND(Projektgrundlagen!$I$22,'HB-D1 Besondere Lstg Land'!M100=TRUE),'HB-D1 Besondere Lstg Land'!K100,IF(AND(Projektgrundlagen!$I$23,'HB-D2 Besondere Lstg Bund'!M100=TRUE),'HB-D2 Besondere Lstg Bund'!K100,"")))</f>
        <v/>
      </c>
      <c r="G149" s="1253"/>
      <c r="H149" s="1254"/>
    </row>
    <row r="150" spans="2:8" ht="14.4">
      <c r="B150" t="str">
        <f>IF(AND(Projektgrundlagen!$I$21,'StB-D1 Besondere Lstg'!M101=TRUE),'StB-D1 Besondere Lstg'!C101&amp;" "&amp;'StB-D1 Besondere Lstg'!F101&amp;" "&amp;'StB-D1 Besondere Lstg'!F102,IF(AND(Projektgrundlagen!$I$22,'HB-D1 Besondere Lstg Land'!M101=TRUE),'HB-D1 Besondere Lstg Land'!C101&amp;" "&amp;'HB-D1 Besondere Lstg Land'!F101&amp;" "&amp;'HB-D1 Besondere Lstg Land'!F102,IF(AND(Projektgrundlagen!$I$23,'HB-D2 Besondere Lstg Bund'!M101=TRUE),'HB-D2 Besondere Lstg Bund'!C101&amp;" "&amp;'HB-D2 Besondere Lstg Bund'!F101&amp;" "&amp;'HB-D2 Besondere Lstg Bund'!F102,"")))</f>
        <v/>
      </c>
      <c r="C150" s="1246" t="str">
        <f>IF(AND(Projektgrundlagen!$I$21,'StB-D1 Besondere Lstg'!M101=TRUE),'StB-D1 Besondere Lstg'!H101,"")</f>
        <v/>
      </c>
      <c r="D150" s="1246" t="str">
        <f>IF(AND(Projektgrundlagen!$I$21,'StB-D1 Besondere Lstg'!M101=TRUE),'StB-D1 Besondere Lstg'!I101,IF(AND(Projektgrundlagen!$I$22,'HB-D1 Besondere Lstg Land'!M101=TRUE),(IF('HB-D1 Besondere Lstg Land'!H101&gt;0,"v.H.","pauschal")),IF(AND(Projektgrundlagen!$I$23,'HB-D2 Besondere Lstg Bund'!M101=TRUE),(IF('HB-D2 Besondere Lstg Bund'!H101&gt;0,"v.H.","pauschal")),"")))</f>
        <v/>
      </c>
      <c r="E150" s="1246" t="str">
        <f>IF(AND(Projektgrundlagen!$I$21,'StB-D1 Besondere Lstg'!M101=TRUE),'StB-D1 Besondere Lstg'!J101,IF(AND(Projektgrundlagen!$I$22,'HB-D1 Besondere Lstg Land'!M101=TRUE),'HB-D1 Besondere Lstg Land'!H101+'HB-D1 Besondere Lstg Land'!J101,IF(AND(Projektgrundlagen!$I$23,'HB-D2 Besondere Lstg Bund'!M101=TRUE),'HB-D2 Besondere Lstg Bund'!H101+'HB-D2 Besondere Lstg Bund'!J101,"")))</f>
        <v/>
      </c>
      <c r="F150" s="1246" t="str">
        <f>IF(AND(Projektgrundlagen!$I$21,'StB-D1 Besondere Lstg'!M101=TRUE),'StB-D1 Besondere Lstg'!K101,IF(AND(Projektgrundlagen!$I$22,'HB-D1 Besondere Lstg Land'!M101=TRUE),'HB-D1 Besondere Lstg Land'!K101,IF(AND(Projektgrundlagen!$I$23,'HB-D2 Besondere Lstg Bund'!M101=TRUE),'HB-D2 Besondere Lstg Bund'!K101,"")))</f>
        <v/>
      </c>
      <c r="G150" s="1253"/>
      <c r="H150" s="1254"/>
    </row>
    <row r="151" spans="2:8" ht="14.4">
      <c r="B151" t="str">
        <f>IF(AND(Projektgrundlagen!$I$21,'StB-D1 Besondere Lstg'!M102=TRUE),'StB-D1 Besondere Lstg'!C102&amp;" "&amp;'StB-D1 Besondere Lstg'!F102&amp;" "&amp;'StB-D1 Besondere Lstg'!F103,IF(AND(Projektgrundlagen!$I$22,'HB-D1 Besondere Lstg Land'!M102=TRUE),'HB-D1 Besondere Lstg Land'!C102&amp;" "&amp;'HB-D1 Besondere Lstg Land'!F102&amp;" "&amp;'HB-D1 Besondere Lstg Land'!F103,IF(AND(Projektgrundlagen!$I$23,'HB-D2 Besondere Lstg Bund'!M102=TRUE),'HB-D2 Besondere Lstg Bund'!C102&amp;" "&amp;'HB-D2 Besondere Lstg Bund'!F102&amp;" "&amp;'HB-D2 Besondere Lstg Bund'!F103,"")))</f>
        <v/>
      </c>
      <c r="C151" s="1246" t="str">
        <f>IF(AND(Projektgrundlagen!$I$21,'StB-D1 Besondere Lstg'!M102=TRUE),'StB-D1 Besondere Lstg'!H102,"")</f>
        <v/>
      </c>
      <c r="D151" s="1246" t="str">
        <f>IF(AND(Projektgrundlagen!$I$21,'StB-D1 Besondere Lstg'!M102=TRUE),'StB-D1 Besondere Lstg'!I102,IF(AND(Projektgrundlagen!$I$22,'HB-D1 Besondere Lstg Land'!M102=TRUE),(IF('HB-D1 Besondere Lstg Land'!H102&gt;0,"v.H.","pauschal")),IF(AND(Projektgrundlagen!$I$23,'HB-D2 Besondere Lstg Bund'!M102=TRUE),(IF('HB-D2 Besondere Lstg Bund'!H102&gt;0,"v.H.","pauschal")),"")))</f>
        <v/>
      </c>
      <c r="E151" s="1246" t="str">
        <f>IF(AND(Projektgrundlagen!$I$21,'StB-D1 Besondere Lstg'!M102=TRUE),'StB-D1 Besondere Lstg'!J102,IF(AND(Projektgrundlagen!$I$22,'HB-D1 Besondere Lstg Land'!M102=TRUE),'HB-D1 Besondere Lstg Land'!H102+'HB-D1 Besondere Lstg Land'!J102,IF(AND(Projektgrundlagen!$I$23,'HB-D2 Besondere Lstg Bund'!M102=TRUE),'HB-D2 Besondere Lstg Bund'!H102+'HB-D2 Besondere Lstg Bund'!J102,"")))</f>
        <v/>
      </c>
      <c r="F151" s="1246" t="str">
        <f>IF(AND(Projektgrundlagen!$I$21,'StB-D1 Besondere Lstg'!M102=TRUE),'StB-D1 Besondere Lstg'!K102,IF(AND(Projektgrundlagen!$I$22,'HB-D1 Besondere Lstg Land'!M102=TRUE),'HB-D1 Besondere Lstg Land'!K102,IF(AND(Projektgrundlagen!$I$23,'HB-D2 Besondere Lstg Bund'!M102=TRUE),'HB-D2 Besondere Lstg Bund'!K102,"")))</f>
        <v/>
      </c>
      <c r="G151" s="1253"/>
      <c r="H151" s="1254"/>
    </row>
    <row r="152" spans="2:8" ht="14.4">
      <c r="B152" t="str">
        <f>IF(AND(Projektgrundlagen!$I$21,'StB-D1 Besondere Lstg'!M103=TRUE),'StB-D1 Besondere Lstg'!C103&amp;" "&amp;'StB-D1 Besondere Lstg'!F103&amp;" "&amp;'StB-D1 Besondere Lstg'!F104,IF(AND(Projektgrundlagen!$I$22,'HB-D1 Besondere Lstg Land'!M103=TRUE),'HB-D1 Besondere Lstg Land'!C103&amp;" "&amp;'HB-D1 Besondere Lstg Land'!F103&amp;" "&amp;'HB-D1 Besondere Lstg Land'!F104,IF(AND(Projektgrundlagen!$I$23,'HB-D2 Besondere Lstg Bund'!M103=TRUE),'HB-D2 Besondere Lstg Bund'!C103&amp;" "&amp;'HB-D2 Besondere Lstg Bund'!F103&amp;" "&amp;'HB-D2 Besondere Lstg Bund'!F104,"")))</f>
        <v/>
      </c>
      <c r="C152" s="1246" t="str">
        <f>IF(AND(Projektgrundlagen!$I$21,'StB-D1 Besondere Lstg'!M103=TRUE),'StB-D1 Besondere Lstg'!H103,"")</f>
        <v/>
      </c>
      <c r="D152" s="1246" t="str">
        <f>IF(AND(Projektgrundlagen!$I$21,'StB-D1 Besondere Lstg'!M103=TRUE),'StB-D1 Besondere Lstg'!I103,IF(AND(Projektgrundlagen!$I$22,'HB-D1 Besondere Lstg Land'!M103=TRUE),(IF('HB-D1 Besondere Lstg Land'!H103&gt;0,"v.H.","pauschal")),IF(AND(Projektgrundlagen!$I$23,'HB-D2 Besondere Lstg Bund'!M103=TRUE),(IF('HB-D2 Besondere Lstg Bund'!H103&gt;0,"v.H.","pauschal")),"")))</f>
        <v/>
      </c>
      <c r="E152" s="1246" t="str">
        <f>IF(AND(Projektgrundlagen!$I$21,'StB-D1 Besondere Lstg'!M103=TRUE),'StB-D1 Besondere Lstg'!J103,IF(AND(Projektgrundlagen!$I$22,'HB-D1 Besondere Lstg Land'!M103=TRUE),'HB-D1 Besondere Lstg Land'!H103+'HB-D1 Besondere Lstg Land'!J103,IF(AND(Projektgrundlagen!$I$23,'HB-D2 Besondere Lstg Bund'!M103=TRUE),'HB-D2 Besondere Lstg Bund'!H103+'HB-D2 Besondere Lstg Bund'!J103,"")))</f>
        <v/>
      </c>
      <c r="F152" s="1246" t="str">
        <f>IF(AND(Projektgrundlagen!$I$21,'StB-D1 Besondere Lstg'!M103=TRUE),'StB-D1 Besondere Lstg'!K103,IF(AND(Projektgrundlagen!$I$22,'HB-D1 Besondere Lstg Land'!M103=TRUE),'HB-D1 Besondere Lstg Land'!K103,IF(AND(Projektgrundlagen!$I$23,'HB-D2 Besondere Lstg Bund'!M103=TRUE),'HB-D2 Besondere Lstg Bund'!K103,"")))</f>
        <v/>
      </c>
      <c r="G152" s="1253"/>
      <c r="H152" s="1254"/>
    </row>
    <row r="153" spans="2:8" ht="14.4">
      <c r="B153" t="str">
        <f>IF(AND(Projektgrundlagen!$I$21,'StB-D1 Besondere Lstg'!M104=TRUE),'StB-D1 Besondere Lstg'!C104&amp;" "&amp;'StB-D1 Besondere Lstg'!F104&amp;" "&amp;'StB-D1 Besondere Lstg'!F105,IF(AND(Projektgrundlagen!$I$22,'HB-D1 Besondere Lstg Land'!M104=TRUE),'HB-D1 Besondere Lstg Land'!C104&amp;" "&amp;'HB-D1 Besondere Lstg Land'!F104&amp;" "&amp;'HB-D1 Besondere Lstg Land'!F105,IF(AND(Projektgrundlagen!$I$23,'HB-D2 Besondere Lstg Bund'!M104=TRUE),'HB-D2 Besondere Lstg Bund'!C104&amp;" "&amp;'HB-D2 Besondere Lstg Bund'!F104&amp;" "&amp;'HB-D2 Besondere Lstg Bund'!F105,"")))</f>
        <v/>
      </c>
      <c r="C153" s="1246" t="str">
        <f>IF(AND(Projektgrundlagen!$I$21,'StB-D1 Besondere Lstg'!M104=TRUE),'StB-D1 Besondere Lstg'!H104,"")</f>
        <v/>
      </c>
      <c r="D153" s="1246" t="str">
        <f>IF(AND(Projektgrundlagen!$I$21,'StB-D1 Besondere Lstg'!M104=TRUE),'StB-D1 Besondere Lstg'!I104,IF(AND(Projektgrundlagen!$I$22,'HB-D1 Besondere Lstg Land'!M104=TRUE),(IF('HB-D1 Besondere Lstg Land'!H104&gt;0,"v.H.","pauschal")),IF(AND(Projektgrundlagen!$I$23,'HB-D2 Besondere Lstg Bund'!M104=TRUE),(IF('HB-D2 Besondere Lstg Bund'!H104&gt;0,"v.H.","pauschal")),"")))</f>
        <v/>
      </c>
      <c r="E153" s="1246" t="str">
        <f>IF(AND(Projektgrundlagen!$I$21,'StB-D1 Besondere Lstg'!M104=TRUE),'StB-D1 Besondere Lstg'!J104,IF(AND(Projektgrundlagen!$I$22,'HB-D1 Besondere Lstg Land'!M104=TRUE),'HB-D1 Besondere Lstg Land'!H104+'HB-D1 Besondere Lstg Land'!J104,IF(AND(Projektgrundlagen!$I$23,'HB-D2 Besondere Lstg Bund'!M104=TRUE),'HB-D2 Besondere Lstg Bund'!H104+'HB-D2 Besondere Lstg Bund'!J104,"")))</f>
        <v/>
      </c>
      <c r="F153" s="1246" t="str">
        <f>IF(AND(Projektgrundlagen!$I$21,'StB-D1 Besondere Lstg'!M104=TRUE),'StB-D1 Besondere Lstg'!K104,IF(AND(Projektgrundlagen!$I$22,'HB-D1 Besondere Lstg Land'!M104=TRUE),'HB-D1 Besondere Lstg Land'!K104,IF(AND(Projektgrundlagen!$I$23,'HB-D2 Besondere Lstg Bund'!M104=TRUE),'HB-D2 Besondere Lstg Bund'!K104,"")))</f>
        <v/>
      </c>
      <c r="G153" s="1253"/>
      <c r="H153" s="1254"/>
    </row>
    <row r="154" spans="2:8" ht="14.4">
      <c r="B154" t="str">
        <f>IF(AND(Projektgrundlagen!$I$21,'StB-D1 Besondere Lstg'!M105=TRUE),'StB-D1 Besondere Lstg'!C105&amp;" "&amp;'StB-D1 Besondere Lstg'!F105&amp;" "&amp;'StB-D1 Besondere Lstg'!F106,IF(AND(Projektgrundlagen!$I$22,'HB-D1 Besondere Lstg Land'!M105=TRUE),'HB-D1 Besondere Lstg Land'!C105&amp;" "&amp;'HB-D1 Besondere Lstg Land'!F105&amp;" "&amp;'HB-D1 Besondere Lstg Land'!F106,IF(AND(Projektgrundlagen!$I$23,'HB-D2 Besondere Lstg Bund'!M105=TRUE),'HB-D2 Besondere Lstg Bund'!C105&amp;" "&amp;'HB-D2 Besondere Lstg Bund'!F105&amp;" "&amp;'HB-D2 Besondere Lstg Bund'!F106,"")))</f>
        <v/>
      </c>
      <c r="C154" s="1246" t="str">
        <f>IF(AND(Projektgrundlagen!$I$21,'StB-D1 Besondere Lstg'!M105=TRUE),'StB-D1 Besondere Lstg'!H105,"")</f>
        <v/>
      </c>
      <c r="D154" s="1246" t="str">
        <f>IF(AND(Projektgrundlagen!$I$21,'StB-D1 Besondere Lstg'!M105=TRUE),'StB-D1 Besondere Lstg'!I105,IF(AND(Projektgrundlagen!$I$22,'HB-D1 Besondere Lstg Land'!M105=TRUE),(IF('HB-D1 Besondere Lstg Land'!H105&gt;0,"v.H.","pauschal")),IF(AND(Projektgrundlagen!$I$23,'HB-D2 Besondere Lstg Bund'!M105=TRUE),(IF('HB-D2 Besondere Lstg Bund'!H105&gt;0,"v.H.","pauschal")),"")))</f>
        <v/>
      </c>
      <c r="E154" s="1246" t="str">
        <f>IF(AND(Projektgrundlagen!$I$21,'StB-D1 Besondere Lstg'!M105=TRUE),'StB-D1 Besondere Lstg'!J105,IF(AND(Projektgrundlagen!$I$22,'HB-D1 Besondere Lstg Land'!M105=TRUE),'HB-D1 Besondere Lstg Land'!H105+'HB-D1 Besondere Lstg Land'!J105,IF(AND(Projektgrundlagen!$I$23,'HB-D2 Besondere Lstg Bund'!M105=TRUE),'HB-D2 Besondere Lstg Bund'!H105+'HB-D2 Besondere Lstg Bund'!J105,"")))</f>
        <v/>
      </c>
      <c r="F154" s="1246" t="str">
        <f>IF(AND(Projektgrundlagen!$I$21,'StB-D1 Besondere Lstg'!M105=TRUE),'StB-D1 Besondere Lstg'!K105,IF(AND(Projektgrundlagen!$I$22,'HB-D1 Besondere Lstg Land'!M105=TRUE),'HB-D1 Besondere Lstg Land'!K105,IF(AND(Projektgrundlagen!$I$23,'HB-D2 Besondere Lstg Bund'!M105=TRUE),'HB-D2 Besondere Lstg Bund'!K105,"")))</f>
        <v/>
      </c>
      <c r="G154" s="1253"/>
      <c r="H154" s="1254"/>
    </row>
    <row r="155" spans="2:8" ht="14.4">
      <c r="B155" t="str">
        <f>IF(AND(Projektgrundlagen!$I$21,'StB-D1 Besondere Lstg'!M106=TRUE),'StB-D1 Besondere Lstg'!C106&amp;" "&amp;'StB-D1 Besondere Lstg'!F106&amp;" "&amp;'StB-D1 Besondere Lstg'!F107,IF(AND(Projektgrundlagen!$I$22,'HB-D1 Besondere Lstg Land'!M106=TRUE),'HB-D1 Besondere Lstg Land'!C106&amp;" "&amp;'HB-D1 Besondere Lstg Land'!F106&amp;" "&amp;'HB-D1 Besondere Lstg Land'!F107,IF(AND(Projektgrundlagen!$I$23,'HB-D2 Besondere Lstg Bund'!M106=TRUE),'HB-D2 Besondere Lstg Bund'!C106&amp;" "&amp;'HB-D2 Besondere Lstg Bund'!F106&amp;" "&amp;'HB-D2 Besondere Lstg Bund'!F107,"")))</f>
        <v/>
      </c>
      <c r="C155" s="1246" t="str">
        <f>IF(AND(Projektgrundlagen!$I$21,'StB-D1 Besondere Lstg'!M106=TRUE),'StB-D1 Besondere Lstg'!H106,"")</f>
        <v/>
      </c>
      <c r="D155" s="1246" t="str">
        <f>IF(AND(Projektgrundlagen!$I$21,'StB-D1 Besondere Lstg'!M106=TRUE),'StB-D1 Besondere Lstg'!I106,IF(AND(Projektgrundlagen!$I$22,'HB-D1 Besondere Lstg Land'!M106=TRUE),(IF('HB-D1 Besondere Lstg Land'!H106&gt;0,"v.H.","pauschal")),IF(AND(Projektgrundlagen!$I$23,'HB-D2 Besondere Lstg Bund'!M106=TRUE),(IF('HB-D2 Besondere Lstg Bund'!H106&gt;0,"v.H.","pauschal")),"")))</f>
        <v/>
      </c>
      <c r="E155" s="1246" t="str">
        <f>IF(AND(Projektgrundlagen!$I$21,'StB-D1 Besondere Lstg'!M106=TRUE),'StB-D1 Besondere Lstg'!J106,IF(AND(Projektgrundlagen!$I$22,'HB-D1 Besondere Lstg Land'!M106=TRUE),'HB-D1 Besondere Lstg Land'!H106+'HB-D1 Besondere Lstg Land'!J106,IF(AND(Projektgrundlagen!$I$23,'HB-D2 Besondere Lstg Bund'!M106=TRUE),'HB-D2 Besondere Lstg Bund'!H106+'HB-D2 Besondere Lstg Bund'!J106,"")))</f>
        <v/>
      </c>
      <c r="F155" s="1246" t="str">
        <f>IF(AND(Projektgrundlagen!$I$21,'StB-D1 Besondere Lstg'!M106=TRUE),'StB-D1 Besondere Lstg'!K106,IF(AND(Projektgrundlagen!$I$22,'HB-D1 Besondere Lstg Land'!M106=TRUE),'HB-D1 Besondere Lstg Land'!K106,IF(AND(Projektgrundlagen!$I$23,'HB-D2 Besondere Lstg Bund'!M106=TRUE),'HB-D2 Besondere Lstg Bund'!K106,"")))</f>
        <v/>
      </c>
      <c r="G155" s="1253"/>
      <c r="H155" s="1254"/>
    </row>
    <row r="156" spans="2:8" ht="14.4">
      <c r="B156" t="str">
        <f>IF(AND(Projektgrundlagen!$I$21,'StB-D1 Besondere Lstg'!M107=TRUE),'StB-D1 Besondere Lstg'!C107&amp;" "&amp;'StB-D1 Besondere Lstg'!F107&amp;" "&amp;'StB-D1 Besondere Lstg'!F108,IF(AND(Projektgrundlagen!$I$22,'HB-D1 Besondere Lstg Land'!M107=TRUE),'HB-D1 Besondere Lstg Land'!C107&amp;" "&amp;'HB-D1 Besondere Lstg Land'!F107&amp;" "&amp;'HB-D1 Besondere Lstg Land'!F108,IF(AND(Projektgrundlagen!$I$23,'HB-D2 Besondere Lstg Bund'!M107=TRUE),'HB-D2 Besondere Lstg Bund'!C107&amp;" "&amp;'HB-D2 Besondere Lstg Bund'!F107&amp;" "&amp;'HB-D2 Besondere Lstg Bund'!F108,"")))</f>
        <v/>
      </c>
      <c r="C156" s="1246" t="str">
        <f>IF(AND(Projektgrundlagen!$I$21,'StB-D1 Besondere Lstg'!M107=TRUE),'StB-D1 Besondere Lstg'!H107,"")</f>
        <v/>
      </c>
      <c r="D156" s="1246" t="str">
        <f>IF(AND(Projektgrundlagen!$I$21,'StB-D1 Besondere Lstg'!M107=TRUE),'StB-D1 Besondere Lstg'!I107,IF(AND(Projektgrundlagen!$I$22,'HB-D1 Besondere Lstg Land'!M107=TRUE),(IF('HB-D1 Besondere Lstg Land'!H107&gt;0,"v.H.","pauschal")),IF(AND(Projektgrundlagen!$I$23,'HB-D2 Besondere Lstg Bund'!M107=TRUE),(IF('HB-D2 Besondere Lstg Bund'!H107&gt;0,"v.H.","pauschal")),"")))</f>
        <v/>
      </c>
      <c r="E156" s="1246" t="str">
        <f>IF(AND(Projektgrundlagen!$I$21,'StB-D1 Besondere Lstg'!M107=TRUE),'StB-D1 Besondere Lstg'!J107,IF(AND(Projektgrundlagen!$I$22,'HB-D1 Besondere Lstg Land'!M107=TRUE),'HB-D1 Besondere Lstg Land'!H107+'HB-D1 Besondere Lstg Land'!J107,IF(AND(Projektgrundlagen!$I$23,'HB-D2 Besondere Lstg Bund'!M107=TRUE),'HB-D2 Besondere Lstg Bund'!H107+'HB-D2 Besondere Lstg Bund'!J107,"")))</f>
        <v/>
      </c>
      <c r="F156" s="1246" t="str">
        <f>IF(AND(Projektgrundlagen!$I$21,'StB-D1 Besondere Lstg'!M107=TRUE),'StB-D1 Besondere Lstg'!K107,IF(AND(Projektgrundlagen!$I$22,'HB-D1 Besondere Lstg Land'!M107=TRUE),'HB-D1 Besondere Lstg Land'!K107,IF(AND(Projektgrundlagen!$I$23,'HB-D2 Besondere Lstg Bund'!M107=TRUE),'HB-D2 Besondere Lstg Bund'!K107,"")))</f>
        <v/>
      </c>
      <c r="G156" s="1253"/>
      <c r="H156" s="1254"/>
    </row>
    <row r="157" spans="2:8" ht="14.4">
      <c r="B157" t="str">
        <f>IF(AND(Projektgrundlagen!$I$21,'StB-D1 Besondere Lstg'!M108=TRUE),'StB-D1 Besondere Lstg'!C108&amp;" "&amp;'StB-D1 Besondere Lstg'!F108&amp;" "&amp;'StB-D1 Besondere Lstg'!F109,IF(AND(Projektgrundlagen!$I$22,'HB-D1 Besondere Lstg Land'!M108=TRUE),'HB-D1 Besondere Lstg Land'!C108&amp;" "&amp;'HB-D1 Besondere Lstg Land'!F108&amp;" "&amp;'HB-D1 Besondere Lstg Land'!F109,IF(AND(Projektgrundlagen!$I$23,'HB-D2 Besondere Lstg Bund'!M108=TRUE),'HB-D2 Besondere Lstg Bund'!C108&amp;" "&amp;'HB-D2 Besondere Lstg Bund'!F108&amp;" "&amp;'HB-D2 Besondere Lstg Bund'!F109,"")))</f>
        <v/>
      </c>
      <c r="C157" s="1246" t="str">
        <f>IF(AND(Projektgrundlagen!$I$21,'StB-D1 Besondere Lstg'!M108=TRUE),'StB-D1 Besondere Lstg'!H108,"")</f>
        <v/>
      </c>
      <c r="D157" s="1246" t="str">
        <f>IF(AND(Projektgrundlagen!$I$21,'StB-D1 Besondere Lstg'!M108=TRUE),'StB-D1 Besondere Lstg'!I108,IF(AND(Projektgrundlagen!$I$22,'HB-D1 Besondere Lstg Land'!M108=TRUE),(IF('HB-D1 Besondere Lstg Land'!H108&gt;0,"v.H.","pauschal")),IF(AND(Projektgrundlagen!$I$23,'HB-D2 Besondere Lstg Bund'!M108=TRUE),(IF('HB-D2 Besondere Lstg Bund'!H108&gt;0,"v.H.","pauschal")),"")))</f>
        <v/>
      </c>
      <c r="E157" s="1246" t="str">
        <f>IF(AND(Projektgrundlagen!$I$21,'StB-D1 Besondere Lstg'!M108=TRUE),'StB-D1 Besondere Lstg'!J108,IF(AND(Projektgrundlagen!$I$22,'HB-D1 Besondere Lstg Land'!M108=TRUE),'HB-D1 Besondere Lstg Land'!H108+'HB-D1 Besondere Lstg Land'!J108,IF(AND(Projektgrundlagen!$I$23,'HB-D2 Besondere Lstg Bund'!M108=TRUE),'HB-D2 Besondere Lstg Bund'!H108+'HB-D2 Besondere Lstg Bund'!J108,"")))</f>
        <v/>
      </c>
      <c r="F157" s="1246" t="str">
        <f>IF(AND(Projektgrundlagen!$I$21,'StB-D1 Besondere Lstg'!M108=TRUE),'StB-D1 Besondere Lstg'!K108,IF(AND(Projektgrundlagen!$I$22,'HB-D1 Besondere Lstg Land'!M108=TRUE),'HB-D1 Besondere Lstg Land'!K108,IF(AND(Projektgrundlagen!$I$23,'HB-D2 Besondere Lstg Bund'!M108=TRUE),'HB-D2 Besondere Lstg Bund'!K108,"")))</f>
        <v/>
      </c>
      <c r="G157" s="1253"/>
      <c r="H157" s="1254"/>
    </row>
    <row r="158" spans="2:8" ht="14.4">
      <c r="B158" t="str">
        <f>IF(AND(Projektgrundlagen!$I$21,'StB-D1 Besondere Lstg'!M109=TRUE),'StB-D1 Besondere Lstg'!C109&amp;" "&amp;'StB-D1 Besondere Lstg'!F109&amp;" "&amp;'StB-D1 Besondere Lstg'!F110,IF(AND(Projektgrundlagen!$I$22,'HB-D1 Besondere Lstg Land'!M109=TRUE),'HB-D1 Besondere Lstg Land'!C109&amp;" "&amp;'HB-D1 Besondere Lstg Land'!F109&amp;" "&amp;'HB-D1 Besondere Lstg Land'!F110,IF(AND(Projektgrundlagen!$I$23,'HB-D2 Besondere Lstg Bund'!M109=TRUE),'HB-D2 Besondere Lstg Bund'!C109&amp;" "&amp;'HB-D2 Besondere Lstg Bund'!F109&amp;" "&amp;'HB-D2 Besondere Lstg Bund'!F110,"")))</f>
        <v/>
      </c>
      <c r="C158" s="1246" t="str">
        <f>IF(AND(Projektgrundlagen!$I$21,'StB-D1 Besondere Lstg'!M109=TRUE),'StB-D1 Besondere Lstg'!H109,"")</f>
        <v/>
      </c>
      <c r="D158" s="1246" t="str">
        <f>IF(AND(Projektgrundlagen!$I$21,'StB-D1 Besondere Lstg'!M109=TRUE),'StB-D1 Besondere Lstg'!I109,IF(AND(Projektgrundlagen!$I$22,'HB-D1 Besondere Lstg Land'!M109=TRUE),(IF('HB-D1 Besondere Lstg Land'!H109&gt;0,"v.H.","pauschal")),IF(AND(Projektgrundlagen!$I$23,'HB-D2 Besondere Lstg Bund'!M109=TRUE),(IF('HB-D2 Besondere Lstg Bund'!H109&gt;0,"v.H.","pauschal")),"")))</f>
        <v/>
      </c>
      <c r="E158" s="1246" t="str">
        <f>IF(AND(Projektgrundlagen!$I$21,'StB-D1 Besondere Lstg'!M109=TRUE),'StB-D1 Besondere Lstg'!J109,IF(AND(Projektgrundlagen!$I$22,'HB-D1 Besondere Lstg Land'!M109=TRUE),'HB-D1 Besondere Lstg Land'!H109+'HB-D1 Besondere Lstg Land'!J109,IF(AND(Projektgrundlagen!$I$23,'HB-D2 Besondere Lstg Bund'!M109=TRUE),'HB-D2 Besondere Lstg Bund'!H109+'HB-D2 Besondere Lstg Bund'!J109,"")))</f>
        <v/>
      </c>
      <c r="F158" s="1246" t="str">
        <f>IF(AND(Projektgrundlagen!$I$21,'StB-D1 Besondere Lstg'!M109=TRUE),'StB-D1 Besondere Lstg'!K109,IF(AND(Projektgrundlagen!$I$22,'HB-D1 Besondere Lstg Land'!M109=TRUE),'HB-D1 Besondere Lstg Land'!K109,IF(AND(Projektgrundlagen!$I$23,'HB-D2 Besondere Lstg Bund'!M109=TRUE),'HB-D2 Besondere Lstg Bund'!K109,"")))</f>
        <v/>
      </c>
      <c r="G158" s="1253"/>
      <c r="H158" s="1254"/>
    </row>
    <row r="159" spans="2:8" ht="14.4">
      <c r="B159" t="str">
        <f>IF(AND(Projektgrundlagen!$I$21,'StB-D1 Besondere Lstg'!M110=TRUE),'StB-D1 Besondere Lstg'!C110&amp;" "&amp;'StB-D1 Besondere Lstg'!F110&amp;" "&amp;'StB-D1 Besondere Lstg'!F111,IF(AND(Projektgrundlagen!$I$22,'HB-D1 Besondere Lstg Land'!M110=TRUE),'HB-D1 Besondere Lstg Land'!C110&amp;" "&amp;'HB-D1 Besondere Lstg Land'!F110&amp;" "&amp;'HB-D1 Besondere Lstg Land'!F111,IF(AND(Projektgrundlagen!$I$23,'HB-D2 Besondere Lstg Bund'!M110=TRUE),'HB-D2 Besondere Lstg Bund'!C110&amp;" "&amp;'HB-D2 Besondere Lstg Bund'!F110&amp;" "&amp;'HB-D2 Besondere Lstg Bund'!F111,"")))</f>
        <v/>
      </c>
      <c r="C159" s="1246" t="str">
        <f>IF(AND(Projektgrundlagen!$I$21,'StB-D1 Besondere Lstg'!M110=TRUE),'StB-D1 Besondere Lstg'!H110,"")</f>
        <v/>
      </c>
      <c r="D159" s="1246" t="str">
        <f>IF(AND(Projektgrundlagen!$I$21,'StB-D1 Besondere Lstg'!M110=TRUE),'StB-D1 Besondere Lstg'!I110,IF(AND(Projektgrundlagen!$I$22,'HB-D1 Besondere Lstg Land'!M110=TRUE),(IF('HB-D1 Besondere Lstg Land'!H110&gt;0,"v.H.","pauschal")),IF(AND(Projektgrundlagen!$I$23,'HB-D2 Besondere Lstg Bund'!M110=TRUE),(IF('HB-D2 Besondere Lstg Bund'!H110&gt;0,"v.H.","pauschal")),"")))</f>
        <v/>
      </c>
      <c r="E159" s="1246" t="str">
        <f>IF(AND(Projektgrundlagen!$I$21,'StB-D1 Besondere Lstg'!M110=TRUE),'StB-D1 Besondere Lstg'!J110,IF(AND(Projektgrundlagen!$I$22,'HB-D1 Besondere Lstg Land'!M110=TRUE),'HB-D1 Besondere Lstg Land'!H110+'HB-D1 Besondere Lstg Land'!J110,IF(AND(Projektgrundlagen!$I$23,'HB-D2 Besondere Lstg Bund'!M110=TRUE),'HB-D2 Besondere Lstg Bund'!H110+'HB-D2 Besondere Lstg Bund'!J110,"")))</f>
        <v/>
      </c>
      <c r="F159" s="1246" t="str">
        <f>IF(AND(Projektgrundlagen!$I$21,'StB-D1 Besondere Lstg'!M110=TRUE),'StB-D1 Besondere Lstg'!K110,IF(AND(Projektgrundlagen!$I$22,'HB-D1 Besondere Lstg Land'!M110=TRUE),'HB-D1 Besondere Lstg Land'!K110,IF(AND(Projektgrundlagen!$I$23,'HB-D2 Besondere Lstg Bund'!M110=TRUE),'HB-D2 Besondere Lstg Bund'!K110,"")))</f>
        <v/>
      </c>
      <c r="G159" s="1253"/>
      <c r="H159" s="1254"/>
    </row>
    <row r="160" spans="2:8" ht="14.4">
      <c r="B160" t="str">
        <f>IF(AND(Projektgrundlagen!$I$21,'StB-D1 Besondere Lstg'!M111=TRUE),'StB-D1 Besondere Lstg'!C111&amp;" "&amp;'StB-D1 Besondere Lstg'!F111&amp;" "&amp;'StB-D1 Besondere Lstg'!F112,IF(AND(Projektgrundlagen!$I$22,'HB-D1 Besondere Lstg Land'!M111=TRUE),'HB-D1 Besondere Lstg Land'!C111&amp;" "&amp;'HB-D1 Besondere Lstg Land'!F111&amp;" "&amp;'HB-D1 Besondere Lstg Land'!F112,IF(AND(Projektgrundlagen!$I$23,'HB-D2 Besondere Lstg Bund'!M111=TRUE),'HB-D2 Besondere Lstg Bund'!C111&amp;" "&amp;'HB-D2 Besondere Lstg Bund'!F111&amp;" "&amp;'HB-D2 Besondere Lstg Bund'!F112,"")))</f>
        <v/>
      </c>
      <c r="C160" s="1246" t="str">
        <f>IF(AND(Projektgrundlagen!$I$21,'StB-D1 Besondere Lstg'!M111=TRUE),'StB-D1 Besondere Lstg'!H111,"")</f>
        <v/>
      </c>
      <c r="D160" s="1246" t="str">
        <f>IF(AND(Projektgrundlagen!$I$21,'StB-D1 Besondere Lstg'!M111=TRUE),'StB-D1 Besondere Lstg'!I111,IF(AND(Projektgrundlagen!$I$22,'HB-D1 Besondere Lstg Land'!M111=TRUE),(IF('HB-D1 Besondere Lstg Land'!H111&gt;0,"v.H.","pauschal")),IF(AND(Projektgrundlagen!$I$23,'HB-D2 Besondere Lstg Bund'!M111=TRUE),(IF('HB-D2 Besondere Lstg Bund'!H111&gt;0,"v.H.","pauschal")),"")))</f>
        <v/>
      </c>
      <c r="E160" s="1246" t="str">
        <f>IF(AND(Projektgrundlagen!$I$21,'StB-D1 Besondere Lstg'!M111=TRUE),'StB-D1 Besondere Lstg'!J111,IF(AND(Projektgrundlagen!$I$22,'HB-D1 Besondere Lstg Land'!M111=TRUE),'HB-D1 Besondere Lstg Land'!H111+'HB-D1 Besondere Lstg Land'!J111,IF(AND(Projektgrundlagen!$I$23,'HB-D2 Besondere Lstg Bund'!M111=TRUE),'HB-D2 Besondere Lstg Bund'!H111+'HB-D2 Besondere Lstg Bund'!J111,"")))</f>
        <v/>
      </c>
      <c r="F160" s="1246" t="str">
        <f>IF(AND(Projektgrundlagen!$I$21,'StB-D1 Besondere Lstg'!M111=TRUE),'StB-D1 Besondere Lstg'!K111,IF(AND(Projektgrundlagen!$I$22,'HB-D1 Besondere Lstg Land'!M111=TRUE),'HB-D1 Besondere Lstg Land'!K111,IF(AND(Projektgrundlagen!$I$23,'HB-D2 Besondere Lstg Bund'!M111=TRUE),'HB-D2 Besondere Lstg Bund'!K111,"")))</f>
        <v/>
      </c>
      <c r="G160" s="1253"/>
      <c r="H160" s="1254"/>
    </row>
    <row r="161" spans="2:8" ht="14.4">
      <c r="B161" t="str">
        <f>IF(AND(Projektgrundlagen!$I$21,'StB-D1 Besondere Lstg'!M112=TRUE),'StB-D1 Besondere Lstg'!C112&amp;" "&amp;'StB-D1 Besondere Lstg'!F112&amp;" "&amp;'StB-D1 Besondere Lstg'!F113,IF(AND(Projektgrundlagen!$I$22,'HB-D1 Besondere Lstg Land'!M112=TRUE),'HB-D1 Besondere Lstg Land'!C112&amp;" "&amp;'HB-D1 Besondere Lstg Land'!F112&amp;" "&amp;'HB-D1 Besondere Lstg Land'!F113,IF(AND(Projektgrundlagen!$I$23,'HB-D2 Besondere Lstg Bund'!M112=TRUE),'HB-D2 Besondere Lstg Bund'!C112&amp;" "&amp;'HB-D2 Besondere Lstg Bund'!F112&amp;" "&amp;'HB-D2 Besondere Lstg Bund'!F113,"")))</f>
        <v/>
      </c>
      <c r="C161" s="1246" t="str">
        <f>IF(AND(Projektgrundlagen!$I$21,'StB-D1 Besondere Lstg'!M112=TRUE),'StB-D1 Besondere Lstg'!H112,"")</f>
        <v/>
      </c>
      <c r="D161" s="1246" t="str">
        <f>IF(AND(Projektgrundlagen!$I$21,'StB-D1 Besondere Lstg'!M112=TRUE),'StB-D1 Besondere Lstg'!I112,IF(AND(Projektgrundlagen!$I$22,'HB-D1 Besondere Lstg Land'!M112=TRUE),(IF('HB-D1 Besondere Lstg Land'!H112&gt;0,"v.H.","pauschal")),IF(AND(Projektgrundlagen!$I$23,'HB-D2 Besondere Lstg Bund'!M112=TRUE),(IF('HB-D2 Besondere Lstg Bund'!H112&gt;0,"v.H.","pauschal")),"")))</f>
        <v/>
      </c>
      <c r="E161" s="1246" t="str">
        <f>IF(AND(Projektgrundlagen!$I$21,'StB-D1 Besondere Lstg'!M112=TRUE),'StB-D1 Besondere Lstg'!J112,IF(AND(Projektgrundlagen!$I$22,'HB-D1 Besondere Lstg Land'!M112=TRUE),'HB-D1 Besondere Lstg Land'!H112+'HB-D1 Besondere Lstg Land'!J112,IF(AND(Projektgrundlagen!$I$23,'HB-D2 Besondere Lstg Bund'!M112=TRUE),'HB-D2 Besondere Lstg Bund'!H112+'HB-D2 Besondere Lstg Bund'!J112,"")))</f>
        <v/>
      </c>
      <c r="F161" s="1246" t="str">
        <f>IF(AND(Projektgrundlagen!$I$21,'StB-D1 Besondere Lstg'!M112=TRUE),'StB-D1 Besondere Lstg'!K112,IF(AND(Projektgrundlagen!$I$22,'HB-D1 Besondere Lstg Land'!M112=TRUE),'HB-D1 Besondere Lstg Land'!K112,IF(AND(Projektgrundlagen!$I$23,'HB-D2 Besondere Lstg Bund'!M112=TRUE),'HB-D2 Besondere Lstg Bund'!K112,"")))</f>
        <v/>
      </c>
      <c r="G161" s="1253"/>
      <c r="H161" s="1254"/>
    </row>
    <row r="162" spans="2:8" ht="14.4">
      <c r="B162" t="str">
        <f>IF(AND(Projektgrundlagen!$I$21,'StB-D1 Besondere Lstg'!M113=TRUE),'StB-D1 Besondere Lstg'!C113&amp;" "&amp;'StB-D1 Besondere Lstg'!F113&amp;" "&amp;'StB-D1 Besondere Lstg'!F114,IF(AND(Projektgrundlagen!$I$22,'HB-D1 Besondere Lstg Land'!M113=TRUE),'HB-D1 Besondere Lstg Land'!C113&amp;" "&amp;'HB-D1 Besondere Lstg Land'!F113&amp;" "&amp;'HB-D1 Besondere Lstg Land'!F114,IF(AND(Projektgrundlagen!$I$23,'HB-D2 Besondere Lstg Bund'!M113=TRUE),'HB-D2 Besondere Lstg Bund'!C113&amp;" "&amp;'HB-D2 Besondere Lstg Bund'!F113&amp;" "&amp;'HB-D2 Besondere Lstg Bund'!F114,"")))</f>
        <v/>
      </c>
      <c r="C162" s="1246" t="str">
        <f>IF(AND(Projektgrundlagen!$I$21,'StB-D1 Besondere Lstg'!M113=TRUE),'StB-D1 Besondere Lstg'!H113,"")</f>
        <v/>
      </c>
      <c r="D162" s="1246" t="str">
        <f>IF(AND(Projektgrundlagen!$I$21,'StB-D1 Besondere Lstg'!M113=TRUE),'StB-D1 Besondere Lstg'!I113,IF(AND(Projektgrundlagen!$I$22,'HB-D1 Besondere Lstg Land'!M113=TRUE),(IF('HB-D1 Besondere Lstg Land'!H113&gt;0,"v.H.","pauschal")),IF(AND(Projektgrundlagen!$I$23,'HB-D2 Besondere Lstg Bund'!M113=TRUE),(IF('HB-D2 Besondere Lstg Bund'!H113&gt;0,"v.H.","pauschal")),"")))</f>
        <v/>
      </c>
      <c r="E162" s="1246" t="str">
        <f>IF(AND(Projektgrundlagen!$I$21,'StB-D1 Besondere Lstg'!M113=TRUE),'StB-D1 Besondere Lstg'!J113,IF(AND(Projektgrundlagen!$I$22,'HB-D1 Besondere Lstg Land'!M113=TRUE),'HB-D1 Besondere Lstg Land'!H113+'HB-D1 Besondere Lstg Land'!J113,IF(AND(Projektgrundlagen!$I$23,'HB-D2 Besondere Lstg Bund'!M113=TRUE),'HB-D2 Besondere Lstg Bund'!H113+'HB-D2 Besondere Lstg Bund'!J113,"")))</f>
        <v/>
      </c>
      <c r="F162" s="1246" t="str">
        <f>IF(AND(Projektgrundlagen!$I$21,'StB-D1 Besondere Lstg'!M113=TRUE),'StB-D1 Besondere Lstg'!K113,IF(AND(Projektgrundlagen!$I$22,'HB-D1 Besondere Lstg Land'!M113=TRUE),'HB-D1 Besondere Lstg Land'!K113,IF(AND(Projektgrundlagen!$I$23,'HB-D2 Besondere Lstg Bund'!M113=TRUE),'HB-D2 Besondere Lstg Bund'!K113,"")))</f>
        <v/>
      </c>
      <c r="G162" s="1253"/>
      <c r="H162" s="1254"/>
    </row>
    <row r="163" spans="2:8" ht="14.4">
      <c r="B163" t="str">
        <f>IF(AND(Projektgrundlagen!$I$21,'StB-D1 Besondere Lstg'!M114=TRUE),'StB-D1 Besondere Lstg'!C114&amp;" "&amp;'StB-D1 Besondere Lstg'!F114&amp;" "&amp;'StB-D1 Besondere Lstg'!F115,IF(AND(Projektgrundlagen!$I$22,'HB-D1 Besondere Lstg Land'!M114=TRUE),'HB-D1 Besondere Lstg Land'!C114&amp;" "&amp;'HB-D1 Besondere Lstg Land'!F114&amp;" "&amp;'HB-D1 Besondere Lstg Land'!F115,IF(AND(Projektgrundlagen!$I$23,'HB-D2 Besondere Lstg Bund'!M114=TRUE),'HB-D2 Besondere Lstg Bund'!C114&amp;" "&amp;'HB-D2 Besondere Lstg Bund'!F114&amp;" "&amp;'HB-D2 Besondere Lstg Bund'!F115,"")))</f>
        <v/>
      </c>
      <c r="C163" s="1246" t="str">
        <f>IF(AND(Projektgrundlagen!$I$21,'StB-D1 Besondere Lstg'!M114=TRUE),'StB-D1 Besondere Lstg'!H114,"")</f>
        <v/>
      </c>
      <c r="D163" s="1246" t="str">
        <f>IF(AND(Projektgrundlagen!$I$21,'StB-D1 Besondere Lstg'!M114=TRUE),'StB-D1 Besondere Lstg'!I114,IF(AND(Projektgrundlagen!$I$22,'HB-D1 Besondere Lstg Land'!M114=TRUE),(IF('HB-D1 Besondere Lstg Land'!H114&gt;0,"v.H.","pauschal")),IF(AND(Projektgrundlagen!$I$23,'HB-D2 Besondere Lstg Bund'!M114=TRUE),(IF('HB-D2 Besondere Lstg Bund'!H114&gt;0,"v.H.","pauschal")),"")))</f>
        <v/>
      </c>
      <c r="E163" s="1246" t="str">
        <f>IF(AND(Projektgrundlagen!$I$21,'StB-D1 Besondere Lstg'!M114=TRUE),'StB-D1 Besondere Lstg'!J114,IF(AND(Projektgrundlagen!$I$22,'HB-D1 Besondere Lstg Land'!M114=TRUE),'HB-D1 Besondere Lstg Land'!H114+'HB-D1 Besondere Lstg Land'!J114,IF(AND(Projektgrundlagen!$I$23,'HB-D2 Besondere Lstg Bund'!M114=TRUE),'HB-D2 Besondere Lstg Bund'!H114+'HB-D2 Besondere Lstg Bund'!J114,"")))</f>
        <v/>
      </c>
      <c r="F163" s="1246" t="str">
        <f>IF(AND(Projektgrundlagen!$I$21,'StB-D1 Besondere Lstg'!M114=TRUE),'StB-D1 Besondere Lstg'!K114,IF(AND(Projektgrundlagen!$I$22,'HB-D1 Besondere Lstg Land'!M114=TRUE),'HB-D1 Besondere Lstg Land'!K114,IF(AND(Projektgrundlagen!$I$23,'HB-D2 Besondere Lstg Bund'!M114=TRUE),'HB-D2 Besondere Lstg Bund'!K114,"")))</f>
        <v/>
      </c>
      <c r="G163" s="1253"/>
      <c r="H163" s="1254"/>
    </row>
    <row r="164" spans="2:8" ht="14.4">
      <c r="B164" t="str">
        <f>IF(AND(Projektgrundlagen!$I$21,'StB-D1 Besondere Lstg'!M115=TRUE),'StB-D1 Besondere Lstg'!C115&amp;" "&amp;'StB-D1 Besondere Lstg'!F115&amp;" "&amp;'StB-D1 Besondere Lstg'!F116,IF(AND(Projektgrundlagen!$I$22,'HB-D1 Besondere Lstg Land'!M115=TRUE),'HB-D1 Besondere Lstg Land'!C115&amp;" "&amp;'HB-D1 Besondere Lstg Land'!F115&amp;" "&amp;'HB-D1 Besondere Lstg Land'!F116,IF(AND(Projektgrundlagen!$I$23,'HB-D2 Besondere Lstg Bund'!M115=TRUE),'HB-D2 Besondere Lstg Bund'!C115&amp;" "&amp;'HB-D2 Besondere Lstg Bund'!F115&amp;" "&amp;'HB-D2 Besondere Lstg Bund'!F116,"")))</f>
        <v/>
      </c>
      <c r="C164" s="1246" t="str">
        <f>IF(AND(Projektgrundlagen!$I$21,'StB-D1 Besondere Lstg'!M115=TRUE),'StB-D1 Besondere Lstg'!H115,"")</f>
        <v/>
      </c>
      <c r="D164" s="1246" t="str">
        <f>IF(AND(Projektgrundlagen!$I$21,'StB-D1 Besondere Lstg'!M115=TRUE),'StB-D1 Besondere Lstg'!I115,IF(AND(Projektgrundlagen!$I$22,'HB-D1 Besondere Lstg Land'!M115=TRUE),(IF('HB-D1 Besondere Lstg Land'!H115&gt;0,"v.H.","pauschal")),IF(AND(Projektgrundlagen!$I$23,'HB-D2 Besondere Lstg Bund'!M115=TRUE),(IF('HB-D2 Besondere Lstg Bund'!H115&gt;0,"v.H.","pauschal")),"")))</f>
        <v/>
      </c>
      <c r="E164" s="1246" t="str">
        <f>IF(AND(Projektgrundlagen!$I$21,'StB-D1 Besondere Lstg'!M115=TRUE),'StB-D1 Besondere Lstg'!J115,IF(AND(Projektgrundlagen!$I$22,'HB-D1 Besondere Lstg Land'!M115=TRUE),'HB-D1 Besondere Lstg Land'!H115+'HB-D1 Besondere Lstg Land'!J115,IF(AND(Projektgrundlagen!$I$23,'HB-D2 Besondere Lstg Bund'!M115=TRUE),'HB-D2 Besondere Lstg Bund'!H115+'HB-D2 Besondere Lstg Bund'!J115,"")))</f>
        <v/>
      </c>
      <c r="F164" s="1246" t="str">
        <f>IF(AND(Projektgrundlagen!$I$21,'StB-D1 Besondere Lstg'!M115=TRUE),'StB-D1 Besondere Lstg'!K115,IF(AND(Projektgrundlagen!$I$22,'HB-D1 Besondere Lstg Land'!M115=TRUE),'HB-D1 Besondere Lstg Land'!K115,IF(AND(Projektgrundlagen!$I$23,'HB-D2 Besondere Lstg Bund'!M115=TRUE),'HB-D2 Besondere Lstg Bund'!K115,"")))</f>
        <v/>
      </c>
      <c r="G164" s="1253"/>
      <c r="H164" s="1254"/>
    </row>
    <row r="165" spans="2:8" ht="14.4">
      <c r="B165" t="str">
        <f>IF(AND(Projektgrundlagen!$I$21,'StB-D1 Besondere Lstg'!M116=TRUE),'StB-D1 Besondere Lstg'!C116&amp;" "&amp;'StB-D1 Besondere Lstg'!F116&amp;" "&amp;'StB-D1 Besondere Lstg'!F117,IF(AND(Projektgrundlagen!$I$22,'HB-D1 Besondere Lstg Land'!M116=TRUE),'HB-D1 Besondere Lstg Land'!C116&amp;" "&amp;'HB-D1 Besondere Lstg Land'!F116&amp;" "&amp;'HB-D1 Besondere Lstg Land'!F117,IF(AND(Projektgrundlagen!$I$23,'HB-D2 Besondere Lstg Bund'!M116=TRUE),'HB-D2 Besondere Lstg Bund'!C116&amp;" "&amp;'HB-D2 Besondere Lstg Bund'!F116&amp;" "&amp;'HB-D2 Besondere Lstg Bund'!F117,"")))</f>
        <v/>
      </c>
      <c r="C165" s="1246" t="str">
        <f>IF(AND(Projektgrundlagen!$I$21,'StB-D1 Besondere Lstg'!M116=TRUE),'StB-D1 Besondere Lstg'!H116,"")</f>
        <v/>
      </c>
      <c r="D165" s="1246" t="str">
        <f>IF(AND(Projektgrundlagen!$I$21,'StB-D1 Besondere Lstg'!M116=TRUE),'StB-D1 Besondere Lstg'!I116,IF(AND(Projektgrundlagen!$I$22,'HB-D1 Besondere Lstg Land'!M116=TRUE),(IF('HB-D1 Besondere Lstg Land'!H116&gt;0,"v.H.","pauschal")),IF(AND(Projektgrundlagen!$I$23,'HB-D2 Besondere Lstg Bund'!M116=TRUE),(IF('HB-D2 Besondere Lstg Bund'!H116&gt;0,"v.H.","pauschal")),"")))</f>
        <v/>
      </c>
      <c r="E165" s="1246" t="str">
        <f>IF(AND(Projektgrundlagen!$I$21,'StB-D1 Besondere Lstg'!M116=TRUE),'StB-D1 Besondere Lstg'!J116,IF(AND(Projektgrundlagen!$I$22,'HB-D1 Besondere Lstg Land'!M116=TRUE),'HB-D1 Besondere Lstg Land'!H116+'HB-D1 Besondere Lstg Land'!J116,IF(AND(Projektgrundlagen!$I$23,'HB-D2 Besondere Lstg Bund'!M116=TRUE),'HB-D2 Besondere Lstg Bund'!H116+'HB-D2 Besondere Lstg Bund'!J116,"")))</f>
        <v/>
      </c>
      <c r="F165" s="1246" t="str">
        <f>IF(AND(Projektgrundlagen!$I$21,'StB-D1 Besondere Lstg'!M116=TRUE),'StB-D1 Besondere Lstg'!K116,IF(AND(Projektgrundlagen!$I$22,'HB-D1 Besondere Lstg Land'!M116=TRUE),'HB-D1 Besondere Lstg Land'!K116,IF(AND(Projektgrundlagen!$I$23,'HB-D2 Besondere Lstg Bund'!M116=TRUE),'HB-D2 Besondere Lstg Bund'!K116,"")))</f>
        <v/>
      </c>
      <c r="G165" s="1253"/>
      <c r="H165" s="1254"/>
    </row>
    <row r="166" spans="2:8" ht="14.4">
      <c r="B166" t="str">
        <f>IF(AND(Projektgrundlagen!$I$21,'StB-D1 Besondere Lstg'!M117=TRUE),'StB-D1 Besondere Lstg'!C117&amp;" "&amp;'StB-D1 Besondere Lstg'!F117&amp;" "&amp;'StB-D1 Besondere Lstg'!F118,IF(AND(Projektgrundlagen!$I$22,'HB-D1 Besondere Lstg Land'!M117=TRUE),'HB-D1 Besondere Lstg Land'!C117&amp;" "&amp;'HB-D1 Besondere Lstg Land'!F117&amp;" "&amp;'HB-D1 Besondere Lstg Land'!F118,IF(AND(Projektgrundlagen!$I$23,'HB-D2 Besondere Lstg Bund'!M117=TRUE),'HB-D2 Besondere Lstg Bund'!C117&amp;" "&amp;'HB-D2 Besondere Lstg Bund'!F117&amp;" "&amp;'HB-D2 Besondere Lstg Bund'!F118,"")))</f>
        <v/>
      </c>
      <c r="C166" s="1246" t="str">
        <f>IF(AND(Projektgrundlagen!$I$21,'StB-D1 Besondere Lstg'!M117=TRUE),'StB-D1 Besondere Lstg'!H117,"")</f>
        <v/>
      </c>
      <c r="D166" s="1246" t="str">
        <f>IF(AND(Projektgrundlagen!$I$21,'StB-D1 Besondere Lstg'!M117=TRUE),'StB-D1 Besondere Lstg'!I117,IF(AND(Projektgrundlagen!$I$22,'HB-D1 Besondere Lstg Land'!M117=TRUE),(IF('HB-D1 Besondere Lstg Land'!H117&gt;0,"v.H.","pauschal")),IF(AND(Projektgrundlagen!$I$23,'HB-D2 Besondere Lstg Bund'!M117=TRUE),(IF('HB-D2 Besondere Lstg Bund'!H117&gt;0,"v.H.","pauschal")),"")))</f>
        <v/>
      </c>
      <c r="E166" s="1246" t="str">
        <f>IF(AND(Projektgrundlagen!$I$21,'StB-D1 Besondere Lstg'!M117=TRUE),'StB-D1 Besondere Lstg'!J117,IF(AND(Projektgrundlagen!$I$22,'HB-D1 Besondere Lstg Land'!M117=TRUE),'HB-D1 Besondere Lstg Land'!H117+'HB-D1 Besondere Lstg Land'!J117,IF(AND(Projektgrundlagen!$I$23,'HB-D2 Besondere Lstg Bund'!M117=TRUE),'HB-D2 Besondere Lstg Bund'!H117+'HB-D2 Besondere Lstg Bund'!J117,"")))</f>
        <v/>
      </c>
      <c r="F166" s="1246" t="str">
        <f>IF(AND(Projektgrundlagen!$I$21,'StB-D1 Besondere Lstg'!M117=TRUE),'StB-D1 Besondere Lstg'!K117,IF(AND(Projektgrundlagen!$I$22,'HB-D1 Besondere Lstg Land'!M117=TRUE),'HB-D1 Besondere Lstg Land'!K117,IF(AND(Projektgrundlagen!$I$23,'HB-D2 Besondere Lstg Bund'!M117=TRUE),'HB-D2 Besondere Lstg Bund'!K117,"")))</f>
        <v/>
      </c>
      <c r="G166" s="1253"/>
      <c r="H166" s="1254"/>
    </row>
    <row r="167" spans="2:8" ht="14.4">
      <c r="B167" t="str">
        <f>IF(AND(Projektgrundlagen!$I$21,'StB-D1 Besondere Lstg'!M118=TRUE),'StB-D1 Besondere Lstg'!C118&amp;" "&amp;'StB-D1 Besondere Lstg'!F118&amp;" "&amp;'StB-D1 Besondere Lstg'!F119,IF(AND(Projektgrundlagen!$I$22,'HB-D1 Besondere Lstg Land'!M118=TRUE),'HB-D1 Besondere Lstg Land'!C118&amp;" "&amp;'HB-D1 Besondere Lstg Land'!F118&amp;" "&amp;'HB-D1 Besondere Lstg Land'!F119,IF(AND(Projektgrundlagen!$I$23,'HB-D2 Besondere Lstg Bund'!M118=TRUE),'HB-D2 Besondere Lstg Bund'!C118&amp;" "&amp;'HB-D2 Besondere Lstg Bund'!F118&amp;" "&amp;'HB-D2 Besondere Lstg Bund'!F119,"")))</f>
        <v/>
      </c>
      <c r="C167" s="1246" t="str">
        <f>IF(AND(Projektgrundlagen!$I$21,'StB-D1 Besondere Lstg'!M118=TRUE),'StB-D1 Besondere Lstg'!H118,"")</f>
        <v/>
      </c>
      <c r="D167" s="1246" t="str">
        <f>IF(AND(Projektgrundlagen!$I$21,'StB-D1 Besondere Lstg'!M118=TRUE),'StB-D1 Besondere Lstg'!I118,IF(AND(Projektgrundlagen!$I$22,'HB-D1 Besondere Lstg Land'!M118=TRUE),(IF('HB-D1 Besondere Lstg Land'!H118&gt;0,"v.H.","pauschal")),IF(AND(Projektgrundlagen!$I$23,'HB-D2 Besondere Lstg Bund'!M118=TRUE),(IF('HB-D2 Besondere Lstg Bund'!H118&gt;0,"v.H.","pauschal")),"")))</f>
        <v/>
      </c>
      <c r="E167" s="1246" t="str">
        <f>IF(AND(Projektgrundlagen!$I$21,'StB-D1 Besondere Lstg'!M118=TRUE),'StB-D1 Besondere Lstg'!J118,IF(AND(Projektgrundlagen!$I$22,'HB-D1 Besondere Lstg Land'!M118=TRUE),'HB-D1 Besondere Lstg Land'!H118+'HB-D1 Besondere Lstg Land'!J118,IF(AND(Projektgrundlagen!$I$23,'HB-D2 Besondere Lstg Bund'!M118=TRUE),'HB-D2 Besondere Lstg Bund'!H118+'HB-D2 Besondere Lstg Bund'!J118,"")))</f>
        <v/>
      </c>
      <c r="F167" s="1246" t="str">
        <f>IF(AND(Projektgrundlagen!$I$21,'StB-D1 Besondere Lstg'!M118=TRUE),'StB-D1 Besondere Lstg'!K118,IF(AND(Projektgrundlagen!$I$22,'HB-D1 Besondere Lstg Land'!M118=TRUE),'HB-D1 Besondere Lstg Land'!K118,IF(AND(Projektgrundlagen!$I$23,'HB-D2 Besondere Lstg Bund'!M118=TRUE),'HB-D2 Besondere Lstg Bund'!K118,"")))</f>
        <v/>
      </c>
      <c r="G167" s="1253"/>
      <c r="H167" s="1254"/>
    </row>
    <row r="168" spans="2:8" ht="14.4">
      <c r="B168" t="str">
        <f>IF(AND(Projektgrundlagen!$I$21,'StB-D1 Besondere Lstg'!M119=TRUE),'StB-D1 Besondere Lstg'!C119&amp;" "&amp;'StB-D1 Besondere Lstg'!F119&amp;" "&amp;'StB-D1 Besondere Lstg'!F120,IF(AND(Projektgrundlagen!$I$22,'HB-D1 Besondere Lstg Land'!M119=TRUE),'HB-D1 Besondere Lstg Land'!C119&amp;" "&amp;'HB-D1 Besondere Lstg Land'!F119&amp;" "&amp;'HB-D1 Besondere Lstg Land'!F120,IF(AND(Projektgrundlagen!$I$23,'HB-D2 Besondere Lstg Bund'!M119=TRUE),'HB-D2 Besondere Lstg Bund'!C119&amp;" "&amp;'HB-D2 Besondere Lstg Bund'!F119&amp;" "&amp;'HB-D2 Besondere Lstg Bund'!F120,"")))</f>
        <v/>
      </c>
      <c r="C168" s="1246" t="str">
        <f>IF(AND(Projektgrundlagen!$I$21,'StB-D1 Besondere Lstg'!M119=TRUE),'StB-D1 Besondere Lstg'!H119,"")</f>
        <v/>
      </c>
      <c r="D168" s="1246" t="str">
        <f>IF(AND(Projektgrundlagen!$I$21,'StB-D1 Besondere Lstg'!M119=TRUE),'StB-D1 Besondere Lstg'!I119,IF(AND(Projektgrundlagen!$I$22,'HB-D1 Besondere Lstg Land'!M119=TRUE),(IF('HB-D1 Besondere Lstg Land'!H119&gt;0,"v.H.","pauschal")),IF(AND(Projektgrundlagen!$I$23,'HB-D2 Besondere Lstg Bund'!M119=TRUE),(IF('HB-D2 Besondere Lstg Bund'!H119&gt;0,"v.H.","pauschal")),"")))</f>
        <v/>
      </c>
      <c r="E168" s="1246" t="str">
        <f>IF(AND(Projektgrundlagen!$I$21,'StB-D1 Besondere Lstg'!M119=TRUE),'StB-D1 Besondere Lstg'!J119,IF(AND(Projektgrundlagen!$I$22,'HB-D1 Besondere Lstg Land'!M119=TRUE),'HB-D1 Besondere Lstg Land'!H119+'HB-D1 Besondere Lstg Land'!J119,IF(AND(Projektgrundlagen!$I$23,'HB-D2 Besondere Lstg Bund'!M119=TRUE),'HB-D2 Besondere Lstg Bund'!H119+'HB-D2 Besondere Lstg Bund'!J119,"")))</f>
        <v/>
      </c>
      <c r="F168" s="1246" t="str">
        <f>IF(AND(Projektgrundlagen!$I$21,'StB-D1 Besondere Lstg'!M119=TRUE),'StB-D1 Besondere Lstg'!K119,IF(AND(Projektgrundlagen!$I$22,'HB-D1 Besondere Lstg Land'!M119=TRUE),'HB-D1 Besondere Lstg Land'!K119,IF(AND(Projektgrundlagen!$I$23,'HB-D2 Besondere Lstg Bund'!M119=TRUE),'HB-D2 Besondere Lstg Bund'!K119,"")))</f>
        <v/>
      </c>
      <c r="G168" s="1253"/>
      <c r="H168" s="1254"/>
    </row>
    <row r="169" spans="2:8" ht="14.4">
      <c r="B169" t="str">
        <f>IF(AND(Projektgrundlagen!$I$21,'StB-D1 Besondere Lstg'!M120=TRUE),'StB-D1 Besondere Lstg'!C120&amp;" "&amp;'StB-D1 Besondere Lstg'!F120&amp;" "&amp;'StB-D1 Besondere Lstg'!F121,IF(AND(Projektgrundlagen!$I$22,'HB-D1 Besondere Lstg Land'!M120=TRUE),'HB-D1 Besondere Lstg Land'!C120&amp;" "&amp;'HB-D1 Besondere Lstg Land'!F120&amp;" "&amp;'HB-D1 Besondere Lstg Land'!F121,IF(AND(Projektgrundlagen!$I$23,'HB-D2 Besondere Lstg Bund'!M120=TRUE),'HB-D2 Besondere Lstg Bund'!C120&amp;" "&amp;'HB-D2 Besondere Lstg Bund'!F120&amp;" "&amp;'HB-D2 Besondere Lstg Bund'!F121,"")))</f>
        <v/>
      </c>
      <c r="C169" s="1246" t="str">
        <f>IF(AND(Projektgrundlagen!$I$21,'StB-D1 Besondere Lstg'!M120=TRUE),'StB-D1 Besondere Lstg'!H120,"")</f>
        <v/>
      </c>
      <c r="D169" s="1246" t="str">
        <f>IF(AND(Projektgrundlagen!$I$21,'StB-D1 Besondere Lstg'!M120=TRUE),'StB-D1 Besondere Lstg'!I120,IF(AND(Projektgrundlagen!$I$22,'HB-D1 Besondere Lstg Land'!M120=TRUE),(IF('HB-D1 Besondere Lstg Land'!H120&gt;0,"v.H.","pauschal")),IF(AND(Projektgrundlagen!$I$23,'HB-D2 Besondere Lstg Bund'!M120=TRUE),(IF('HB-D2 Besondere Lstg Bund'!H120&gt;0,"v.H.","pauschal")),"")))</f>
        <v/>
      </c>
      <c r="E169" s="1246" t="str">
        <f>IF(AND(Projektgrundlagen!$I$21,'StB-D1 Besondere Lstg'!M120=TRUE),'StB-D1 Besondere Lstg'!J120,IF(AND(Projektgrundlagen!$I$22,'HB-D1 Besondere Lstg Land'!M120=TRUE),'HB-D1 Besondere Lstg Land'!H120+'HB-D1 Besondere Lstg Land'!J120,IF(AND(Projektgrundlagen!$I$23,'HB-D2 Besondere Lstg Bund'!M120=TRUE),'HB-D2 Besondere Lstg Bund'!H120+'HB-D2 Besondere Lstg Bund'!J120,"")))</f>
        <v/>
      </c>
      <c r="F169" s="1246" t="str">
        <f>IF(AND(Projektgrundlagen!$I$21,'StB-D1 Besondere Lstg'!M120=TRUE),'StB-D1 Besondere Lstg'!K120,IF(AND(Projektgrundlagen!$I$22,'HB-D1 Besondere Lstg Land'!M120=TRUE),'HB-D1 Besondere Lstg Land'!K120,IF(AND(Projektgrundlagen!$I$23,'HB-D2 Besondere Lstg Bund'!M120=TRUE),'HB-D2 Besondere Lstg Bund'!K120,"")))</f>
        <v/>
      </c>
      <c r="G169" s="1253"/>
      <c r="H169" s="1254"/>
    </row>
    <row r="170" spans="2:8" ht="14.4">
      <c r="B170" t="str">
        <f>IF(AND(Projektgrundlagen!$I$21,'StB-D1 Besondere Lstg'!M121=TRUE),'StB-D1 Besondere Lstg'!C121&amp;" "&amp;'StB-D1 Besondere Lstg'!F121&amp;" "&amp;'StB-D1 Besondere Lstg'!F122,IF(AND(Projektgrundlagen!$I$22,'HB-D1 Besondere Lstg Land'!M121=TRUE),'HB-D1 Besondere Lstg Land'!C121&amp;" "&amp;'HB-D1 Besondere Lstg Land'!F121&amp;" "&amp;'HB-D1 Besondere Lstg Land'!F122,IF(AND(Projektgrundlagen!$I$23,'HB-D2 Besondere Lstg Bund'!M121=TRUE),'HB-D2 Besondere Lstg Bund'!C121&amp;" "&amp;'HB-D2 Besondere Lstg Bund'!F121&amp;" "&amp;'HB-D2 Besondere Lstg Bund'!F122,"")))</f>
        <v/>
      </c>
      <c r="C170" s="1246" t="str">
        <f>IF(AND(Projektgrundlagen!$I$21,'StB-D1 Besondere Lstg'!M121=TRUE),'StB-D1 Besondere Lstg'!H121,"")</f>
        <v/>
      </c>
      <c r="D170" s="1246" t="str">
        <f>IF(AND(Projektgrundlagen!$I$21,'StB-D1 Besondere Lstg'!M121=TRUE),'StB-D1 Besondere Lstg'!I121,IF(AND(Projektgrundlagen!$I$22,'HB-D1 Besondere Lstg Land'!M121=TRUE),(IF('HB-D1 Besondere Lstg Land'!H121&gt;0,"v.H.","pauschal")),IF(AND(Projektgrundlagen!$I$23,'HB-D2 Besondere Lstg Bund'!M121=TRUE),(IF('HB-D2 Besondere Lstg Bund'!H121&gt;0,"v.H.","pauschal")),"")))</f>
        <v/>
      </c>
      <c r="E170" s="1246" t="str">
        <f>IF(AND(Projektgrundlagen!$I$21,'StB-D1 Besondere Lstg'!M121=TRUE),'StB-D1 Besondere Lstg'!J121,IF(AND(Projektgrundlagen!$I$22,'HB-D1 Besondere Lstg Land'!M121=TRUE),'HB-D1 Besondere Lstg Land'!H121+'HB-D1 Besondere Lstg Land'!J121,IF(AND(Projektgrundlagen!$I$23,'HB-D2 Besondere Lstg Bund'!M121=TRUE),'HB-D2 Besondere Lstg Bund'!H121+'HB-D2 Besondere Lstg Bund'!J121,"")))</f>
        <v/>
      </c>
      <c r="F170" s="1246" t="str">
        <f>IF(AND(Projektgrundlagen!$I$21,'StB-D1 Besondere Lstg'!M121=TRUE),'StB-D1 Besondere Lstg'!K121,IF(AND(Projektgrundlagen!$I$22,'HB-D1 Besondere Lstg Land'!M121=TRUE),'HB-D1 Besondere Lstg Land'!K121,IF(AND(Projektgrundlagen!$I$23,'HB-D2 Besondere Lstg Bund'!M121=TRUE),'HB-D2 Besondere Lstg Bund'!K121,"")))</f>
        <v/>
      </c>
      <c r="G170" s="1253"/>
      <c r="H170" s="1254"/>
    </row>
    <row r="171" spans="2:8" ht="14.4">
      <c r="B171" t="str">
        <f>IF(AND(Projektgrundlagen!$I$21,'StB-D1 Besondere Lstg'!M122=TRUE),'StB-D1 Besondere Lstg'!C122&amp;" "&amp;'StB-D1 Besondere Lstg'!F122&amp;" "&amp;'StB-D1 Besondere Lstg'!F123,IF(AND(Projektgrundlagen!$I$22,'HB-D1 Besondere Lstg Land'!M122=TRUE),'HB-D1 Besondere Lstg Land'!C122&amp;" "&amp;'HB-D1 Besondere Lstg Land'!F122&amp;" "&amp;'HB-D1 Besondere Lstg Land'!F123,IF(AND(Projektgrundlagen!$I$23,'HB-D2 Besondere Lstg Bund'!M122=TRUE),'HB-D2 Besondere Lstg Bund'!C122&amp;" "&amp;'HB-D2 Besondere Lstg Bund'!F122&amp;" "&amp;'HB-D2 Besondere Lstg Bund'!F123,"")))</f>
        <v/>
      </c>
      <c r="C171" s="1246" t="str">
        <f>IF(AND(Projektgrundlagen!$I$21,'StB-D1 Besondere Lstg'!M122=TRUE),'StB-D1 Besondere Lstg'!H122,"")</f>
        <v/>
      </c>
      <c r="D171" s="1246" t="str">
        <f>IF(AND(Projektgrundlagen!$I$21,'StB-D1 Besondere Lstg'!M122=TRUE),'StB-D1 Besondere Lstg'!I122,IF(AND(Projektgrundlagen!$I$22,'HB-D1 Besondere Lstg Land'!M122=TRUE),(IF('HB-D1 Besondere Lstg Land'!H122&gt;0,"v.H.","pauschal")),IF(AND(Projektgrundlagen!$I$23,'HB-D2 Besondere Lstg Bund'!M122=TRUE),(IF('HB-D2 Besondere Lstg Bund'!H122&gt;0,"v.H.","pauschal")),"")))</f>
        <v/>
      </c>
      <c r="E171" s="1246" t="str">
        <f>IF(AND(Projektgrundlagen!$I$21,'StB-D1 Besondere Lstg'!M122=TRUE),'StB-D1 Besondere Lstg'!J122,IF(AND(Projektgrundlagen!$I$22,'HB-D1 Besondere Lstg Land'!M122=TRUE),'HB-D1 Besondere Lstg Land'!H122+'HB-D1 Besondere Lstg Land'!J122,IF(AND(Projektgrundlagen!$I$23,'HB-D2 Besondere Lstg Bund'!M122=TRUE),'HB-D2 Besondere Lstg Bund'!H122+'HB-D2 Besondere Lstg Bund'!J122,"")))</f>
        <v/>
      </c>
      <c r="F171" s="1246" t="str">
        <f>IF(AND(Projektgrundlagen!$I$21,'StB-D1 Besondere Lstg'!M122=TRUE),'StB-D1 Besondere Lstg'!K122,IF(AND(Projektgrundlagen!$I$22,'HB-D1 Besondere Lstg Land'!M122=TRUE),'HB-D1 Besondere Lstg Land'!K122,IF(AND(Projektgrundlagen!$I$23,'HB-D2 Besondere Lstg Bund'!M122=TRUE),'HB-D2 Besondere Lstg Bund'!K122,"")))</f>
        <v/>
      </c>
      <c r="G171" s="1253"/>
      <c r="H171" s="1254"/>
    </row>
    <row r="172" spans="2:8" ht="14.4">
      <c r="B172" t="str">
        <f>IF(AND(Projektgrundlagen!$I$21,'StB-D1 Besondere Lstg'!M123=TRUE),'StB-D1 Besondere Lstg'!C123&amp;" "&amp;'StB-D1 Besondere Lstg'!F123&amp;" "&amp;'StB-D1 Besondere Lstg'!F124,IF(AND(Projektgrundlagen!$I$22,'HB-D1 Besondere Lstg Land'!M123=TRUE),'HB-D1 Besondere Lstg Land'!C123&amp;" "&amp;'HB-D1 Besondere Lstg Land'!F123&amp;" "&amp;'HB-D1 Besondere Lstg Land'!F124,IF(AND(Projektgrundlagen!$I$23,'HB-D2 Besondere Lstg Bund'!M123=TRUE),'HB-D2 Besondere Lstg Bund'!C123&amp;" "&amp;'HB-D2 Besondere Lstg Bund'!F123&amp;" "&amp;'HB-D2 Besondere Lstg Bund'!F124,"")))</f>
        <v/>
      </c>
      <c r="C172" s="1246" t="str">
        <f>IF(AND(Projektgrundlagen!$I$21,'StB-D1 Besondere Lstg'!M123=TRUE),'StB-D1 Besondere Lstg'!H123,"")</f>
        <v/>
      </c>
      <c r="D172" s="1246" t="str">
        <f>IF(AND(Projektgrundlagen!$I$21,'StB-D1 Besondere Lstg'!M123=TRUE),'StB-D1 Besondere Lstg'!I123,IF(AND(Projektgrundlagen!$I$22,'HB-D1 Besondere Lstg Land'!M123=TRUE),(IF('HB-D1 Besondere Lstg Land'!H123&gt;0,"v.H.","pauschal")),IF(AND(Projektgrundlagen!$I$23,'HB-D2 Besondere Lstg Bund'!M123=TRUE),(IF('HB-D2 Besondere Lstg Bund'!H123&gt;0,"v.H.","pauschal")),"")))</f>
        <v/>
      </c>
      <c r="E172" s="1246" t="str">
        <f>IF(AND(Projektgrundlagen!$I$21,'StB-D1 Besondere Lstg'!M123=TRUE),'StB-D1 Besondere Lstg'!J123,IF(AND(Projektgrundlagen!$I$22,'HB-D1 Besondere Lstg Land'!M123=TRUE),'HB-D1 Besondere Lstg Land'!H123+'HB-D1 Besondere Lstg Land'!J123,IF(AND(Projektgrundlagen!$I$23,'HB-D2 Besondere Lstg Bund'!M123=TRUE),'HB-D2 Besondere Lstg Bund'!H123+'HB-D2 Besondere Lstg Bund'!J123,"")))</f>
        <v/>
      </c>
      <c r="F172" s="1246" t="str">
        <f>IF(AND(Projektgrundlagen!$I$21,'StB-D1 Besondere Lstg'!M123=TRUE),'StB-D1 Besondere Lstg'!K123,IF(AND(Projektgrundlagen!$I$22,'HB-D1 Besondere Lstg Land'!M123=TRUE),'HB-D1 Besondere Lstg Land'!K123,IF(AND(Projektgrundlagen!$I$23,'HB-D2 Besondere Lstg Bund'!M123=TRUE),'HB-D2 Besondere Lstg Bund'!K123,"")))</f>
        <v/>
      </c>
      <c r="G172" s="1253"/>
      <c r="H172" s="1254"/>
    </row>
    <row r="173" spans="2:8" ht="14.4">
      <c r="B173" t="str">
        <f>IF(AND(Projektgrundlagen!$I$21,'StB-D1 Besondere Lstg'!M124=TRUE),'StB-D1 Besondere Lstg'!C124&amp;" "&amp;'StB-D1 Besondere Lstg'!F124&amp;" "&amp;'StB-D1 Besondere Lstg'!F125,IF(AND(Projektgrundlagen!$I$22,'HB-D1 Besondere Lstg Land'!M124=TRUE),'HB-D1 Besondere Lstg Land'!C124&amp;" "&amp;'HB-D1 Besondere Lstg Land'!F124&amp;" "&amp;'HB-D1 Besondere Lstg Land'!F125,IF(AND(Projektgrundlagen!$I$23,'HB-D2 Besondere Lstg Bund'!M124=TRUE),'HB-D2 Besondere Lstg Bund'!C124&amp;" "&amp;'HB-D2 Besondere Lstg Bund'!F124&amp;" "&amp;'HB-D2 Besondere Lstg Bund'!F125,"")))</f>
        <v/>
      </c>
      <c r="C173" s="1246" t="str">
        <f>IF(AND(Projektgrundlagen!$I$21,'StB-D1 Besondere Lstg'!M124=TRUE),'StB-D1 Besondere Lstg'!H124,"")</f>
        <v/>
      </c>
      <c r="D173" s="1246" t="str">
        <f>IF(AND(Projektgrundlagen!$I$21,'StB-D1 Besondere Lstg'!M124=TRUE),'StB-D1 Besondere Lstg'!I124,IF(AND(Projektgrundlagen!$I$22,'HB-D1 Besondere Lstg Land'!M124=TRUE),(IF('HB-D1 Besondere Lstg Land'!H124&gt;0,"v.H.","pauschal")),IF(AND(Projektgrundlagen!$I$23,'HB-D2 Besondere Lstg Bund'!M124=TRUE),(IF('HB-D2 Besondere Lstg Bund'!H124&gt;0,"v.H.","pauschal")),"")))</f>
        <v/>
      </c>
      <c r="E173" s="1246" t="str">
        <f>IF(AND(Projektgrundlagen!$I$21,'StB-D1 Besondere Lstg'!M124=TRUE),'StB-D1 Besondere Lstg'!J124,IF(AND(Projektgrundlagen!$I$22,'HB-D1 Besondere Lstg Land'!M124=TRUE),'HB-D1 Besondere Lstg Land'!H124+'HB-D1 Besondere Lstg Land'!J124,IF(AND(Projektgrundlagen!$I$23,'HB-D2 Besondere Lstg Bund'!M124=TRUE),'HB-D2 Besondere Lstg Bund'!H124+'HB-D2 Besondere Lstg Bund'!J124,"")))</f>
        <v/>
      </c>
      <c r="F173" s="1246" t="str">
        <f>IF(AND(Projektgrundlagen!$I$21,'StB-D1 Besondere Lstg'!M124=TRUE),'StB-D1 Besondere Lstg'!K124,IF(AND(Projektgrundlagen!$I$22,'HB-D1 Besondere Lstg Land'!M124=TRUE),'HB-D1 Besondere Lstg Land'!K124,IF(AND(Projektgrundlagen!$I$23,'HB-D2 Besondere Lstg Bund'!M124=TRUE),'HB-D2 Besondere Lstg Bund'!K124,"")))</f>
        <v/>
      </c>
      <c r="G173" s="1253"/>
      <c r="H173" s="1254"/>
    </row>
    <row r="174" spans="2:8" ht="14.4">
      <c r="B174" t="str">
        <f>IF(AND(Projektgrundlagen!$I$21,'StB-D1 Besondere Lstg'!M125=TRUE),'StB-D1 Besondere Lstg'!C125&amp;" "&amp;'StB-D1 Besondere Lstg'!F125&amp;" "&amp;'StB-D1 Besondere Lstg'!F126,IF(AND(Projektgrundlagen!$I$22,'HB-D1 Besondere Lstg Land'!M125=TRUE),'HB-D1 Besondere Lstg Land'!C125&amp;" "&amp;'HB-D1 Besondere Lstg Land'!F125&amp;" "&amp;'HB-D1 Besondere Lstg Land'!F126,IF(AND(Projektgrundlagen!$I$23,'HB-D2 Besondere Lstg Bund'!M125=TRUE),'HB-D2 Besondere Lstg Bund'!C125&amp;" "&amp;'HB-D2 Besondere Lstg Bund'!F125&amp;" "&amp;'HB-D2 Besondere Lstg Bund'!F126,"")))</f>
        <v/>
      </c>
      <c r="C174" s="1246" t="str">
        <f>IF(AND(Projektgrundlagen!$I$21,'StB-D1 Besondere Lstg'!M125=TRUE),'StB-D1 Besondere Lstg'!H125,"")</f>
        <v/>
      </c>
      <c r="D174" s="1246" t="str">
        <f>IF(AND(Projektgrundlagen!$I$21,'StB-D1 Besondere Lstg'!M125=TRUE),'StB-D1 Besondere Lstg'!I125,IF(AND(Projektgrundlagen!$I$22,'HB-D1 Besondere Lstg Land'!M125=TRUE),(IF('HB-D1 Besondere Lstg Land'!H125&gt;0,"v.H.","pauschal")),IF(AND(Projektgrundlagen!$I$23,'HB-D2 Besondere Lstg Bund'!M125=TRUE),(IF('HB-D2 Besondere Lstg Bund'!H125&gt;0,"v.H.","pauschal")),"")))</f>
        <v/>
      </c>
      <c r="E174" s="1246" t="str">
        <f>IF(AND(Projektgrundlagen!$I$21,'StB-D1 Besondere Lstg'!M125=TRUE),'StB-D1 Besondere Lstg'!J125,IF(AND(Projektgrundlagen!$I$22,'HB-D1 Besondere Lstg Land'!M125=TRUE),'HB-D1 Besondere Lstg Land'!H125+'HB-D1 Besondere Lstg Land'!J125,IF(AND(Projektgrundlagen!$I$23,'HB-D2 Besondere Lstg Bund'!M125=TRUE),'HB-D2 Besondere Lstg Bund'!H125+'HB-D2 Besondere Lstg Bund'!J125,"")))</f>
        <v/>
      </c>
      <c r="F174" s="1246" t="str">
        <f>IF(AND(Projektgrundlagen!$I$21,'StB-D1 Besondere Lstg'!M125=TRUE),'StB-D1 Besondere Lstg'!K125,IF(AND(Projektgrundlagen!$I$22,'HB-D1 Besondere Lstg Land'!M125=TRUE),'HB-D1 Besondere Lstg Land'!K125,IF(AND(Projektgrundlagen!$I$23,'HB-D2 Besondere Lstg Bund'!M125=TRUE),'HB-D2 Besondere Lstg Bund'!K125,"")))</f>
        <v/>
      </c>
      <c r="G174" s="1253"/>
      <c r="H174" s="1254"/>
    </row>
    <row r="175" spans="2:8" ht="14.4">
      <c r="B175" t="str">
        <f>IF(AND(Projektgrundlagen!$I$21,'StB-D1 Besondere Lstg'!M126=TRUE),'StB-D1 Besondere Lstg'!C126&amp;" "&amp;'StB-D1 Besondere Lstg'!F126&amp;" "&amp;'StB-D1 Besondere Lstg'!F127,IF(AND(Projektgrundlagen!$I$22,'HB-D1 Besondere Lstg Land'!M126=TRUE),'HB-D1 Besondere Lstg Land'!C126&amp;" "&amp;'HB-D1 Besondere Lstg Land'!F126&amp;" "&amp;'HB-D1 Besondere Lstg Land'!F127,IF(AND(Projektgrundlagen!$I$23,'HB-D2 Besondere Lstg Bund'!M126=TRUE),'HB-D2 Besondere Lstg Bund'!C126&amp;" "&amp;'HB-D2 Besondere Lstg Bund'!F126&amp;" "&amp;'HB-D2 Besondere Lstg Bund'!F127,"")))</f>
        <v/>
      </c>
      <c r="C175" s="1246" t="str">
        <f>IF(AND(Projektgrundlagen!$I$21,'StB-D1 Besondere Lstg'!M126=TRUE),'StB-D1 Besondere Lstg'!H126,"")</f>
        <v/>
      </c>
      <c r="D175" s="1246" t="str">
        <f>IF(AND(Projektgrundlagen!$I$21,'StB-D1 Besondere Lstg'!M126=TRUE),'StB-D1 Besondere Lstg'!I126,IF(AND(Projektgrundlagen!$I$22,'HB-D1 Besondere Lstg Land'!M126=TRUE),(IF('HB-D1 Besondere Lstg Land'!H126&gt;0,"v.H.","pauschal")),IF(AND(Projektgrundlagen!$I$23,'HB-D2 Besondere Lstg Bund'!M126=TRUE),(IF('HB-D2 Besondere Lstg Bund'!H126&gt;0,"v.H.","pauschal")),"")))</f>
        <v/>
      </c>
      <c r="E175" s="1246" t="str">
        <f>IF(AND(Projektgrundlagen!$I$21,'StB-D1 Besondere Lstg'!M126=TRUE),'StB-D1 Besondere Lstg'!J126,IF(AND(Projektgrundlagen!$I$22,'HB-D1 Besondere Lstg Land'!M126=TRUE),'HB-D1 Besondere Lstg Land'!H126+'HB-D1 Besondere Lstg Land'!J126,IF(AND(Projektgrundlagen!$I$23,'HB-D2 Besondere Lstg Bund'!M126=TRUE),'HB-D2 Besondere Lstg Bund'!H126+'HB-D2 Besondere Lstg Bund'!J126,"")))</f>
        <v/>
      </c>
      <c r="F175" s="1246" t="str">
        <f>IF(AND(Projektgrundlagen!$I$21,'StB-D1 Besondere Lstg'!M126=TRUE),'StB-D1 Besondere Lstg'!K126,IF(AND(Projektgrundlagen!$I$22,'HB-D1 Besondere Lstg Land'!M126=TRUE),'HB-D1 Besondere Lstg Land'!K126,IF(AND(Projektgrundlagen!$I$23,'HB-D2 Besondere Lstg Bund'!M126=TRUE),'HB-D2 Besondere Lstg Bund'!K126,"")))</f>
        <v/>
      </c>
      <c r="G175" s="1253"/>
      <c r="H175" s="1254"/>
    </row>
    <row r="176" spans="2:8" ht="14.4">
      <c r="B176" t="str">
        <f>IF(AND(Projektgrundlagen!$I$21,'StB-D1 Besondere Lstg'!M127=TRUE),'StB-D1 Besondere Lstg'!C127&amp;" "&amp;'StB-D1 Besondere Lstg'!F127&amp;" "&amp;'StB-D1 Besondere Lstg'!F128,IF(AND(Projektgrundlagen!$I$22,'HB-D1 Besondere Lstg Land'!M127=TRUE),'HB-D1 Besondere Lstg Land'!C127&amp;" "&amp;'HB-D1 Besondere Lstg Land'!F127&amp;" "&amp;'HB-D1 Besondere Lstg Land'!F128,IF(AND(Projektgrundlagen!$I$23,'HB-D2 Besondere Lstg Bund'!M127=TRUE),'HB-D2 Besondere Lstg Bund'!C127&amp;" "&amp;'HB-D2 Besondere Lstg Bund'!F127&amp;" "&amp;'HB-D2 Besondere Lstg Bund'!F128,"")))</f>
        <v/>
      </c>
      <c r="C176" s="1246" t="str">
        <f>IF(AND(Projektgrundlagen!$I$21,'StB-D1 Besondere Lstg'!M127=TRUE),'StB-D1 Besondere Lstg'!H127,"")</f>
        <v/>
      </c>
      <c r="D176" s="1246" t="str">
        <f>IF(AND(Projektgrundlagen!$I$21,'StB-D1 Besondere Lstg'!M127=TRUE),'StB-D1 Besondere Lstg'!I127,IF(AND(Projektgrundlagen!$I$22,'HB-D1 Besondere Lstg Land'!M127=TRUE),(IF('HB-D1 Besondere Lstg Land'!H127&gt;0,"v.H.","pauschal")),IF(AND(Projektgrundlagen!$I$23,'HB-D2 Besondere Lstg Bund'!M127=TRUE),(IF('HB-D2 Besondere Lstg Bund'!H127&gt;0,"v.H.","pauschal")),"")))</f>
        <v/>
      </c>
      <c r="E176" s="1246" t="str">
        <f>IF(AND(Projektgrundlagen!$I$21,'StB-D1 Besondere Lstg'!M127=TRUE),'StB-D1 Besondere Lstg'!J127,IF(AND(Projektgrundlagen!$I$22,'HB-D1 Besondere Lstg Land'!M127=TRUE),'HB-D1 Besondere Lstg Land'!H127+'HB-D1 Besondere Lstg Land'!J127,IF(AND(Projektgrundlagen!$I$23,'HB-D2 Besondere Lstg Bund'!M127=TRUE),'HB-D2 Besondere Lstg Bund'!H127+'HB-D2 Besondere Lstg Bund'!J127,"")))</f>
        <v/>
      </c>
      <c r="F176" s="1246" t="str">
        <f>IF(AND(Projektgrundlagen!$I$21,'StB-D1 Besondere Lstg'!M127=TRUE),'StB-D1 Besondere Lstg'!K127,IF(AND(Projektgrundlagen!$I$22,'HB-D1 Besondere Lstg Land'!M127=TRUE),'HB-D1 Besondere Lstg Land'!K127,IF(AND(Projektgrundlagen!$I$23,'HB-D2 Besondere Lstg Bund'!M127=TRUE),'HB-D2 Besondere Lstg Bund'!K127,"")))</f>
        <v/>
      </c>
      <c r="G176" s="1253"/>
      <c r="H176" s="1254"/>
    </row>
    <row r="177" spans="2:8" ht="14.4">
      <c r="B177" t="str">
        <f>IF(AND(Projektgrundlagen!$I$21,'StB-D1 Besondere Lstg'!M128=TRUE),'StB-D1 Besondere Lstg'!C128&amp;" "&amp;'StB-D1 Besondere Lstg'!F128&amp;" "&amp;'StB-D1 Besondere Lstg'!F129,IF(AND(Projektgrundlagen!$I$22,'HB-D1 Besondere Lstg Land'!M128=TRUE),'HB-D1 Besondere Lstg Land'!C128&amp;" "&amp;'HB-D1 Besondere Lstg Land'!F128&amp;" "&amp;'HB-D1 Besondere Lstg Land'!F129,IF(AND(Projektgrundlagen!$I$23,'HB-D2 Besondere Lstg Bund'!M128=TRUE),'HB-D2 Besondere Lstg Bund'!C128&amp;" "&amp;'HB-D2 Besondere Lstg Bund'!F128&amp;" "&amp;'HB-D2 Besondere Lstg Bund'!F129,"")))</f>
        <v/>
      </c>
      <c r="C177" s="1246" t="str">
        <f>IF(AND(Projektgrundlagen!$I$21,'StB-D1 Besondere Lstg'!M128=TRUE),'StB-D1 Besondere Lstg'!H128,"")</f>
        <v/>
      </c>
      <c r="D177" s="1246" t="str">
        <f>IF(AND(Projektgrundlagen!$I$21,'StB-D1 Besondere Lstg'!M128=TRUE),'StB-D1 Besondere Lstg'!I128,IF(AND(Projektgrundlagen!$I$22,'HB-D1 Besondere Lstg Land'!M128=TRUE),(IF('HB-D1 Besondere Lstg Land'!H128&gt;0,"v.H.","pauschal")),IF(AND(Projektgrundlagen!$I$23,'HB-D2 Besondere Lstg Bund'!M128=TRUE),(IF('HB-D2 Besondere Lstg Bund'!H128&gt;0,"v.H.","pauschal")),"")))</f>
        <v/>
      </c>
      <c r="E177" s="1246" t="str">
        <f>IF(AND(Projektgrundlagen!$I$21,'StB-D1 Besondere Lstg'!M128=TRUE),'StB-D1 Besondere Lstg'!J128,IF(AND(Projektgrundlagen!$I$22,'HB-D1 Besondere Lstg Land'!M128=TRUE),'HB-D1 Besondere Lstg Land'!H128+'HB-D1 Besondere Lstg Land'!J128,IF(AND(Projektgrundlagen!$I$23,'HB-D2 Besondere Lstg Bund'!M128=TRUE),'HB-D2 Besondere Lstg Bund'!H128+'HB-D2 Besondere Lstg Bund'!J128,"")))</f>
        <v/>
      </c>
      <c r="F177" s="1246" t="str">
        <f>IF(AND(Projektgrundlagen!$I$21,'StB-D1 Besondere Lstg'!M128=TRUE),'StB-D1 Besondere Lstg'!K128,IF(AND(Projektgrundlagen!$I$22,'HB-D1 Besondere Lstg Land'!M128=TRUE),'HB-D1 Besondere Lstg Land'!K128,IF(AND(Projektgrundlagen!$I$23,'HB-D2 Besondere Lstg Bund'!M128=TRUE),'HB-D2 Besondere Lstg Bund'!K128,"")))</f>
        <v/>
      </c>
      <c r="G177" s="1253"/>
      <c r="H177" s="1254"/>
    </row>
    <row r="178" spans="2:8" ht="14.4">
      <c r="B178" t="str">
        <f>IF(AND(Projektgrundlagen!$I$21,'StB-D1 Besondere Lstg'!M129=TRUE),'StB-D1 Besondere Lstg'!C129&amp;" "&amp;'StB-D1 Besondere Lstg'!F129&amp;" "&amp;'StB-D1 Besondere Lstg'!F130,IF(AND(Projektgrundlagen!$I$22,'HB-D1 Besondere Lstg Land'!M129=TRUE),'HB-D1 Besondere Lstg Land'!C129&amp;" "&amp;'HB-D1 Besondere Lstg Land'!F129&amp;" "&amp;'HB-D1 Besondere Lstg Land'!F130,IF(AND(Projektgrundlagen!$I$23,'HB-D2 Besondere Lstg Bund'!M129=TRUE),'HB-D2 Besondere Lstg Bund'!C129&amp;" "&amp;'HB-D2 Besondere Lstg Bund'!F129&amp;" "&amp;'HB-D2 Besondere Lstg Bund'!F130,"")))</f>
        <v/>
      </c>
      <c r="C178" s="1246" t="str">
        <f>IF(AND(Projektgrundlagen!$I$21,'StB-D1 Besondere Lstg'!M129=TRUE),'StB-D1 Besondere Lstg'!H129,"")</f>
        <v/>
      </c>
      <c r="D178" s="1246" t="str">
        <f>IF(AND(Projektgrundlagen!$I$21,'StB-D1 Besondere Lstg'!M129=TRUE),'StB-D1 Besondere Lstg'!I129,IF(AND(Projektgrundlagen!$I$22,'HB-D1 Besondere Lstg Land'!M129=TRUE),(IF('HB-D1 Besondere Lstg Land'!H129&gt;0,"v.H.","pauschal")),IF(AND(Projektgrundlagen!$I$23,'HB-D2 Besondere Lstg Bund'!M129=TRUE),(IF('HB-D2 Besondere Lstg Bund'!H129&gt;0,"v.H.","pauschal")),"")))</f>
        <v/>
      </c>
      <c r="E178" s="1246" t="str">
        <f>IF(AND(Projektgrundlagen!$I$21,'StB-D1 Besondere Lstg'!M129=TRUE),'StB-D1 Besondere Lstg'!J129,IF(AND(Projektgrundlagen!$I$22,'HB-D1 Besondere Lstg Land'!M129=TRUE),'HB-D1 Besondere Lstg Land'!H129+'HB-D1 Besondere Lstg Land'!J129,IF(AND(Projektgrundlagen!$I$23,'HB-D2 Besondere Lstg Bund'!M129=TRUE),'HB-D2 Besondere Lstg Bund'!H129+'HB-D2 Besondere Lstg Bund'!J129,"")))</f>
        <v/>
      </c>
      <c r="F178" s="1246" t="str">
        <f>IF(AND(Projektgrundlagen!$I$21,'StB-D1 Besondere Lstg'!M129=TRUE),'StB-D1 Besondere Lstg'!K129,IF(AND(Projektgrundlagen!$I$22,'HB-D1 Besondere Lstg Land'!M129=TRUE),'HB-D1 Besondere Lstg Land'!K129,IF(AND(Projektgrundlagen!$I$23,'HB-D2 Besondere Lstg Bund'!M129=TRUE),'HB-D2 Besondere Lstg Bund'!K129,"")))</f>
        <v/>
      </c>
      <c r="G178" s="1253"/>
      <c r="H178" s="1254"/>
    </row>
    <row r="179" spans="2:8" ht="14.4">
      <c r="B179" t="str">
        <f>IF(AND(Projektgrundlagen!$I$21,'StB-D1 Besondere Lstg'!M130=TRUE),'StB-D1 Besondere Lstg'!C130&amp;" "&amp;'StB-D1 Besondere Lstg'!F130&amp;" "&amp;'StB-D1 Besondere Lstg'!F131,IF(AND(Projektgrundlagen!$I$22,'HB-D1 Besondere Lstg Land'!M130=TRUE),'HB-D1 Besondere Lstg Land'!C130&amp;" "&amp;'HB-D1 Besondere Lstg Land'!F130&amp;" "&amp;'HB-D1 Besondere Lstg Land'!F131,IF(AND(Projektgrundlagen!$I$23,'HB-D2 Besondere Lstg Bund'!M130=TRUE),'HB-D2 Besondere Lstg Bund'!C130&amp;" "&amp;'HB-D2 Besondere Lstg Bund'!F130&amp;" "&amp;'HB-D2 Besondere Lstg Bund'!F131,"")))</f>
        <v xml:space="preserve">8.02 Prüfen von Nachträgen 
 </v>
      </c>
      <c r="C179" s="1246">
        <f>IF(AND(Projektgrundlagen!$I$21,'StB-D1 Besondere Lstg'!M130=TRUE),'StB-D1 Besondere Lstg'!H130,"")</f>
        <v>0</v>
      </c>
      <c r="D179" s="1246">
        <f>IF(AND(Projektgrundlagen!$I$21,'StB-D1 Besondere Lstg'!M130=TRUE),'StB-D1 Besondere Lstg'!I130,IF(AND(Projektgrundlagen!$I$22,'HB-D1 Besondere Lstg Land'!M130=TRUE),(IF('HB-D1 Besondere Lstg Land'!H130&gt;0,"v.H.","pauschal")),IF(AND(Projektgrundlagen!$I$23,'HB-D2 Besondere Lstg Bund'!M130=TRUE),(IF('HB-D2 Besondere Lstg Bund'!H130&gt;0,"v.H.","pauschal")),"")))</f>
        <v>0</v>
      </c>
      <c r="E179" s="1246">
        <f>IF(AND(Projektgrundlagen!$I$21,'StB-D1 Besondere Lstg'!M130=TRUE),'StB-D1 Besondere Lstg'!J130,IF(AND(Projektgrundlagen!$I$22,'HB-D1 Besondere Lstg Land'!M130=TRUE),'HB-D1 Besondere Lstg Land'!H130+'HB-D1 Besondere Lstg Land'!J130,IF(AND(Projektgrundlagen!$I$23,'HB-D2 Besondere Lstg Bund'!M130=TRUE),'HB-D2 Besondere Lstg Bund'!H130+'HB-D2 Besondere Lstg Bund'!J130,"")))</f>
        <v>0</v>
      </c>
      <c r="F179" s="1246">
        <f>IF(AND(Projektgrundlagen!$I$21,'StB-D1 Besondere Lstg'!M130=TRUE),'StB-D1 Besondere Lstg'!K130,IF(AND(Projektgrundlagen!$I$22,'HB-D1 Besondere Lstg Land'!M130=TRUE),'HB-D1 Besondere Lstg Land'!K130,IF(AND(Projektgrundlagen!$I$23,'HB-D2 Besondere Lstg Bund'!M130=TRUE),'HB-D2 Besondere Lstg Bund'!K130,"")))</f>
        <v>0</v>
      </c>
      <c r="G179" s="1253"/>
      <c r="H179" s="1254"/>
    </row>
    <row r="180" spans="2:8" ht="14.4">
      <c r="B180" t="str">
        <f>IF(AND(Projektgrundlagen!$I$21,'StB-D1 Besondere Lstg'!M131=TRUE),'StB-D1 Besondere Lstg'!C131&amp;" "&amp;'StB-D1 Besondere Lstg'!F131&amp;" "&amp;'StB-D1 Besondere Lstg'!F132,IF(AND(Projektgrundlagen!$I$22,'HB-D1 Besondere Lstg Land'!M131=TRUE),'HB-D1 Besondere Lstg Land'!C131&amp;" "&amp;'HB-D1 Besondere Lstg Land'!F131&amp;" "&amp;'HB-D1 Besondere Lstg Land'!F132,IF(AND(Projektgrundlagen!$I$23,'HB-D2 Besondere Lstg Bund'!M131=TRUE),'HB-D2 Besondere Lstg Bund'!C131&amp;" "&amp;'HB-D2 Besondere Lstg Bund'!F131&amp;" "&amp;'HB-D2 Besondere Lstg Bund'!F132,"")))</f>
        <v/>
      </c>
      <c r="C180" s="1246" t="str">
        <f>IF(AND(Projektgrundlagen!$I$21,'StB-D1 Besondere Lstg'!M131=TRUE),'StB-D1 Besondere Lstg'!H131,"")</f>
        <v/>
      </c>
      <c r="D180" s="1246" t="str">
        <f>IF(AND(Projektgrundlagen!$I$21,'StB-D1 Besondere Lstg'!M131=TRUE),'StB-D1 Besondere Lstg'!I131,IF(AND(Projektgrundlagen!$I$22,'HB-D1 Besondere Lstg Land'!M131=TRUE),(IF('HB-D1 Besondere Lstg Land'!H131&gt;0,"v.H.","pauschal")),IF(AND(Projektgrundlagen!$I$23,'HB-D2 Besondere Lstg Bund'!M131=TRUE),(IF('HB-D2 Besondere Lstg Bund'!H131&gt;0,"v.H.","pauschal")),"")))</f>
        <v/>
      </c>
      <c r="E180" s="1246" t="str">
        <f>IF(AND(Projektgrundlagen!$I$21,'StB-D1 Besondere Lstg'!M131=TRUE),'StB-D1 Besondere Lstg'!J131,IF(AND(Projektgrundlagen!$I$22,'HB-D1 Besondere Lstg Land'!M131=TRUE),'HB-D1 Besondere Lstg Land'!H131+'HB-D1 Besondere Lstg Land'!J131,IF(AND(Projektgrundlagen!$I$23,'HB-D2 Besondere Lstg Bund'!M131=TRUE),'HB-D2 Besondere Lstg Bund'!H131+'HB-D2 Besondere Lstg Bund'!J131,"")))</f>
        <v/>
      </c>
      <c r="F180" s="1246" t="str">
        <f>IF(AND(Projektgrundlagen!$I$21,'StB-D1 Besondere Lstg'!M131=TRUE),'StB-D1 Besondere Lstg'!K131,IF(AND(Projektgrundlagen!$I$22,'HB-D1 Besondere Lstg Land'!M131=TRUE),'HB-D1 Besondere Lstg Land'!K131,IF(AND(Projektgrundlagen!$I$23,'HB-D2 Besondere Lstg Bund'!M131=TRUE),'HB-D2 Besondere Lstg Bund'!K131,"")))</f>
        <v/>
      </c>
      <c r="G180" s="1253"/>
      <c r="H180" s="1254"/>
    </row>
    <row r="181" spans="2:8" ht="14.4">
      <c r="B181" t="str">
        <f>IF(AND(Projektgrundlagen!$I$21,'StB-D1 Besondere Lstg'!M132=TRUE),'StB-D1 Besondere Lstg'!C132&amp;" "&amp;'StB-D1 Besondere Lstg'!F132&amp;" "&amp;'StB-D1 Besondere Lstg'!F133,IF(AND(Projektgrundlagen!$I$22,'HB-D1 Besondere Lstg Land'!M132=TRUE),'HB-D1 Besondere Lstg Land'!C132&amp;" "&amp;'HB-D1 Besondere Lstg Land'!F132&amp;" "&amp;'HB-D1 Besondere Lstg Land'!F133,IF(AND(Projektgrundlagen!$I$23,'HB-D2 Besondere Lstg Bund'!M132=TRUE),'HB-D2 Besondere Lstg Bund'!C132&amp;" "&amp;'HB-D2 Besondere Lstg Bund'!F132&amp;" "&amp;'HB-D2 Besondere Lstg Bund'!F133,"")))</f>
        <v xml:space="preserve"> Prozentsatz bezogen auf die Anrechenb. Kosten LPH 8 in EURO</v>
      </c>
      <c r="C181" s="1246">
        <f>IF(AND(Projektgrundlagen!$I$21,'StB-D1 Besondere Lstg'!M132=TRUE),'StB-D1 Besondere Lstg'!H132,"")</f>
        <v>0</v>
      </c>
      <c r="D181" s="1246">
        <f>IF(AND(Projektgrundlagen!$I$21,'StB-D1 Besondere Lstg'!M132=TRUE),'StB-D1 Besondere Lstg'!I132,IF(AND(Projektgrundlagen!$I$22,'HB-D1 Besondere Lstg Land'!M132=TRUE),(IF('HB-D1 Besondere Lstg Land'!H132&gt;0,"v.H.","pauschal")),IF(AND(Projektgrundlagen!$I$23,'HB-D2 Besondere Lstg Bund'!M132=TRUE),(IF('HB-D2 Besondere Lstg Bund'!H132&gt;0,"v.H.","pauschal")),"")))</f>
        <v>0</v>
      </c>
      <c r="E181" s="1246">
        <f>IF(AND(Projektgrundlagen!$I$21,'StB-D1 Besondere Lstg'!M132=TRUE),'StB-D1 Besondere Lstg'!J132,IF(AND(Projektgrundlagen!$I$22,'HB-D1 Besondere Lstg Land'!M132=TRUE),'HB-D1 Besondere Lstg Land'!H132+'HB-D1 Besondere Lstg Land'!J132,IF(AND(Projektgrundlagen!$I$23,'HB-D2 Besondere Lstg Bund'!M132=TRUE),'HB-D2 Besondere Lstg Bund'!H132+'HB-D2 Besondere Lstg Bund'!J132,"")))</f>
        <v>0</v>
      </c>
      <c r="F181" s="1246">
        <f>IF(AND(Projektgrundlagen!$I$21,'StB-D1 Besondere Lstg'!M132=TRUE),'StB-D1 Besondere Lstg'!K132,IF(AND(Projektgrundlagen!$I$22,'HB-D1 Besondere Lstg Land'!M132=TRUE),'HB-D1 Besondere Lstg Land'!K132,IF(AND(Projektgrundlagen!$I$23,'HB-D2 Besondere Lstg Bund'!M132=TRUE),'HB-D2 Besondere Lstg Bund'!K132,"")))</f>
        <v>0</v>
      </c>
      <c r="G181" s="1253"/>
      <c r="H181" s="1254"/>
    </row>
    <row r="182" spans="2:8" ht="14.4">
      <c r="B182" t="str">
        <f>IF(AND(Projektgrundlagen!$I$21,'StB-D1 Besondere Lstg'!M133=TRUE),'StB-D1 Besondere Lstg'!C133&amp;" "&amp;'StB-D1 Besondere Lstg'!F133&amp;" "&amp;'StB-D1 Besondere Lstg'!F134,IF(AND(Projektgrundlagen!$I$22,'HB-D1 Besondere Lstg Land'!M133=TRUE),'HB-D1 Besondere Lstg Land'!C133&amp;" "&amp;'HB-D1 Besondere Lstg Land'!F133&amp;" "&amp;'HB-D1 Besondere Lstg Land'!F134,IF(AND(Projektgrundlagen!$I$23,'HB-D2 Besondere Lstg Bund'!M133=TRUE),'HB-D2 Besondere Lstg Bund'!C133&amp;" "&amp;'HB-D2 Besondere Lstg Bund'!F133&amp;" "&amp;'HB-D2 Besondere Lstg Bund'!F134,"")))</f>
        <v/>
      </c>
      <c r="C182" s="1246" t="str">
        <f>IF(AND(Projektgrundlagen!$I$21,'StB-D1 Besondere Lstg'!M133=TRUE),'StB-D1 Besondere Lstg'!H133,"")</f>
        <v/>
      </c>
      <c r="D182" s="1246" t="str">
        <f>IF(AND(Projektgrundlagen!$I$21,'StB-D1 Besondere Lstg'!M133=TRUE),'StB-D1 Besondere Lstg'!I133,IF(AND(Projektgrundlagen!$I$22,'HB-D1 Besondere Lstg Land'!M133=TRUE),(IF('HB-D1 Besondere Lstg Land'!H133&gt;0,"v.H.","pauschal")),IF(AND(Projektgrundlagen!$I$23,'HB-D2 Besondere Lstg Bund'!M133=TRUE),(IF('HB-D2 Besondere Lstg Bund'!H133&gt;0,"v.H.","pauschal")),"")))</f>
        <v/>
      </c>
      <c r="E182" s="1246" t="str">
        <f>IF(AND(Projektgrundlagen!$I$21,'StB-D1 Besondere Lstg'!M133=TRUE),'StB-D1 Besondere Lstg'!J133,IF(AND(Projektgrundlagen!$I$22,'HB-D1 Besondere Lstg Land'!M133=TRUE),'HB-D1 Besondere Lstg Land'!H133+'HB-D1 Besondere Lstg Land'!J133,IF(AND(Projektgrundlagen!$I$23,'HB-D2 Besondere Lstg Bund'!M133=TRUE),'HB-D2 Besondere Lstg Bund'!H133+'HB-D2 Besondere Lstg Bund'!J133,"")))</f>
        <v/>
      </c>
      <c r="F182" s="1246" t="str">
        <f>IF(AND(Projektgrundlagen!$I$21,'StB-D1 Besondere Lstg'!M133=TRUE),'StB-D1 Besondere Lstg'!K133,IF(AND(Projektgrundlagen!$I$22,'HB-D1 Besondere Lstg Land'!M133=TRUE),'HB-D1 Besondere Lstg Land'!K133,IF(AND(Projektgrundlagen!$I$23,'HB-D2 Besondere Lstg Bund'!M133=TRUE),'HB-D2 Besondere Lstg Bund'!K133,"")))</f>
        <v/>
      </c>
      <c r="G182" s="1253"/>
      <c r="H182" s="1254"/>
    </row>
    <row r="183" spans="2:8" ht="14.4">
      <c r="B183" t="str">
        <f>IF(AND(Projektgrundlagen!$I$21,'StB-D1 Besondere Lstg'!M134=TRUE),'StB-D1 Besondere Lstg'!C134&amp;" "&amp;'StB-D1 Besondere Lstg'!F134&amp;" "&amp;'StB-D1 Besondere Lstg'!F135,IF(AND(Projektgrundlagen!$I$22,'HB-D1 Besondere Lstg Land'!M134=TRUE),'HB-D1 Besondere Lstg Land'!C134&amp;" "&amp;'HB-D1 Besondere Lstg Land'!F134&amp;" "&amp;'HB-D1 Besondere Lstg Land'!F135,IF(AND(Projektgrundlagen!$I$23,'HB-D2 Besondere Lstg Bund'!M134=TRUE),'HB-D2 Besondere Lstg Bund'!C134&amp;" "&amp;'HB-D2 Besondere Lstg Bund'!F134&amp;" "&amp;'HB-D2 Besondere Lstg Bund'!F135,"")))</f>
        <v/>
      </c>
      <c r="C183" s="1246" t="str">
        <f>IF(AND(Projektgrundlagen!$I$21,'StB-D1 Besondere Lstg'!M134=TRUE),'StB-D1 Besondere Lstg'!H134,"")</f>
        <v/>
      </c>
      <c r="D183" s="1246" t="str">
        <f>IF(AND(Projektgrundlagen!$I$21,'StB-D1 Besondere Lstg'!M134=TRUE),'StB-D1 Besondere Lstg'!I134,IF(AND(Projektgrundlagen!$I$22,'HB-D1 Besondere Lstg Land'!M134=TRUE),(IF('HB-D1 Besondere Lstg Land'!H134&gt;0,"v.H.","pauschal")),IF(AND(Projektgrundlagen!$I$23,'HB-D2 Besondere Lstg Bund'!M134=TRUE),(IF('HB-D2 Besondere Lstg Bund'!H134&gt;0,"v.H.","pauschal")),"")))</f>
        <v/>
      </c>
      <c r="E183" s="1246" t="str">
        <f>IF(AND(Projektgrundlagen!$I$21,'StB-D1 Besondere Lstg'!M134=TRUE),'StB-D1 Besondere Lstg'!J134,IF(AND(Projektgrundlagen!$I$22,'HB-D1 Besondere Lstg Land'!M134=TRUE),'HB-D1 Besondere Lstg Land'!H134+'HB-D1 Besondere Lstg Land'!J134,IF(AND(Projektgrundlagen!$I$23,'HB-D2 Besondere Lstg Bund'!M134=TRUE),'HB-D2 Besondere Lstg Bund'!H134+'HB-D2 Besondere Lstg Bund'!J134,"")))</f>
        <v/>
      </c>
      <c r="F183" s="1246" t="str">
        <f>IF(AND(Projektgrundlagen!$I$21,'StB-D1 Besondere Lstg'!M134=TRUE),'StB-D1 Besondere Lstg'!K134,IF(AND(Projektgrundlagen!$I$22,'HB-D1 Besondere Lstg Land'!M134=TRUE),'HB-D1 Besondere Lstg Land'!K134,IF(AND(Projektgrundlagen!$I$23,'HB-D2 Besondere Lstg Bund'!M134=TRUE),'HB-D2 Besondere Lstg Bund'!K134,"")))</f>
        <v/>
      </c>
      <c r="G183" s="1253"/>
      <c r="H183" s="1254"/>
    </row>
    <row r="184" spans="2:8" ht="14.4">
      <c r="B184" t="str">
        <f>IF(AND(Projektgrundlagen!$I$21,'StB-D1 Besondere Lstg'!M135=TRUE),'StB-D1 Besondere Lstg'!C135&amp;" "&amp;'StB-D1 Besondere Lstg'!F135&amp;" "&amp;'StB-D1 Besondere Lstg'!F136,IF(AND(Projektgrundlagen!$I$22,'HB-D1 Besondere Lstg Land'!M135=TRUE),'HB-D1 Besondere Lstg Land'!C135&amp;" "&amp;'HB-D1 Besondere Lstg Land'!F135&amp;" "&amp;'HB-D1 Besondere Lstg Land'!F136,IF(AND(Projektgrundlagen!$I$23,'HB-D2 Besondere Lstg Bund'!M135=TRUE),'HB-D2 Besondere Lstg Bund'!C135&amp;" "&amp;'HB-D2 Besondere Lstg Bund'!F135&amp;" "&amp;'HB-D2 Besondere Lstg Bund'!F136,"")))</f>
        <v/>
      </c>
      <c r="C184" s="1246" t="str">
        <f>IF(AND(Projektgrundlagen!$I$21,'StB-D1 Besondere Lstg'!M135=TRUE),'StB-D1 Besondere Lstg'!H135,"")</f>
        <v/>
      </c>
      <c r="D184" s="1246" t="str">
        <f>IF(AND(Projektgrundlagen!$I$21,'StB-D1 Besondere Lstg'!M135=TRUE),'StB-D1 Besondere Lstg'!I135,IF(AND(Projektgrundlagen!$I$22,'HB-D1 Besondere Lstg Land'!M135=TRUE),(IF('HB-D1 Besondere Lstg Land'!H135&gt;0,"v.H.","pauschal")),IF(AND(Projektgrundlagen!$I$23,'HB-D2 Besondere Lstg Bund'!M135=TRUE),(IF('HB-D2 Besondere Lstg Bund'!H135&gt;0,"v.H.","pauschal")),"")))</f>
        <v/>
      </c>
      <c r="E184" s="1246" t="str">
        <f>IF(AND(Projektgrundlagen!$I$21,'StB-D1 Besondere Lstg'!M135=TRUE),'StB-D1 Besondere Lstg'!J135,IF(AND(Projektgrundlagen!$I$22,'HB-D1 Besondere Lstg Land'!M135=TRUE),'HB-D1 Besondere Lstg Land'!H135+'HB-D1 Besondere Lstg Land'!J135,IF(AND(Projektgrundlagen!$I$23,'HB-D2 Besondere Lstg Bund'!M135=TRUE),'HB-D2 Besondere Lstg Bund'!H135+'HB-D2 Besondere Lstg Bund'!J135,"")))</f>
        <v/>
      </c>
      <c r="F184" s="1246" t="str">
        <f>IF(AND(Projektgrundlagen!$I$21,'StB-D1 Besondere Lstg'!M135=TRUE),'StB-D1 Besondere Lstg'!K135,IF(AND(Projektgrundlagen!$I$22,'HB-D1 Besondere Lstg Land'!M135=TRUE),'HB-D1 Besondere Lstg Land'!K135,IF(AND(Projektgrundlagen!$I$23,'HB-D2 Besondere Lstg Bund'!M135=TRUE),'HB-D2 Besondere Lstg Bund'!K135,"")))</f>
        <v/>
      </c>
      <c r="G184" s="1253"/>
      <c r="H184" s="1254"/>
    </row>
    <row r="185" spans="2:8" ht="14.4">
      <c r="B185" t="str">
        <f>IF(AND(Projektgrundlagen!$I$21,'StB-D1 Besondere Lstg'!M136=TRUE),'StB-D1 Besondere Lstg'!C136&amp;" "&amp;'StB-D1 Besondere Lstg'!F136&amp;" "&amp;'StB-D1 Besondere Lstg'!F137,IF(AND(Projektgrundlagen!$I$22,'HB-D1 Besondere Lstg Land'!M136=TRUE),'HB-D1 Besondere Lstg Land'!C136&amp;" "&amp;'HB-D1 Besondere Lstg Land'!F136&amp;" "&amp;'HB-D1 Besondere Lstg Land'!F137,IF(AND(Projektgrundlagen!$I$23,'HB-D2 Besondere Lstg Bund'!M136=TRUE),'HB-D2 Besondere Lstg Bund'!C136&amp;" "&amp;'HB-D2 Besondere Lstg Bund'!F136&amp;" "&amp;'HB-D2 Besondere Lstg Bund'!F137,"")))</f>
        <v/>
      </c>
      <c r="C185" s="1246" t="str">
        <f>IF(AND(Projektgrundlagen!$I$21,'StB-D1 Besondere Lstg'!M136=TRUE),'StB-D1 Besondere Lstg'!H136,"")</f>
        <v/>
      </c>
      <c r="D185" s="1246" t="str">
        <f>IF(AND(Projektgrundlagen!$I$21,'StB-D1 Besondere Lstg'!M136=TRUE),'StB-D1 Besondere Lstg'!I136,IF(AND(Projektgrundlagen!$I$22,'HB-D1 Besondere Lstg Land'!M136=TRUE),(IF('HB-D1 Besondere Lstg Land'!H136&gt;0,"v.H.","pauschal")),IF(AND(Projektgrundlagen!$I$23,'HB-D2 Besondere Lstg Bund'!M136=TRUE),(IF('HB-D2 Besondere Lstg Bund'!H136&gt;0,"v.H.","pauschal")),"")))</f>
        <v/>
      </c>
      <c r="E185" s="1246" t="str">
        <f>IF(AND(Projektgrundlagen!$I$21,'StB-D1 Besondere Lstg'!M136=TRUE),'StB-D1 Besondere Lstg'!J136,IF(AND(Projektgrundlagen!$I$22,'HB-D1 Besondere Lstg Land'!M136=TRUE),'HB-D1 Besondere Lstg Land'!H136+'HB-D1 Besondere Lstg Land'!J136,IF(AND(Projektgrundlagen!$I$23,'HB-D2 Besondere Lstg Bund'!M136=TRUE),'HB-D2 Besondere Lstg Bund'!H136+'HB-D2 Besondere Lstg Bund'!J136,"")))</f>
        <v/>
      </c>
      <c r="F185" s="1246" t="str">
        <f>IF(AND(Projektgrundlagen!$I$21,'StB-D1 Besondere Lstg'!M136=TRUE),'StB-D1 Besondere Lstg'!K136,IF(AND(Projektgrundlagen!$I$22,'HB-D1 Besondere Lstg Land'!M136=TRUE),'HB-D1 Besondere Lstg Land'!K136,IF(AND(Projektgrundlagen!$I$23,'HB-D2 Besondere Lstg Bund'!M136=TRUE),'HB-D2 Besondere Lstg Bund'!K136,"")))</f>
        <v/>
      </c>
      <c r="G185" s="1253"/>
      <c r="H185" s="1254"/>
    </row>
    <row r="186" spans="2:8" ht="14.4">
      <c r="B186" t="str">
        <f>IF(AND(Projektgrundlagen!$I$21,'StB-D1 Besondere Lstg'!M137=TRUE),'StB-D1 Besondere Lstg'!C137&amp;" "&amp;'StB-D1 Besondere Lstg'!F137&amp;" "&amp;'StB-D1 Besondere Lstg'!F138,IF(AND(Projektgrundlagen!$I$22,'HB-D1 Besondere Lstg Land'!M137=TRUE),'HB-D1 Besondere Lstg Land'!C137&amp;" "&amp;'HB-D1 Besondere Lstg Land'!F137&amp;" "&amp;'HB-D1 Besondere Lstg Land'!F138,IF(AND(Projektgrundlagen!$I$23,'HB-D2 Besondere Lstg Bund'!M137=TRUE),'HB-D2 Besondere Lstg Bund'!C137&amp;" "&amp;'HB-D2 Besondere Lstg Bund'!F137&amp;" "&amp;'HB-D2 Besondere Lstg Bund'!F138,"")))</f>
        <v/>
      </c>
      <c r="C186" s="1246" t="str">
        <f>IF(AND(Projektgrundlagen!$I$21,'StB-D1 Besondere Lstg'!M137=TRUE),'StB-D1 Besondere Lstg'!H137,"")</f>
        <v/>
      </c>
      <c r="D186" s="1246" t="str">
        <f>IF(AND(Projektgrundlagen!$I$21,'StB-D1 Besondere Lstg'!M137=TRUE),'StB-D1 Besondere Lstg'!I137,IF(AND(Projektgrundlagen!$I$22,'HB-D1 Besondere Lstg Land'!M137=TRUE),(IF('HB-D1 Besondere Lstg Land'!H137&gt;0,"v.H.","pauschal")),IF(AND(Projektgrundlagen!$I$23,'HB-D2 Besondere Lstg Bund'!M137=TRUE),(IF('HB-D2 Besondere Lstg Bund'!H137&gt;0,"v.H.","pauschal")),"")))</f>
        <v/>
      </c>
      <c r="E186" s="1246" t="str">
        <f>IF(AND(Projektgrundlagen!$I$21,'StB-D1 Besondere Lstg'!M137=TRUE),'StB-D1 Besondere Lstg'!J137,IF(AND(Projektgrundlagen!$I$22,'HB-D1 Besondere Lstg Land'!M137=TRUE),'HB-D1 Besondere Lstg Land'!H137+'HB-D1 Besondere Lstg Land'!J137,IF(AND(Projektgrundlagen!$I$23,'HB-D2 Besondere Lstg Bund'!M137=TRUE),'HB-D2 Besondere Lstg Bund'!H137+'HB-D2 Besondere Lstg Bund'!J137,"")))</f>
        <v/>
      </c>
      <c r="F186" s="1246" t="str">
        <f>IF(AND(Projektgrundlagen!$I$21,'StB-D1 Besondere Lstg'!M137=TRUE),'StB-D1 Besondere Lstg'!K137,IF(AND(Projektgrundlagen!$I$22,'HB-D1 Besondere Lstg Land'!M137=TRUE),'HB-D1 Besondere Lstg Land'!K137,IF(AND(Projektgrundlagen!$I$23,'HB-D2 Besondere Lstg Bund'!M137=TRUE),'HB-D2 Besondere Lstg Bund'!K137,"")))</f>
        <v/>
      </c>
      <c r="G186" s="1253"/>
      <c r="H186" s="1254"/>
    </row>
    <row r="187" spans="2:8" ht="14.4">
      <c r="B187" t="str">
        <f>IF(AND(Projektgrundlagen!$I$21,'StB-D1 Besondere Lstg'!M138=TRUE),'StB-D1 Besondere Lstg'!C138&amp;" "&amp;'StB-D1 Besondere Lstg'!F138&amp;" "&amp;'StB-D1 Besondere Lstg'!F139,IF(AND(Projektgrundlagen!$I$22,'HB-D1 Besondere Lstg Land'!M138=TRUE),'HB-D1 Besondere Lstg Land'!C138&amp;" "&amp;'HB-D1 Besondere Lstg Land'!F138&amp;" "&amp;'HB-D1 Besondere Lstg Land'!F139,IF(AND(Projektgrundlagen!$I$23,'HB-D2 Besondere Lstg Bund'!M138=TRUE),'HB-D2 Besondere Lstg Bund'!C138&amp;" "&amp;'HB-D2 Besondere Lstg Bund'!F138&amp;" "&amp;'HB-D2 Besondere Lstg Bund'!F139,"")))</f>
        <v/>
      </c>
      <c r="C187" s="1246" t="str">
        <f>IF(AND(Projektgrundlagen!$I$21,'StB-D1 Besondere Lstg'!M138=TRUE),'StB-D1 Besondere Lstg'!H138,"")</f>
        <v/>
      </c>
      <c r="D187" s="1246" t="str">
        <f>IF(AND(Projektgrundlagen!$I$21,'StB-D1 Besondere Lstg'!M138=TRUE),'StB-D1 Besondere Lstg'!I138,IF(AND(Projektgrundlagen!$I$22,'HB-D1 Besondere Lstg Land'!M138=TRUE),(IF('HB-D1 Besondere Lstg Land'!H138&gt;0,"v.H.","pauschal")),IF(AND(Projektgrundlagen!$I$23,'HB-D2 Besondere Lstg Bund'!M138=TRUE),(IF('HB-D2 Besondere Lstg Bund'!H138&gt;0,"v.H.","pauschal")),"")))</f>
        <v/>
      </c>
      <c r="E187" s="1246" t="str">
        <f>IF(AND(Projektgrundlagen!$I$21,'StB-D1 Besondere Lstg'!M138=TRUE),'StB-D1 Besondere Lstg'!J138,IF(AND(Projektgrundlagen!$I$22,'HB-D1 Besondere Lstg Land'!M138=TRUE),'HB-D1 Besondere Lstg Land'!H138+'HB-D1 Besondere Lstg Land'!J138,IF(AND(Projektgrundlagen!$I$23,'HB-D2 Besondere Lstg Bund'!M138=TRUE),'HB-D2 Besondere Lstg Bund'!H138+'HB-D2 Besondere Lstg Bund'!J138,"")))</f>
        <v/>
      </c>
      <c r="F187" s="1246" t="str">
        <f>IF(AND(Projektgrundlagen!$I$21,'StB-D1 Besondere Lstg'!M138=TRUE),'StB-D1 Besondere Lstg'!K138,IF(AND(Projektgrundlagen!$I$22,'HB-D1 Besondere Lstg Land'!M138=TRUE),'HB-D1 Besondere Lstg Land'!K138,IF(AND(Projektgrundlagen!$I$23,'HB-D2 Besondere Lstg Bund'!M138=TRUE),'HB-D2 Besondere Lstg Bund'!K138,"")))</f>
        <v/>
      </c>
      <c r="G187" s="1253"/>
      <c r="H187" s="1254"/>
    </row>
    <row r="188" spans="2:8" ht="14.4">
      <c r="B188" t="str">
        <f>IF(AND(Projektgrundlagen!$I$21,'StB-D1 Besondere Lstg'!M139=TRUE),'StB-D1 Besondere Lstg'!C139&amp;" "&amp;'StB-D1 Besondere Lstg'!F139&amp;" "&amp;'StB-D1 Besondere Lstg'!F140,IF(AND(Projektgrundlagen!$I$22,'HB-D1 Besondere Lstg Land'!M139=TRUE),'HB-D1 Besondere Lstg Land'!C139&amp;" "&amp;'HB-D1 Besondere Lstg Land'!F139&amp;" "&amp;'HB-D1 Besondere Lstg Land'!F140,IF(AND(Projektgrundlagen!$I$23,'HB-D2 Besondere Lstg Bund'!M139=TRUE),'HB-D2 Besondere Lstg Bund'!C139&amp;" "&amp;'HB-D2 Besondere Lstg Bund'!F139&amp;" "&amp;'HB-D2 Besondere Lstg Bund'!F140,"")))</f>
        <v/>
      </c>
      <c r="C188" s="1246" t="str">
        <f>IF(AND(Projektgrundlagen!$I$21,'StB-D1 Besondere Lstg'!M139=TRUE),'StB-D1 Besondere Lstg'!H139,"")</f>
        <v/>
      </c>
      <c r="D188" s="1246" t="str">
        <f>IF(AND(Projektgrundlagen!$I$21,'StB-D1 Besondere Lstg'!M139=TRUE),'StB-D1 Besondere Lstg'!I139,IF(AND(Projektgrundlagen!$I$22,'HB-D1 Besondere Lstg Land'!M139=TRUE),(IF('HB-D1 Besondere Lstg Land'!H139&gt;0,"v.H.","pauschal")),IF(AND(Projektgrundlagen!$I$23,'HB-D2 Besondere Lstg Bund'!M139=TRUE),(IF('HB-D2 Besondere Lstg Bund'!H139&gt;0,"v.H.","pauschal")),"")))</f>
        <v/>
      </c>
      <c r="E188" s="1246" t="str">
        <f>IF(AND(Projektgrundlagen!$I$21,'StB-D1 Besondere Lstg'!M139=TRUE),'StB-D1 Besondere Lstg'!J139,IF(AND(Projektgrundlagen!$I$22,'HB-D1 Besondere Lstg Land'!M139=TRUE),'HB-D1 Besondere Lstg Land'!H139+'HB-D1 Besondere Lstg Land'!J139,IF(AND(Projektgrundlagen!$I$23,'HB-D2 Besondere Lstg Bund'!M139=TRUE),'HB-D2 Besondere Lstg Bund'!H139+'HB-D2 Besondere Lstg Bund'!J139,"")))</f>
        <v/>
      </c>
      <c r="F188" s="1246" t="str">
        <f>IF(AND(Projektgrundlagen!$I$21,'StB-D1 Besondere Lstg'!M139=TRUE),'StB-D1 Besondere Lstg'!K139,IF(AND(Projektgrundlagen!$I$22,'HB-D1 Besondere Lstg Land'!M139=TRUE),'HB-D1 Besondere Lstg Land'!K139,IF(AND(Projektgrundlagen!$I$23,'HB-D2 Besondere Lstg Bund'!M139=TRUE),'HB-D2 Besondere Lstg Bund'!K139,"")))</f>
        <v/>
      </c>
      <c r="G188" s="1253"/>
      <c r="H188" s="1254"/>
    </row>
    <row r="189" spans="2:8" ht="14.4">
      <c r="B189" t="str">
        <f>IF(AND(Projektgrundlagen!$I$21,'StB-D1 Besondere Lstg'!M140=TRUE),'StB-D1 Besondere Lstg'!C140&amp;" "&amp;'StB-D1 Besondere Lstg'!F140&amp;" "&amp;'StB-D1 Besondere Lstg'!F141,IF(AND(Projektgrundlagen!$I$22,'HB-D1 Besondere Lstg Land'!M140=TRUE),'HB-D1 Besondere Lstg Land'!C140&amp;" "&amp;'HB-D1 Besondere Lstg Land'!F140&amp;" "&amp;'HB-D1 Besondere Lstg Land'!F141,IF(AND(Projektgrundlagen!$I$23,'HB-D2 Besondere Lstg Bund'!M140=TRUE),'HB-D2 Besondere Lstg Bund'!C140&amp;" "&amp;'HB-D2 Besondere Lstg Bund'!F140&amp;" "&amp;'HB-D2 Besondere Lstg Bund'!F141,"")))</f>
        <v/>
      </c>
      <c r="C189" s="1246" t="str">
        <f>IF(AND(Projektgrundlagen!$I$21,'StB-D1 Besondere Lstg'!M140=TRUE),'StB-D1 Besondere Lstg'!H140,"")</f>
        <v/>
      </c>
      <c r="D189" s="1246" t="str">
        <f>IF(AND(Projektgrundlagen!$I$21,'StB-D1 Besondere Lstg'!M140=TRUE),'StB-D1 Besondere Lstg'!I140,IF(AND(Projektgrundlagen!$I$22,'HB-D1 Besondere Lstg Land'!M140=TRUE),(IF('HB-D1 Besondere Lstg Land'!H140&gt;0,"v.H.","pauschal")),IF(AND(Projektgrundlagen!$I$23,'HB-D2 Besondere Lstg Bund'!M140=TRUE),(IF('HB-D2 Besondere Lstg Bund'!H140&gt;0,"v.H.","pauschal")),"")))</f>
        <v/>
      </c>
      <c r="E189" s="1246" t="str">
        <f>IF(AND(Projektgrundlagen!$I$21,'StB-D1 Besondere Lstg'!M140=TRUE),'StB-D1 Besondere Lstg'!J140,IF(AND(Projektgrundlagen!$I$22,'HB-D1 Besondere Lstg Land'!M140=TRUE),'HB-D1 Besondere Lstg Land'!H140+'HB-D1 Besondere Lstg Land'!J140,IF(AND(Projektgrundlagen!$I$23,'HB-D2 Besondere Lstg Bund'!M140=TRUE),'HB-D2 Besondere Lstg Bund'!H140+'HB-D2 Besondere Lstg Bund'!J140,"")))</f>
        <v/>
      </c>
      <c r="F189" s="1246" t="str">
        <f>IF(AND(Projektgrundlagen!$I$21,'StB-D1 Besondere Lstg'!M140=TRUE),'StB-D1 Besondere Lstg'!K140,IF(AND(Projektgrundlagen!$I$22,'HB-D1 Besondere Lstg Land'!M140=TRUE),'HB-D1 Besondere Lstg Land'!K140,IF(AND(Projektgrundlagen!$I$23,'HB-D2 Besondere Lstg Bund'!M140=TRUE),'HB-D2 Besondere Lstg Bund'!K140,"")))</f>
        <v/>
      </c>
      <c r="G189" s="1253"/>
      <c r="H189" s="1254"/>
    </row>
    <row r="190" spans="2:8" ht="14.4">
      <c r="B190" t="str">
        <f>IF(AND(Projektgrundlagen!$I$21,'StB-D1 Besondere Lstg'!M141=TRUE),'StB-D1 Besondere Lstg'!C141&amp;" "&amp;'StB-D1 Besondere Lstg'!F141&amp;" "&amp;'StB-D1 Besondere Lstg'!F142,IF(AND(Projektgrundlagen!$I$22,'HB-D1 Besondere Lstg Land'!M141=TRUE),'HB-D1 Besondere Lstg Land'!C141&amp;" "&amp;'HB-D1 Besondere Lstg Land'!F141&amp;" "&amp;'HB-D1 Besondere Lstg Land'!F142,IF(AND(Projektgrundlagen!$I$23,'HB-D2 Besondere Lstg Bund'!M141=TRUE),'HB-D2 Besondere Lstg Bund'!C141&amp;" "&amp;'HB-D2 Besondere Lstg Bund'!F141&amp;" "&amp;'HB-D2 Besondere Lstg Bund'!F142,"")))</f>
        <v/>
      </c>
      <c r="C190" s="1246" t="str">
        <f>IF(AND(Projektgrundlagen!$I$21,'StB-D1 Besondere Lstg'!M141=TRUE),'StB-D1 Besondere Lstg'!H141,"")</f>
        <v/>
      </c>
      <c r="D190" s="1246" t="str">
        <f>IF(AND(Projektgrundlagen!$I$21,'StB-D1 Besondere Lstg'!M141=TRUE),'StB-D1 Besondere Lstg'!I141,IF(AND(Projektgrundlagen!$I$22,'HB-D1 Besondere Lstg Land'!M141=TRUE),(IF('HB-D1 Besondere Lstg Land'!H141&gt;0,"v.H.","pauschal")),IF(AND(Projektgrundlagen!$I$23,'HB-D2 Besondere Lstg Bund'!M141=TRUE),(IF('HB-D2 Besondere Lstg Bund'!H141&gt;0,"v.H.","pauschal")),"")))</f>
        <v/>
      </c>
      <c r="E190" s="1246" t="str">
        <f>IF(AND(Projektgrundlagen!$I$21,'StB-D1 Besondere Lstg'!M141=TRUE),'StB-D1 Besondere Lstg'!J141,IF(AND(Projektgrundlagen!$I$22,'HB-D1 Besondere Lstg Land'!M141=TRUE),'HB-D1 Besondere Lstg Land'!H141+'HB-D1 Besondere Lstg Land'!J141,IF(AND(Projektgrundlagen!$I$23,'HB-D2 Besondere Lstg Bund'!M141=TRUE),'HB-D2 Besondere Lstg Bund'!H141+'HB-D2 Besondere Lstg Bund'!J141,"")))</f>
        <v/>
      </c>
      <c r="F190" s="1246" t="str">
        <f>IF(AND(Projektgrundlagen!$I$21,'StB-D1 Besondere Lstg'!M141=TRUE),'StB-D1 Besondere Lstg'!K141,IF(AND(Projektgrundlagen!$I$22,'HB-D1 Besondere Lstg Land'!M141=TRUE),'HB-D1 Besondere Lstg Land'!K141,IF(AND(Projektgrundlagen!$I$23,'HB-D2 Besondere Lstg Bund'!M141=TRUE),'HB-D2 Besondere Lstg Bund'!K141,"")))</f>
        <v/>
      </c>
      <c r="G190" s="1253"/>
      <c r="H190" s="1254"/>
    </row>
    <row r="191" spans="2:8" ht="14.4">
      <c r="B191" t="str">
        <f>IF(AND(Projektgrundlagen!$I$21,'StB-D1 Besondere Lstg'!M142=TRUE),'StB-D1 Besondere Lstg'!C142&amp;" "&amp;'StB-D1 Besondere Lstg'!F142&amp;" "&amp;'StB-D1 Besondere Lstg'!F143,IF(AND(Projektgrundlagen!$I$22,'HB-D1 Besondere Lstg Land'!M142=TRUE),'HB-D1 Besondere Lstg Land'!C142&amp;" "&amp;'HB-D1 Besondere Lstg Land'!F142&amp;" "&amp;'HB-D1 Besondere Lstg Land'!F143,IF(AND(Projektgrundlagen!$I$23,'HB-D2 Besondere Lstg Bund'!M142=TRUE),'HB-D2 Besondere Lstg Bund'!C142&amp;" "&amp;'HB-D2 Besondere Lstg Bund'!F142&amp;" "&amp;'HB-D2 Besondere Lstg Bund'!F143,"")))</f>
        <v/>
      </c>
      <c r="C191" s="1246" t="str">
        <f>IF(AND(Projektgrundlagen!$I$21,'StB-D1 Besondere Lstg'!M142=TRUE),'StB-D1 Besondere Lstg'!H142,"")</f>
        <v/>
      </c>
      <c r="D191" s="1246" t="str">
        <f>IF(AND(Projektgrundlagen!$I$21,'StB-D1 Besondere Lstg'!M142=TRUE),'StB-D1 Besondere Lstg'!I142,IF(AND(Projektgrundlagen!$I$22,'HB-D1 Besondere Lstg Land'!M142=TRUE),(IF('HB-D1 Besondere Lstg Land'!H142&gt;0,"v.H.","pauschal")),IF(AND(Projektgrundlagen!$I$23,'HB-D2 Besondere Lstg Bund'!M142=TRUE),(IF('HB-D2 Besondere Lstg Bund'!H142&gt;0,"v.H.","pauschal")),"")))</f>
        <v/>
      </c>
      <c r="E191" s="1246" t="str">
        <f>IF(AND(Projektgrundlagen!$I$21,'StB-D1 Besondere Lstg'!M142=TRUE),'StB-D1 Besondere Lstg'!J142,IF(AND(Projektgrundlagen!$I$22,'HB-D1 Besondere Lstg Land'!M142=TRUE),'HB-D1 Besondere Lstg Land'!H142+'HB-D1 Besondere Lstg Land'!J142,IF(AND(Projektgrundlagen!$I$23,'HB-D2 Besondere Lstg Bund'!M142=TRUE),'HB-D2 Besondere Lstg Bund'!H142+'HB-D2 Besondere Lstg Bund'!J142,"")))</f>
        <v/>
      </c>
      <c r="F191" s="1246" t="str">
        <f>IF(AND(Projektgrundlagen!$I$21,'StB-D1 Besondere Lstg'!M142=TRUE),'StB-D1 Besondere Lstg'!K142,IF(AND(Projektgrundlagen!$I$22,'HB-D1 Besondere Lstg Land'!M142=TRUE),'HB-D1 Besondere Lstg Land'!K142,IF(AND(Projektgrundlagen!$I$23,'HB-D2 Besondere Lstg Bund'!M142=TRUE),'HB-D2 Besondere Lstg Bund'!K142,"")))</f>
        <v/>
      </c>
      <c r="G191" s="1253"/>
      <c r="H191" s="1254"/>
    </row>
    <row r="192" spans="2:8" ht="14.4">
      <c r="B192" t="str">
        <f>IF(AND(Projektgrundlagen!$I$21,'StB-D1 Besondere Lstg'!M143=TRUE),'StB-D1 Besondere Lstg'!C143&amp;" "&amp;'StB-D1 Besondere Lstg'!F143&amp;" "&amp;'StB-D1 Besondere Lstg'!F144,IF(AND(Projektgrundlagen!$I$22,'HB-D1 Besondere Lstg Land'!M143=TRUE),'HB-D1 Besondere Lstg Land'!C143&amp;" "&amp;'HB-D1 Besondere Lstg Land'!F143&amp;" "&amp;'HB-D1 Besondere Lstg Land'!F144,IF(AND(Projektgrundlagen!$I$23,'HB-D2 Besondere Lstg Bund'!M143=TRUE),'HB-D2 Besondere Lstg Bund'!C143&amp;" "&amp;'HB-D2 Besondere Lstg Bund'!F143&amp;" "&amp;'HB-D2 Besondere Lstg Bund'!F144,"")))</f>
        <v/>
      </c>
      <c r="C192" s="1246" t="str">
        <f>IF(AND(Projektgrundlagen!$I$21,'StB-D1 Besondere Lstg'!M143=TRUE),'StB-D1 Besondere Lstg'!H143,"")</f>
        <v/>
      </c>
      <c r="D192" s="1246" t="str">
        <f>IF(AND(Projektgrundlagen!$I$21,'StB-D1 Besondere Lstg'!M143=TRUE),'StB-D1 Besondere Lstg'!I143,IF(AND(Projektgrundlagen!$I$22,'HB-D1 Besondere Lstg Land'!M143=TRUE),(IF('HB-D1 Besondere Lstg Land'!H143&gt;0,"v.H.","pauschal")),IF(AND(Projektgrundlagen!$I$23,'HB-D2 Besondere Lstg Bund'!M143=TRUE),(IF('HB-D2 Besondere Lstg Bund'!H143&gt;0,"v.H.","pauschal")),"")))</f>
        <v/>
      </c>
      <c r="E192" s="1246" t="str">
        <f>IF(AND(Projektgrundlagen!$I$21,'StB-D1 Besondere Lstg'!M143=TRUE),'StB-D1 Besondere Lstg'!J143,IF(AND(Projektgrundlagen!$I$22,'HB-D1 Besondere Lstg Land'!M143=TRUE),'HB-D1 Besondere Lstg Land'!H143+'HB-D1 Besondere Lstg Land'!J143,IF(AND(Projektgrundlagen!$I$23,'HB-D2 Besondere Lstg Bund'!M143=TRUE),'HB-D2 Besondere Lstg Bund'!H143+'HB-D2 Besondere Lstg Bund'!J143,"")))</f>
        <v/>
      </c>
      <c r="F192" s="1246" t="str">
        <f>IF(AND(Projektgrundlagen!$I$21,'StB-D1 Besondere Lstg'!M143=TRUE),'StB-D1 Besondere Lstg'!K143,IF(AND(Projektgrundlagen!$I$22,'HB-D1 Besondere Lstg Land'!M143=TRUE),'HB-D1 Besondere Lstg Land'!K143,IF(AND(Projektgrundlagen!$I$23,'HB-D2 Besondere Lstg Bund'!M143=TRUE),'HB-D2 Besondere Lstg Bund'!K143,"")))</f>
        <v/>
      </c>
      <c r="G192" s="1253"/>
      <c r="H192" s="1254"/>
    </row>
    <row r="193" spans="2:8" ht="14.4">
      <c r="B193" t="str">
        <f>IF(AND(Projektgrundlagen!$I$21,'StB-D1 Besondere Lstg'!M144=TRUE),'StB-D1 Besondere Lstg'!C144&amp;" "&amp;'StB-D1 Besondere Lstg'!F144&amp;" "&amp;'StB-D1 Besondere Lstg'!F145,IF(AND(Projektgrundlagen!$I$22,'HB-D1 Besondere Lstg Land'!M144=TRUE),'HB-D1 Besondere Lstg Land'!C144&amp;" "&amp;'HB-D1 Besondere Lstg Land'!F144&amp;" "&amp;'HB-D1 Besondere Lstg Land'!F145,IF(AND(Projektgrundlagen!$I$23,'HB-D2 Besondere Lstg Bund'!M144=TRUE),'HB-D2 Besondere Lstg Bund'!C144&amp;" "&amp;'HB-D2 Besondere Lstg Bund'!F144&amp;" "&amp;'HB-D2 Besondere Lstg Bund'!F145,"")))</f>
        <v/>
      </c>
      <c r="C193" s="1246" t="str">
        <f>IF(AND(Projektgrundlagen!$I$21,'StB-D1 Besondere Lstg'!M144=TRUE),'StB-D1 Besondere Lstg'!H144,"")</f>
        <v/>
      </c>
      <c r="D193" s="1246" t="str">
        <f>IF(AND(Projektgrundlagen!$I$21,'StB-D1 Besondere Lstg'!M144=TRUE),'StB-D1 Besondere Lstg'!I144,IF(AND(Projektgrundlagen!$I$22,'HB-D1 Besondere Lstg Land'!M144=TRUE),(IF('HB-D1 Besondere Lstg Land'!H144&gt;0,"v.H.","pauschal")),IF(AND(Projektgrundlagen!$I$23,'HB-D2 Besondere Lstg Bund'!M144=TRUE),(IF('HB-D2 Besondere Lstg Bund'!H144&gt;0,"v.H.","pauschal")),"")))</f>
        <v/>
      </c>
      <c r="E193" s="1246" t="str">
        <f>IF(AND(Projektgrundlagen!$I$21,'StB-D1 Besondere Lstg'!M144=TRUE),'StB-D1 Besondere Lstg'!J144,IF(AND(Projektgrundlagen!$I$22,'HB-D1 Besondere Lstg Land'!M144=TRUE),'HB-D1 Besondere Lstg Land'!H144+'HB-D1 Besondere Lstg Land'!J144,IF(AND(Projektgrundlagen!$I$23,'HB-D2 Besondere Lstg Bund'!M144=TRUE),'HB-D2 Besondere Lstg Bund'!H144+'HB-D2 Besondere Lstg Bund'!J144,"")))</f>
        <v/>
      </c>
      <c r="F193" s="1246" t="str">
        <f>IF(AND(Projektgrundlagen!$I$21,'StB-D1 Besondere Lstg'!M144=TRUE),'StB-D1 Besondere Lstg'!K144,IF(AND(Projektgrundlagen!$I$22,'HB-D1 Besondere Lstg Land'!M144=TRUE),'HB-D1 Besondere Lstg Land'!K144,IF(AND(Projektgrundlagen!$I$23,'HB-D2 Besondere Lstg Bund'!M144=TRUE),'HB-D2 Besondere Lstg Bund'!K144,"")))</f>
        <v/>
      </c>
      <c r="G193" s="1253"/>
      <c r="H193" s="1254"/>
    </row>
    <row r="194" spans="2:8" ht="14.4">
      <c r="B194" t="str">
        <f>IF(AND(Projektgrundlagen!$I$21,'StB-D1 Besondere Lstg'!M145=TRUE),'StB-D1 Besondere Lstg'!C145&amp;" "&amp;'StB-D1 Besondere Lstg'!F145&amp;" "&amp;'StB-D1 Besondere Lstg'!F146,IF(AND(Projektgrundlagen!$I$22,'HB-D1 Besondere Lstg Land'!M145=TRUE),'HB-D1 Besondere Lstg Land'!C145&amp;" "&amp;'HB-D1 Besondere Lstg Land'!F145&amp;" "&amp;'HB-D1 Besondere Lstg Land'!F146,IF(AND(Projektgrundlagen!$I$23,'HB-D2 Besondere Lstg Bund'!M145=TRUE),'HB-D2 Besondere Lstg Bund'!C145&amp;" "&amp;'HB-D2 Besondere Lstg Bund'!F145&amp;" "&amp;'HB-D2 Besondere Lstg Bund'!F146,"")))</f>
        <v/>
      </c>
      <c r="C194" s="1246" t="str">
        <f>IF(AND(Projektgrundlagen!$I$21,'StB-D1 Besondere Lstg'!M145=TRUE),'StB-D1 Besondere Lstg'!H145,"")</f>
        <v/>
      </c>
      <c r="D194" s="1246" t="str">
        <f>IF(AND(Projektgrundlagen!$I$21,'StB-D1 Besondere Lstg'!M145=TRUE),'StB-D1 Besondere Lstg'!I145,IF(AND(Projektgrundlagen!$I$22,'HB-D1 Besondere Lstg Land'!M145=TRUE),(IF('HB-D1 Besondere Lstg Land'!H145&gt;0,"v.H.","pauschal")),IF(AND(Projektgrundlagen!$I$23,'HB-D2 Besondere Lstg Bund'!M145=TRUE),(IF('HB-D2 Besondere Lstg Bund'!H145&gt;0,"v.H.","pauschal")),"")))</f>
        <v/>
      </c>
      <c r="E194" s="1246" t="str">
        <f>IF(AND(Projektgrundlagen!$I$21,'StB-D1 Besondere Lstg'!M145=TRUE),'StB-D1 Besondere Lstg'!J145,IF(AND(Projektgrundlagen!$I$22,'HB-D1 Besondere Lstg Land'!M145=TRUE),'HB-D1 Besondere Lstg Land'!H145+'HB-D1 Besondere Lstg Land'!J145,IF(AND(Projektgrundlagen!$I$23,'HB-D2 Besondere Lstg Bund'!M145=TRUE),'HB-D2 Besondere Lstg Bund'!H145+'HB-D2 Besondere Lstg Bund'!J145,"")))</f>
        <v/>
      </c>
      <c r="F194" s="1246" t="str">
        <f>IF(AND(Projektgrundlagen!$I$21,'StB-D1 Besondere Lstg'!M145=TRUE),'StB-D1 Besondere Lstg'!K145,IF(AND(Projektgrundlagen!$I$22,'HB-D1 Besondere Lstg Land'!M145=TRUE),'HB-D1 Besondere Lstg Land'!K145,IF(AND(Projektgrundlagen!$I$23,'HB-D2 Besondere Lstg Bund'!M145=TRUE),'HB-D2 Besondere Lstg Bund'!K145,"")))</f>
        <v/>
      </c>
      <c r="G194" s="1253"/>
      <c r="H194" s="1254"/>
    </row>
    <row r="195" spans="2:8" ht="14.4">
      <c r="B195" t="str">
        <f>IF(AND(Projektgrundlagen!$I$21,'StB-D1 Besondere Lstg'!M146=TRUE),'StB-D1 Besondere Lstg'!C146&amp;" "&amp;'StB-D1 Besondere Lstg'!F146&amp;" "&amp;'StB-D1 Besondere Lstg'!F147,IF(AND(Projektgrundlagen!$I$22,'HB-D1 Besondere Lstg Land'!M146=TRUE),'HB-D1 Besondere Lstg Land'!C146&amp;" "&amp;'HB-D1 Besondere Lstg Land'!F146&amp;" "&amp;'HB-D1 Besondere Lstg Land'!F147,IF(AND(Projektgrundlagen!$I$23,'HB-D2 Besondere Lstg Bund'!M146=TRUE),'HB-D2 Besondere Lstg Bund'!C146&amp;" "&amp;'HB-D2 Besondere Lstg Bund'!F146&amp;" "&amp;'HB-D2 Besondere Lstg Bund'!F147,"")))</f>
        <v/>
      </c>
      <c r="C195" s="1246" t="str">
        <f>IF(AND(Projektgrundlagen!$I$21,'StB-D1 Besondere Lstg'!M146=TRUE),'StB-D1 Besondere Lstg'!H146,"")</f>
        <v/>
      </c>
      <c r="D195" s="1246" t="str">
        <f>IF(AND(Projektgrundlagen!$I$21,'StB-D1 Besondere Lstg'!M146=TRUE),'StB-D1 Besondere Lstg'!I146,IF(AND(Projektgrundlagen!$I$22,'HB-D1 Besondere Lstg Land'!M146=TRUE),(IF('HB-D1 Besondere Lstg Land'!H146&gt;0,"v.H.","pauschal")),IF(AND(Projektgrundlagen!$I$23,'HB-D2 Besondere Lstg Bund'!M146=TRUE),(IF('HB-D2 Besondere Lstg Bund'!H146&gt;0,"v.H.","pauschal")),"")))</f>
        <v/>
      </c>
      <c r="E195" s="1246" t="str">
        <f>IF(AND(Projektgrundlagen!$I$21,'StB-D1 Besondere Lstg'!M146=TRUE),'StB-D1 Besondere Lstg'!J146,IF(AND(Projektgrundlagen!$I$22,'HB-D1 Besondere Lstg Land'!M146=TRUE),'HB-D1 Besondere Lstg Land'!H146+'HB-D1 Besondere Lstg Land'!J146,IF(AND(Projektgrundlagen!$I$23,'HB-D2 Besondere Lstg Bund'!M146=TRUE),'HB-D2 Besondere Lstg Bund'!H146+'HB-D2 Besondere Lstg Bund'!J146,"")))</f>
        <v/>
      </c>
      <c r="F195" s="1246" t="str">
        <f>IF(AND(Projektgrundlagen!$I$21,'StB-D1 Besondere Lstg'!M146=TRUE),'StB-D1 Besondere Lstg'!K146,IF(AND(Projektgrundlagen!$I$22,'HB-D1 Besondere Lstg Land'!M146=TRUE),'HB-D1 Besondere Lstg Land'!K146,IF(AND(Projektgrundlagen!$I$23,'HB-D2 Besondere Lstg Bund'!M146=TRUE),'HB-D2 Besondere Lstg Bund'!K146,"")))</f>
        <v/>
      </c>
      <c r="G195" s="1253"/>
      <c r="H195" s="1254"/>
    </row>
    <row r="196" spans="2:8" ht="14.4">
      <c r="B196" t="str">
        <f>IF(AND(Projektgrundlagen!$I$21,'StB-D1 Besondere Lstg'!M147=TRUE),'StB-D1 Besondere Lstg'!C147&amp;" "&amp;'StB-D1 Besondere Lstg'!F147&amp;" "&amp;'StB-D1 Besondere Lstg'!F148,IF(AND(Projektgrundlagen!$I$22,'HB-D1 Besondere Lstg Land'!M147=TRUE),'HB-D1 Besondere Lstg Land'!C147&amp;" "&amp;'HB-D1 Besondere Lstg Land'!F147&amp;" "&amp;'HB-D1 Besondere Lstg Land'!F148,IF(AND(Projektgrundlagen!$I$23,'HB-D2 Besondere Lstg Bund'!M147=TRUE),'HB-D2 Besondere Lstg Bund'!C147&amp;" "&amp;'HB-D2 Besondere Lstg Bund'!F147&amp;" "&amp;'HB-D2 Besondere Lstg Bund'!F148,"")))</f>
        <v xml:space="preserve">8.04 Erstellen von Bestandsplänen
 </v>
      </c>
      <c r="C196" s="1246">
        <f>IF(AND(Projektgrundlagen!$I$21,'StB-D1 Besondere Lstg'!M147=TRUE),'StB-D1 Besondere Lstg'!H147,"")</f>
        <v>1</v>
      </c>
      <c r="D196" s="1246" t="str">
        <f>IF(AND(Projektgrundlagen!$I$21,'StB-D1 Besondere Lstg'!M147=TRUE),'StB-D1 Besondere Lstg'!I147,IF(AND(Projektgrundlagen!$I$22,'HB-D1 Besondere Lstg Land'!M147=TRUE),(IF('HB-D1 Besondere Lstg Land'!H147&gt;0,"v.H.","pauschal")),IF(AND(Projektgrundlagen!$I$23,'HB-D2 Besondere Lstg Bund'!M147=TRUE),(IF('HB-D2 Besondere Lstg Bund'!H147&gt;0,"v.H.","pauschal")),"")))</f>
        <v>Psch</v>
      </c>
      <c r="E196" s="1246">
        <f>IF(AND(Projektgrundlagen!$I$21,'StB-D1 Besondere Lstg'!M147=TRUE),'StB-D1 Besondere Lstg'!J147,IF(AND(Projektgrundlagen!$I$22,'HB-D1 Besondere Lstg Land'!M147=TRUE),'HB-D1 Besondere Lstg Land'!H147+'HB-D1 Besondere Lstg Land'!J147,IF(AND(Projektgrundlagen!$I$23,'HB-D2 Besondere Lstg Bund'!M147=TRUE),'HB-D2 Besondere Lstg Bund'!H147+'HB-D2 Besondere Lstg Bund'!J147,"")))</f>
        <v>0</v>
      </c>
      <c r="F196" s="1246">
        <f>IF(AND(Projektgrundlagen!$I$21,'StB-D1 Besondere Lstg'!M147=TRUE),'StB-D1 Besondere Lstg'!K147,IF(AND(Projektgrundlagen!$I$22,'HB-D1 Besondere Lstg Land'!M147=TRUE),'HB-D1 Besondere Lstg Land'!K147,IF(AND(Projektgrundlagen!$I$23,'HB-D2 Besondere Lstg Bund'!M147=TRUE),'HB-D2 Besondere Lstg Bund'!K147,"")))</f>
        <v>0</v>
      </c>
      <c r="G196" s="1253"/>
      <c r="H196" s="1254"/>
    </row>
    <row r="197" spans="2:8" ht="14.4">
      <c r="B197" t="str">
        <f>IF(AND(Projektgrundlagen!$I$21,'StB-D1 Besondere Lstg'!M148=TRUE),'StB-D1 Besondere Lstg'!C148&amp;" "&amp;'StB-D1 Besondere Lstg'!F148&amp;" "&amp;'StB-D1 Besondere Lstg'!F149,IF(AND(Projektgrundlagen!$I$22,'HB-D1 Besondere Lstg Land'!M148=TRUE),'HB-D1 Besondere Lstg Land'!C148&amp;" "&amp;'HB-D1 Besondere Lstg Land'!F148&amp;" "&amp;'HB-D1 Besondere Lstg Land'!F149,IF(AND(Projektgrundlagen!$I$23,'HB-D2 Besondere Lstg Bund'!M148=TRUE),'HB-D2 Besondere Lstg Bund'!C148&amp;" "&amp;'HB-D2 Besondere Lstg Bund'!F148&amp;" "&amp;'HB-D2 Besondere Lstg Bund'!F149,"")))</f>
        <v/>
      </c>
      <c r="C197" s="1246" t="str">
        <f>IF(AND(Projektgrundlagen!$I$21,'StB-D1 Besondere Lstg'!M148=TRUE),'StB-D1 Besondere Lstg'!H148,"")</f>
        <v/>
      </c>
      <c r="D197" s="1246" t="str">
        <f>IF(AND(Projektgrundlagen!$I$21,'StB-D1 Besondere Lstg'!M148=TRUE),'StB-D1 Besondere Lstg'!I148,IF(AND(Projektgrundlagen!$I$22,'HB-D1 Besondere Lstg Land'!M148=TRUE),(IF('HB-D1 Besondere Lstg Land'!H148&gt;0,"v.H.","pauschal")),IF(AND(Projektgrundlagen!$I$23,'HB-D2 Besondere Lstg Bund'!M148=TRUE),(IF('HB-D2 Besondere Lstg Bund'!H148&gt;0,"v.H.","pauschal")),"")))</f>
        <v/>
      </c>
      <c r="E197" s="1246" t="str">
        <f>IF(AND(Projektgrundlagen!$I$21,'StB-D1 Besondere Lstg'!M148=TRUE),'StB-D1 Besondere Lstg'!J148,IF(AND(Projektgrundlagen!$I$22,'HB-D1 Besondere Lstg Land'!M148=TRUE),'HB-D1 Besondere Lstg Land'!H148+'HB-D1 Besondere Lstg Land'!J148,IF(AND(Projektgrundlagen!$I$23,'HB-D2 Besondere Lstg Bund'!M148=TRUE),'HB-D2 Besondere Lstg Bund'!H148+'HB-D2 Besondere Lstg Bund'!J148,"")))</f>
        <v/>
      </c>
      <c r="F197" s="1246" t="str">
        <f>IF(AND(Projektgrundlagen!$I$21,'StB-D1 Besondere Lstg'!M148=TRUE),'StB-D1 Besondere Lstg'!K148,IF(AND(Projektgrundlagen!$I$22,'HB-D1 Besondere Lstg Land'!M148=TRUE),'HB-D1 Besondere Lstg Land'!K148,IF(AND(Projektgrundlagen!$I$23,'HB-D2 Besondere Lstg Bund'!M148=TRUE),'HB-D2 Besondere Lstg Bund'!K148,"")))</f>
        <v/>
      </c>
      <c r="G197" s="1253"/>
      <c r="H197" s="1254"/>
    </row>
    <row r="198" spans="2:8" ht="14.4">
      <c r="B198" t="str">
        <f>IF(AND(Projektgrundlagen!$I$21,'StB-D1 Besondere Lstg'!M149=TRUE),'StB-D1 Besondere Lstg'!C149&amp;" "&amp;'StB-D1 Besondere Lstg'!F149&amp;" "&amp;'StB-D1 Besondere Lstg'!F150,IF(AND(Projektgrundlagen!$I$22,'HB-D1 Besondere Lstg Land'!M149=TRUE),'HB-D1 Besondere Lstg Land'!C149&amp;" "&amp;'HB-D1 Besondere Lstg Land'!F149&amp;" "&amp;'HB-D1 Besondere Lstg Land'!F150,IF(AND(Projektgrundlagen!$I$23,'HB-D2 Besondere Lstg Bund'!M149=TRUE),'HB-D2 Besondere Lstg Bund'!C149&amp;" "&amp;'HB-D2 Besondere Lstg Bund'!F149&amp;" "&amp;'HB-D2 Besondere Lstg Bund'!F150,"")))</f>
        <v/>
      </c>
      <c r="C198" s="1246" t="str">
        <f>IF(AND(Projektgrundlagen!$I$21,'StB-D1 Besondere Lstg'!M149=TRUE),'StB-D1 Besondere Lstg'!H149,"")</f>
        <v/>
      </c>
      <c r="D198" s="1246" t="str">
        <f>IF(AND(Projektgrundlagen!$I$21,'StB-D1 Besondere Lstg'!M149=TRUE),'StB-D1 Besondere Lstg'!I149,IF(AND(Projektgrundlagen!$I$22,'HB-D1 Besondere Lstg Land'!M149=TRUE),(IF('HB-D1 Besondere Lstg Land'!H149&gt;0,"v.H.","pauschal")),IF(AND(Projektgrundlagen!$I$23,'HB-D2 Besondere Lstg Bund'!M149=TRUE),(IF('HB-D2 Besondere Lstg Bund'!H149&gt;0,"v.H.","pauschal")),"")))</f>
        <v/>
      </c>
      <c r="E198" s="1246" t="str">
        <f>IF(AND(Projektgrundlagen!$I$21,'StB-D1 Besondere Lstg'!M149=TRUE),'StB-D1 Besondere Lstg'!J149,IF(AND(Projektgrundlagen!$I$22,'HB-D1 Besondere Lstg Land'!M149=TRUE),'HB-D1 Besondere Lstg Land'!H149+'HB-D1 Besondere Lstg Land'!J149,IF(AND(Projektgrundlagen!$I$23,'HB-D2 Besondere Lstg Bund'!M149=TRUE),'HB-D2 Besondere Lstg Bund'!H149+'HB-D2 Besondere Lstg Bund'!J149,"")))</f>
        <v/>
      </c>
      <c r="F198" s="1246" t="str">
        <f>IF(AND(Projektgrundlagen!$I$21,'StB-D1 Besondere Lstg'!M149=TRUE),'StB-D1 Besondere Lstg'!K149,IF(AND(Projektgrundlagen!$I$22,'HB-D1 Besondere Lstg Land'!M149=TRUE),'HB-D1 Besondere Lstg Land'!K149,IF(AND(Projektgrundlagen!$I$23,'HB-D2 Besondere Lstg Bund'!M149=TRUE),'HB-D2 Besondere Lstg Bund'!K149,"")))</f>
        <v/>
      </c>
      <c r="G198" s="1253"/>
      <c r="H198" s="1254"/>
    </row>
    <row r="199" spans="2:8" ht="14.4">
      <c r="B199" t="str">
        <f>IF(AND(Projektgrundlagen!$I$21,'StB-D1 Besondere Lstg'!M150=TRUE),'StB-D1 Besondere Lstg'!C150&amp;" "&amp;'StB-D1 Besondere Lstg'!F150&amp;" "&amp;'StB-D1 Besondere Lstg'!F151,IF(AND(Projektgrundlagen!$I$22,'HB-D1 Besondere Lstg Land'!M150=TRUE),'HB-D1 Besondere Lstg Land'!C150&amp;" "&amp;'HB-D1 Besondere Lstg Land'!F150&amp;" "&amp;'HB-D1 Besondere Lstg Land'!F151,IF(AND(Projektgrundlagen!$I$23,'HB-D2 Besondere Lstg Bund'!M150=TRUE),'HB-D2 Besondere Lstg Bund'!C150&amp;" "&amp;'HB-D2 Besondere Lstg Bund'!F150&amp;" "&amp;'HB-D2 Besondere Lstg Bund'!F151,"")))</f>
        <v/>
      </c>
      <c r="C199" s="1246" t="str">
        <f>IF(AND(Projektgrundlagen!$I$21,'StB-D1 Besondere Lstg'!M150=TRUE),'StB-D1 Besondere Lstg'!H150,"")</f>
        <v/>
      </c>
      <c r="D199" s="1246" t="str">
        <f>IF(AND(Projektgrundlagen!$I$21,'StB-D1 Besondere Lstg'!M150=TRUE),'StB-D1 Besondere Lstg'!I150,IF(AND(Projektgrundlagen!$I$22,'HB-D1 Besondere Lstg Land'!M150=TRUE),(IF('HB-D1 Besondere Lstg Land'!H150&gt;0,"v.H.","pauschal")),IF(AND(Projektgrundlagen!$I$23,'HB-D2 Besondere Lstg Bund'!M150=TRUE),(IF('HB-D2 Besondere Lstg Bund'!H150&gt;0,"v.H.","pauschal")),"")))</f>
        <v/>
      </c>
      <c r="E199" s="1246" t="str">
        <f>IF(AND(Projektgrundlagen!$I$21,'StB-D1 Besondere Lstg'!M150=TRUE),'StB-D1 Besondere Lstg'!J150,IF(AND(Projektgrundlagen!$I$22,'HB-D1 Besondere Lstg Land'!M150=TRUE),'HB-D1 Besondere Lstg Land'!H150+'HB-D1 Besondere Lstg Land'!J150,IF(AND(Projektgrundlagen!$I$23,'HB-D2 Besondere Lstg Bund'!M150=TRUE),'HB-D2 Besondere Lstg Bund'!H150+'HB-D2 Besondere Lstg Bund'!J150,"")))</f>
        <v/>
      </c>
      <c r="F199" s="1246" t="str">
        <f>IF(AND(Projektgrundlagen!$I$21,'StB-D1 Besondere Lstg'!M150=TRUE),'StB-D1 Besondere Lstg'!K150,IF(AND(Projektgrundlagen!$I$22,'HB-D1 Besondere Lstg Land'!M150=TRUE),'HB-D1 Besondere Lstg Land'!K150,IF(AND(Projektgrundlagen!$I$23,'HB-D2 Besondere Lstg Bund'!M150=TRUE),'HB-D2 Besondere Lstg Bund'!K150,"")))</f>
        <v/>
      </c>
      <c r="G199" s="1253"/>
      <c r="H199" s="1254"/>
    </row>
    <row r="200" spans="2:8" ht="14.4">
      <c r="B200" t="str">
        <f>IF(AND(Projektgrundlagen!$I$21,'StB-D1 Besondere Lstg'!M151=TRUE),'StB-D1 Besondere Lstg'!C151&amp;" "&amp;'StB-D1 Besondere Lstg'!F151&amp;" "&amp;'StB-D1 Besondere Lstg'!F152,IF(AND(Projektgrundlagen!$I$22,'HB-D1 Besondere Lstg Land'!M151=TRUE),'HB-D1 Besondere Lstg Land'!C151&amp;" "&amp;'HB-D1 Besondere Lstg Land'!F151&amp;" "&amp;'HB-D1 Besondere Lstg Land'!F152,IF(AND(Projektgrundlagen!$I$23,'HB-D2 Besondere Lstg Bund'!M151=TRUE),'HB-D2 Besondere Lstg Bund'!C151&amp;" "&amp;'HB-D2 Besondere Lstg Bund'!F151&amp;" "&amp;'HB-D2 Besondere Lstg Bund'!F152,"")))</f>
        <v/>
      </c>
      <c r="C200" s="1246" t="str">
        <f>IF(AND(Projektgrundlagen!$I$21,'StB-D1 Besondere Lstg'!M151=TRUE),'StB-D1 Besondere Lstg'!H151,"")</f>
        <v/>
      </c>
      <c r="D200" s="1246" t="str">
        <f>IF(AND(Projektgrundlagen!$I$21,'StB-D1 Besondere Lstg'!M151=TRUE),'StB-D1 Besondere Lstg'!I151,IF(AND(Projektgrundlagen!$I$22,'HB-D1 Besondere Lstg Land'!M151=TRUE),(IF('HB-D1 Besondere Lstg Land'!H151&gt;0,"v.H.","pauschal")),IF(AND(Projektgrundlagen!$I$23,'HB-D2 Besondere Lstg Bund'!M151=TRUE),(IF('HB-D2 Besondere Lstg Bund'!H151&gt;0,"v.H.","pauschal")),"")))</f>
        <v/>
      </c>
      <c r="E200" s="1246" t="str">
        <f>IF(AND(Projektgrundlagen!$I$21,'StB-D1 Besondere Lstg'!M151=TRUE),'StB-D1 Besondere Lstg'!J151,IF(AND(Projektgrundlagen!$I$22,'HB-D1 Besondere Lstg Land'!M151=TRUE),'HB-D1 Besondere Lstg Land'!H151+'HB-D1 Besondere Lstg Land'!J151,IF(AND(Projektgrundlagen!$I$23,'HB-D2 Besondere Lstg Bund'!M151=TRUE),'HB-D2 Besondere Lstg Bund'!H151+'HB-D2 Besondere Lstg Bund'!J151,"")))</f>
        <v/>
      </c>
      <c r="F200" s="1246" t="str">
        <f>IF(AND(Projektgrundlagen!$I$21,'StB-D1 Besondere Lstg'!M151=TRUE),'StB-D1 Besondere Lstg'!K151,IF(AND(Projektgrundlagen!$I$22,'HB-D1 Besondere Lstg Land'!M151=TRUE),'HB-D1 Besondere Lstg Land'!K151,IF(AND(Projektgrundlagen!$I$23,'HB-D2 Besondere Lstg Bund'!M151=TRUE),'HB-D2 Besondere Lstg Bund'!K151,"")))</f>
        <v/>
      </c>
      <c r="G200" s="1253"/>
      <c r="H200" s="1254"/>
    </row>
    <row r="201" spans="2:8" ht="14.4">
      <c r="B201" t="str">
        <f>IF(AND(Projektgrundlagen!$I$21,'StB-D1 Besondere Lstg'!M152=TRUE),'StB-D1 Besondere Lstg'!C152&amp;" "&amp;'StB-D1 Besondere Lstg'!F152&amp;" "&amp;'StB-D1 Besondere Lstg'!F153,IF(AND(Projektgrundlagen!$I$22,'HB-D1 Besondere Lstg Land'!M152=TRUE),'HB-D1 Besondere Lstg Land'!C152&amp;" "&amp;'HB-D1 Besondere Lstg Land'!F152&amp;" "&amp;'HB-D1 Besondere Lstg Land'!F153,IF(AND(Projektgrundlagen!$I$23,'HB-D2 Besondere Lstg Bund'!M152=TRUE),'HB-D2 Besondere Lstg Bund'!C152&amp;" "&amp;'HB-D2 Besondere Lstg Bund'!F152&amp;" "&amp;'HB-D2 Besondere Lstg Bund'!F153,"")))</f>
        <v xml:space="preserve">8.05 Örtliche Bauüberwachung (BÜ) Verkehrsanlagen
 </v>
      </c>
      <c r="C201" s="1246">
        <f>IF(AND(Projektgrundlagen!$I$21,'StB-D1 Besondere Lstg'!M152=TRUE),'StB-D1 Besondere Lstg'!H152,"")</f>
        <v>0</v>
      </c>
      <c r="D201" s="1246">
        <f>IF(AND(Projektgrundlagen!$I$21,'StB-D1 Besondere Lstg'!M152=TRUE),'StB-D1 Besondere Lstg'!I152,IF(AND(Projektgrundlagen!$I$22,'HB-D1 Besondere Lstg Land'!M152=TRUE),(IF('HB-D1 Besondere Lstg Land'!H152&gt;0,"v.H.","pauschal")),IF(AND(Projektgrundlagen!$I$23,'HB-D2 Besondere Lstg Bund'!M152=TRUE),(IF('HB-D2 Besondere Lstg Bund'!H152&gt;0,"v.H.","pauschal")),"")))</f>
        <v>0</v>
      </c>
      <c r="E201" s="1246">
        <f>IF(AND(Projektgrundlagen!$I$21,'StB-D1 Besondere Lstg'!M152=TRUE),'StB-D1 Besondere Lstg'!J152,IF(AND(Projektgrundlagen!$I$22,'HB-D1 Besondere Lstg Land'!M152=TRUE),'HB-D1 Besondere Lstg Land'!H152+'HB-D1 Besondere Lstg Land'!J152,IF(AND(Projektgrundlagen!$I$23,'HB-D2 Besondere Lstg Bund'!M152=TRUE),'HB-D2 Besondere Lstg Bund'!H152+'HB-D2 Besondere Lstg Bund'!J152,"")))</f>
        <v>0</v>
      </c>
      <c r="F201" s="1246">
        <f>IF(AND(Projektgrundlagen!$I$21,'StB-D1 Besondere Lstg'!M152=TRUE),'StB-D1 Besondere Lstg'!K152,IF(AND(Projektgrundlagen!$I$22,'HB-D1 Besondere Lstg Land'!M152=TRUE),'HB-D1 Besondere Lstg Land'!K152,IF(AND(Projektgrundlagen!$I$23,'HB-D2 Besondere Lstg Bund'!M152=TRUE),'HB-D2 Besondere Lstg Bund'!K152,"")))</f>
        <v>0</v>
      </c>
      <c r="G201" s="1253"/>
      <c r="H201" s="1254"/>
    </row>
    <row r="202" spans="2:8" ht="14.4">
      <c r="B202" t="str">
        <f>IF(AND(Projektgrundlagen!$I$21,'StB-D1 Besondere Lstg'!M153=TRUE),'StB-D1 Besondere Lstg'!C153&amp;" "&amp;'StB-D1 Besondere Lstg'!F153&amp;" "&amp;'StB-D1 Besondere Lstg'!F154,IF(AND(Projektgrundlagen!$I$22,'HB-D1 Besondere Lstg Land'!M153=TRUE),'HB-D1 Besondere Lstg Land'!C153&amp;" "&amp;'HB-D1 Besondere Lstg Land'!F153&amp;" "&amp;'HB-D1 Besondere Lstg Land'!F154,IF(AND(Projektgrundlagen!$I$23,'HB-D2 Besondere Lstg Bund'!M153=TRUE),'HB-D2 Besondere Lstg Bund'!C153&amp;" "&amp;'HB-D2 Besondere Lstg Bund'!F153&amp;" "&amp;'HB-D2 Besondere Lstg Bund'!F154,"")))</f>
        <v/>
      </c>
      <c r="C202" s="1246" t="str">
        <f>IF(AND(Projektgrundlagen!$I$21,'StB-D1 Besondere Lstg'!M153=TRUE),'StB-D1 Besondere Lstg'!H153,"")</f>
        <v/>
      </c>
      <c r="D202" s="1246" t="str">
        <f>IF(AND(Projektgrundlagen!$I$21,'StB-D1 Besondere Lstg'!M153=TRUE),'StB-D1 Besondere Lstg'!I153,IF(AND(Projektgrundlagen!$I$22,'HB-D1 Besondere Lstg Land'!M153=TRUE),(IF('HB-D1 Besondere Lstg Land'!H153&gt;0,"v.H.","pauschal")),IF(AND(Projektgrundlagen!$I$23,'HB-D2 Besondere Lstg Bund'!M153=TRUE),(IF('HB-D2 Besondere Lstg Bund'!H153&gt;0,"v.H.","pauschal")),"")))</f>
        <v/>
      </c>
      <c r="E202" s="1246" t="str">
        <f>IF(AND(Projektgrundlagen!$I$21,'StB-D1 Besondere Lstg'!M153=TRUE),'StB-D1 Besondere Lstg'!J153,IF(AND(Projektgrundlagen!$I$22,'HB-D1 Besondere Lstg Land'!M153=TRUE),'HB-D1 Besondere Lstg Land'!H153+'HB-D1 Besondere Lstg Land'!J153,IF(AND(Projektgrundlagen!$I$23,'HB-D2 Besondere Lstg Bund'!M153=TRUE),'HB-D2 Besondere Lstg Bund'!H153+'HB-D2 Besondere Lstg Bund'!J153,"")))</f>
        <v/>
      </c>
      <c r="F202" s="1246" t="str">
        <f>IF(AND(Projektgrundlagen!$I$21,'StB-D1 Besondere Lstg'!M153=TRUE),'StB-D1 Besondere Lstg'!K153,IF(AND(Projektgrundlagen!$I$22,'HB-D1 Besondere Lstg Land'!M153=TRUE),'HB-D1 Besondere Lstg Land'!K153,IF(AND(Projektgrundlagen!$I$23,'HB-D2 Besondere Lstg Bund'!M153=TRUE),'HB-D2 Besondere Lstg Bund'!K153,"")))</f>
        <v/>
      </c>
      <c r="G202" s="1253"/>
      <c r="H202" s="1254"/>
    </row>
    <row r="203" spans="2:8" ht="14.4">
      <c r="B203" t="str">
        <f>IF(AND(Projektgrundlagen!$I$21,'StB-D1 Besondere Lstg'!M154=TRUE),'StB-D1 Besondere Lstg'!C154&amp;" "&amp;'StB-D1 Besondere Lstg'!F154&amp;" "&amp;'StB-D1 Besondere Lstg'!F155,IF(AND(Projektgrundlagen!$I$22,'HB-D1 Besondere Lstg Land'!M154=TRUE),'HB-D1 Besondere Lstg Land'!C154&amp;" "&amp;'HB-D1 Besondere Lstg Land'!F154&amp;" "&amp;'HB-D1 Besondere Lstg Land'!F155,IF(AND(Projektgrundlagen!$I$23,'HB-D2 Besondere Lstg Bund'!M154=TRUE),'HB-D2 Besondere Lstg Bund'!C154&amp;" "&amp;'HB-D2 Besondere Lstg Bund'!F154&amp;" "&amp;'HB-D2 Besondere Lstg Bund'!F155,"")))</f>
        <v xml:space="preserve"> Prozentsatz bezogen auf die Anrechenb. Kosten LPH 8 in EURO</v>
      </c>
      <c r="C203" s="1246">
        <f>IF(AND(Projektgrundlagen!$I$21,'StB-D1 Besondere Lstg'!M154=TRUE),'StB-D1 Besondere Lstg'!H154,"")</f>
        <v>0</v>
      </c>
      <c r="D203" s="1246">
        <f>IF(AND(Projektgrundlagen!$I$21,'StB-D1 Besondere Lstg'!M154=TRUE),'StB-D1 Besondere Lstg'!I154,IF(AND(Projektgrundlagen!$I$22,'HB-D1 Besondere Lstg Land'!M154=TRUE),(IF('HB-D1 Besondere Lstg Land'!H154&gt;0,"v.H.","pauschal")),IF(AND(Projektgrundlagen!$I$23,'HB-D2 Besondere Lstg Bund'!M154=TRUE),(IF('HB-D2 Besondere Lstg Bund'!H154&gt;0,"v.H.","pauschal")),"")))</f>
        <v>0</v>
      </c>
      <c r="E203" s="1246">
        <f>IF(AND(Projektgrundlagen!$I$21,'StB-D1 Besondere Lstg'!M154=TRUE),'StB-D1 Besondere Lstg'!J154,IF(AND(Projektgrundlagen!$I$22,'HB-D1 Besondere Lstg Land'!M154=TRUE),'HB-D1 Besondere Lstg Land'!H154+'HB-D1 Besondere Lstg Land'!J154,IF(AND(Projektgrundlagen!$I$23,'HB-D2 Besondere Lstg Bund'!M154=TRUE),'HB-D2 Besondere Lstg Bund'!H154+'HB-D2 Besondere Lstg Bund'!J154,"")))</f>
        <v>0</v>
      </c>
      <c r="F203" s="1246">
        <f>IF(AND(Projektgrundlagen!$I$21,'StB-D1 Besondere Lstg'!M154=TRUE),'StB-D1 Besondere Lstg'!K154,IF(AND(Projektgrundlagen!$I$22,'HB-D1 Besondere Lstg Land'!M154=TRUE),'HB-D1 Besondere Lstg Land'!K154,IF(AND(Projektgrundlagen!$I$23,'HB-D2 Besondere Lstg Bund'!M154=TRUE),'HB-D2 Besondere Lstg Bund'!K154,"")))</f>
        <v>0</v>
      </c>
      <c r="G203" s="1253"/>
      <c r="H203" s="1254"/>
    </row>
    <row r="204" spans="2:8" ht="14.4">
      <c r="B204" t="str">
        <f>IF(AND(Projektgrundlagen!$I$21,'StB-D1 Besondere Lstg'!M155=TRUE),'StB-D1 Besondere Lstg'!C155&amp;" "&amp;'StB-D1 Besondere Lstg'!F155&amp;" "&amp;'StB-D1 Besondere Lstg'!F156,IF(AND(Projektgrundlagen!$I$22,'HB-D1 Besondere Lstg Land'!M155=TRUE),'HB-D1 Besondere Lstg Land'!C155&amp;" "&amp;'HB-D1 Besondere Lstg Land'!F155&amp;" "&amp;'HB-D1 Besondere Lstg Land'!F156,IF(AND(Projektgrundlagen!$I$23,'HB-D2 Besondere Lstg Bund'!M155=TRUE),'HB-D2 Besondere Lstg Bund'!C155&amp;" "&amp;'HB-D2 Besondere Lstg Bund'!F155&amp;" "&amp;'HB-D2 Besondere Lstg Bund'!F156,"")))</f>
        <v/>
      </c>
      <c r="C204" s="1246" t="str">
        <f>IF(AND(Projektgrundlagen!$I$21,'StB-D1 Besondere Lstg'!M155=TRUE),'StB-D1 Besondere Lstg'!H155,"")</f>
        <v/>
      </c>
      <c r="D204" s="1246" t="str">
        <f>IF(AND(Projektgrundlagen!$I$21,'StB-D1 Besondere Lstg'!M155=TRUE),'StB-D1 Besondere Lstg'!I155,IF(AND(Projektgrundlagen!$I$22,'HB-D1 Besondere Lstg Land'!M155=TRUE),(IF('HB-D1 Besondere Lstg Land'!H155&gt;0,"v.H.","pauschal")),IF(AND(Projektgrundlagen!$I$23,'HB-D2 Besondere Lstg Bund'!M155=TRUE),(IF('HB-D2 Besondere Lstg Bund'!H155&gt;0,"v.H.","pauschal")),"")))</f>
        <v/>
      </c>
      <c r="E204" s="1246" t="str">
        <f>IF(AND(Projektgrundlagen!$I$21,'StB-D1 Besondere Lstg'!M155=TRUE),'StB-D1 Besondere Lstg'!J155,IF(AND(Projektgrundlagen!$I$22,'HB-D1 Besondere Lstg Land'!M155=TRUE),'HB-D1 Besondere Lstg Land'!H155+'HB-D1 Besondere Lstg Land'!J155,IF(AND(Projektgrundlagen!$I$23,'HB-D2 Besondere Lstg Bund'!M155=TRUE),'HB-D2 Besondere Lstg Bund'!H155+'HB-D2 Besondere Lstg Bund'!J155,"")))</f>
        <v/>
      </c>
      <c r="F204" s="1246" t="str">
        <f>IF(AND(Projektgrundlagen!$I$21,'StB-D1 Besondere Lstg'!M155=TRUE),'StB-D1 Besondere Lstg'!K155,IF(AND(Projektgrundlagen!$I$22,'HB-D1 Besondere Lstg Land'!M155=TRUE),'HB-D1 Besondere Lstg Land'!K155,IF(AND(Projektgrundlagen!$I$23,'HB-D2 Besondere Lstg Bund'!M155=TRUE),'HB-D2 Besondere Lstg Bund'!K155,"")))</f>
        <v/>
      </c>
      <c r="G204" s="1253"/>
      <c r="H204" s="1254"/>
    </row>
    <row r="205" spans="2:8" ht="14.4">
      <c r="B205" t="str">
        <f>IF(AND(Projektgrundlagen!$I$21,'StB-D1 Besondere Lstg'!M156=TRUE),'StB-D1 Besondere Lstg'!C156&amp;" "&amp;'StB-D1 Besondere Lstg'!F156&amp;" "&amp;'StB-D1 Besondere Lstg'!F157,IF(AND(Projektgrundlagen!$I$22,'HB-D1 Besondere Lstg Land'!M156=TRUE),'HB-D1 Besondere Lstg Land'!C156&amp;" "&amp;'HB-D1 Besondere Lstg Land'!F156&amp;" "&amp;'HB-D1 Besondere Lstg Land'!F157,IF(AND(Projektgrundlagen!$I$23,'HB-D2 Besondere Lstg Bund'!M156=TRUE),'HB-D2 Besondere Lstg Bund'!C156&amp;" "&amp;'HB-D2 Besondere Lstg Bund'!F156&amp;" "&amp;'HB-D2 Besondere Lstg Bund'!F157,"")))</f>
        <v/>
      </c>
      <c r="C205" s="1246" t="str">
        <f>IF(AND(Projektgrundlagen!$I$21,'StB-D1 Besondere Lstg'!M156=TRUE),'StB-D1 Besondere Lstg'!H156,"")</f>
        <v/>
      </c>
      <c r="D205" s="1246" t="str">
        <f>IF(AND(Projektgrundlagen!$I$21,'StB-D1 Besondere Lstg'!M156=TRUE),'StB-D1 Besondere Lstg'!I156,IF(AND(Projektgrundlagen!$I$22,'HB-D1 Besondere Lstg Land'!M156=TRUE),(IF('HB-D1 Besondere Lstg Land'!H156&gt;0,"v.H.","pauschal")),IF(AND(Projektgrundlagen!$I$23,'HB-D2 Besondere Lstg Bund'!M156=TRUE),(IF('HB-D2 Besondere Lstg Bund'!H156&gt;0,"v.H.","pauschal")),"")))</f>
        <v/>
      </c>
      <c r="E205" s="1246" t="str">
        <f>IF(AND(Projektgrundlagen!$I$21,'StB-D1 Besondere Lstg'!M156=TRUE),'StB-D1 Besondere Lstg'!J156,IF(AND(Projektgrundlagen!$I$22,'HB-D1 Besondere Lstg Land'!M156=TRUE),'HB-D1 Besondere Lstg Land'!H156+'HB-D1 Besondere Lstg Land'!J156,IF(AND(Projektgrundlagen!$I$23,'HB-D2 Besondere Lstg Bund'!M156=TRUE),'HB-D2 Besondere Lstg Bund'!H156+'HB-D2 Besondere Lstg Bund'!J156,"")))</f>
        <v/>
      </c>
      <c r="F205" s="1246" t="str">
        <f>IF(AND(Projektgrundlagen!$I$21,'StB-D1 Besondere Lstg'!M156=TRUE),'StB-D1 Besondere Lstg'!K156,IF(AND(Projektgrundlagen!$I$22,'HB-D1 Besondere Lstg Land'!M156=TRUE),'HB-D1 Besondere Lstg Land'!K156,IF(AND(Projektgrundlagen!$I$23,'HB-D2 Besondere Lstg Bund'!M156=TRUE),'HB-D2 Besondere Lstg Bund'!K156,"")))</f>
        <v/>
      </c>
      <c r="G205" s="1253"/>
      <c r="H205" s="1254"/>
    </row>
    <row r="206" spans="2:8" ht="14.4">
      <c r="B206" t="str">
        <f>IF(AND(Projektgrundlagen!$I$21,'StB-D1 Besondere Lstg'!M157=TRUE),'StB-D1 Besondere Lstg'!C157&amp;" "&amp;'StB-D1 Besondere Lstg'!F157&amp;" "&amp;'StB-D1 Besondere Lstg'!F158,IF(AND(Projektgrundlagen!$I$22,'HB-D1 Besondere Lstg Land'!M157=TRUE),'HB-D1 Besondere Lstg Land'!C157&amp;" "&amp;'HB-D1 Besondere Lstg Land'!F157&amp;" "&amp;'HB-D1 Besondere Lstg Land'!F158,IF(AND(Projektgrundlagen!$I$23,'HB-D2 Besondere Lstg Bund'!M157=TRUE),'HB-D2 Besondere Lstg Bund'!C157&amp;" "&amp;'HB-D2 Besondere Lstg Bund'!F157&amp;" "&amp;'HB-D2 Besondere Lstg Bund'!F158,"")))</f>
        <v/>
      </c>
      <c r="C206" s="1246" t="str">
        <f>IF(AND(Projektgrundlagen!$I$21,'StB-D1 Besondere Lstg'!M157=TRUE),'StB-D1 Besondere Lstg'!H157,"")</f>
        <v/>
      </c>
      <c r="D206" s="1246" t="str">
        <f>IF(AND(Projektgrundlagen!$I$21,'StB-D1 Besondere Lstg'!M157=TRUE),'StB-D1 Besondere Lstg'!I157,IF(AND(Projektgrundlagen!$I$22,'HB-D1 Besondere Lstg Land'!M157=TRUE),(IF('HB-D1 Besondere Lstg Land'!H157&gt;0,"v.H.","pauschal")),IF(AND(Projektgrundlagen!$I$23,'HB-D2 Besondere Lstg Bund'!M157=TRUE),(IF('HB-D2 Besondere Lstg Bund'!H157&gt;0,"v.H.","pauschal")),"")))</f>
        <v/>
      </c>
      <c r="E206" s="1246" t="str">
        <f>IF(AND(Projektgrundlagen!$I$21,'StB-D1 Besondere Lstg'!M157=TRUE),'StB-D1 Besondere Lstg'!J157,IF(AND(Projektgrundlagen!$I$22,'HB-D1 Besondere Lstg Land'!M157=TRUE),'HB-D1 Besondere Lstg Land'!H157+'HB-D1 Besondere Lstg Land'!J157,IF(AND(Projektgrundlagen!$I$23,'HB-D2 Besondere Lstg Bund'!M157=TRUE),'HB-D2 Besondere Lstg Bund'!H157+'HB-D2 Besondere Lstg Bund'!J157,"")))</f>
        <v/>
      </c>
      <c r="F206" s="1246" t="str">
        <f>IF(AND(Projektgrundlagen!$I$21,'StB-D1 Besondere Lstg'!M157=TRUE),'StB-D1 Besondere Lstg'!K157,IF(AND(Projektgrundlagen!$I$22,'HB-D1 Besondere Lstg Land'!M157=TRUE),'HB-D1 Besondere Lstg Land'!K157,IF(AND(Projektgrundlagen!$I$23,'HB-D2 Besondere Lstg Bund'!M157=TRUE),'HB-D2 Besondere Lstg Bund'!K157,"")))</f>
        <v/>
      </c>
      <c r="G206" s="1253"/>
      <c r="H206" s="1254"/>
    </row>
    <row r="207" spans="2:8" ht="14.4">
      <c r="B207" t="str">
        <f>IF(AND(Projektgrundlagen!$I$21,'StB-D1 Besondere Lstg'!M158=TRUE),'StB-D1 Besondere Lstg'!C158&amp;" "&amp;'StB-D1 Besondere Lstg'!F158&amp;" "&amp;'StB-D1 Besondere Lstg'!F159,IF(AND(Projektgrundlagen!$I$22,'HB-D1 Besondere Lstg Land'!M158=TRUE),'HB-D1 Besondere Lstg Land'!C158&amp;" "&amp;'HB-D1 Besondere Lstg Land'!F158&amp;" "&amp;'HB-D1 Besondere Lstg Land'!F159,IF(AND(Projektgrundlagen!$I$23,'HB-D2 Besondere Lstg Bund'!M158=TRUE),'HB-D2 Besondere Lstg Bund'!C158&amp;" "&amp;'HB-D2 Besondere Lstg Bund'!F158&amp;" "&amp;'HB-D2 Besondere Lstg Bund'!F159,"")))</f>
        <v/>
      </c>
      <c r="C207" s="1246" t="str">
        <f>IF(AND(Projektgrundlagen!$I$21,'StB-D1 Besondere Lstg'!M158=TRUE),'StB-D1 Besondere Lstg'!H158,"")</f>
        <v/>
      </c>
      <c r="D207" s="1246" t="str">
        <f>IF(AND(Projektgrundlagen!$I$21,'StB-D1 Besondere Lstg'!M158=TRUE),'StB-D1 Besondere Lstg'!I158,IF(AND(Projektgrundlagen!$I$22,'HB-D1 Besondere Lstg Land'!M158=TRUE),(IF('HB-D1 Besondere Lstg Land'!H158&gt;0,"v.H.","pauschal")),IF(AND(Projektgrundlagen!$I$23,'HB-D2 Besondere Lstg Bund'!M158=TRUE),(IF('HB-D2 Besondere Lstg Bund'!H158&gt;0,"v.H.","pauschal")),"")))</f>
        <v/>
      </c>
      <c r="E207" s="1246" t="str">
        <f>IF(AND(Projektgrundlagen!$I$21,'StB-D1 Besondere Lstg'!M158=TRUE),'StB-D1 Besondere Lstg'!J158,IF(AND(Projektgrundlagen!$I$22,'HB-D1 Besondere Lstg Land'!M158=TRUE),'HB-D1 Besondere Lstg Land'!H158+'HB-D1 Besondere Lstg Land'!J158,IF(AND(Projektgrundlagen!$I$23,'HB-D2 Besondere Lstg Bund'!M158=TRUE),'HB-D2 Besondere Lstg Bund'!H158+'HB-D2 Besondere Lstg Bund'!J158,"")))</f>
        <v/>
      </c>
      <c r="F207" s="1246" t="str">
        <f>IF(AND(Projektgrundlagen!$I$21,'StB-D1 Besondere Lstg'!M158=TRUE),'StB-D1 Besondere Lstg'!K158,IF(AND(Projektgrundlagen!$I$22,'HB-D1 Besondere Lstg Land'!M158=TRUE),'HB-D1 Besondere Lstg Land'!K158,IF(AND(Projektgrundlagen!$I$23,'HB-D2 Besondere Lstg Bund'!M158=TRUE),'HB-D2 Besondere Lstg Bund'!K158,"")))</f>
        <v/>
      </c>
      <c r="G207" s="1253"/>
      <c r="H207" s="1254"/>
    </row>
    <row r="208" spans="2:8" ht="14.4">
      <c r="B208" t="str">
        <f>IF(AND(Projektgrundlagen!$I$21,'StB-D1 Besondere Lstg'!M159=TRUE),'StB-D1 Besondere Lstg'!C159&amp;" "&amp;'StB-D1 Besondere Lstg'!F159&amp;" "&amp;'StB-D1 Besondere Lstg'!F160,IF(AND(Projektgrundlagen!$I$22,'HB-D1 Besondere Lstg Land'!M159=TRUE),'HB-D1 Besondere Lstg Land'!C159&amp;" "&amp;'HB-D1 Besondere Lstg Land'!F159&amp;" "&amp;'HB-D1 Besondere Lstg Land'!F160,IF(AND(Projektgrundlagen!$I$23,'HB-D2 Besondere Lstg Bund'!M159=TRUE),'HB-D2 Besondere Lstg Bund'!C159&amp;" "&amp;'HB-D2 Besondere Lstg Bund'!F159&amp;" "&amp;'HB-D2 Besondere Lstg Bund'!F160,"")))</f>
        <v/>
      </c>
      <c r="C208" s="1246" t="str">
        <f>IF(AND(Projektgrundlagen!$I$21,'StB-D1 Besondere Lstg'!M159=TRUE),'StB-D1 Besondere Lstg'!H159,"")</f>
        <v/>
      </c>
      <c r="D208" s="1246" t="str">
        <f>IF(AND(Projektgrundlagen!$I$21,'StB-D1 Besondere Lstg'!M159=TRUE),'StB-D1 Besondere Lstg'!I159,IF(AND(Projektgrundlagen!$I$22,'HB-D1 Besondere Lstg Land'!M159=TRUE),(IF('HB-D1 Besondere Lstg Land'!H159&gt;0,"v.H.","pauschal")),IF(AND(Projektgrundlagen!$I$23,'HB-D2 Besondere Lstg Bund'!M159=TRUE),(IF('HB-D2 Besondere Lstg Bund'!H159&gt;0,"v.H.","pauschal")),"")))</f>
        <v/>
      </c>
      <c r="E208" s="1246" t="str">
        <f>IF(AND(Projektgrundlagen!$I$21,'StB-D1 Besondere Lstg'!M159=TRUE),'StB-D1 Besondere Lstg'!J159,IF(AND(Projektgrundlagen!$I$22,'HB-D1 Besondere Lstg Land'!M159=TRUE),'HB-D1 Besondere Lstg Land'!H159+'HB-D1 Besondere Lstg Land'!J159,IF(AND(Projektgrundlagen!$I$23,'HB-D2 Besondere Lstg Bund'!M159=TRUE),'HB-D2 Besondere Lstg Bund'!H159+'HB-D2 Besondere Lstg Bund'!J159,"")))</f>
        <v/>
      </c>
      <c r="F208" s="1246" t="str">
        <f>IF(AND(Projektgrundlagen!$I$21,'StB-D1 Besondere Lstg'!M159=TRUE),'StB-D1 Besondere Lstg'!K159,IF(AND(Projektgrundlagen!$I$22,'HB-D1 Besondere Lstg Land'!M159=TRUE),'HB-D1 Besondere Lstg Land'!K159,IF(AND(Projektgrundlagen!$I$23,'HB-D2 Besondere Lstg Bund'!M159=TRUE),'HB-D2 Besondere Lstg Bund'!K159,"")))</f>
        <v/>
      </c>
      <c r="G208" s="1253"/>
      <c r="H208" s="1254"/>
    </row>
    <row r="209" spans="2:8" ht="14.4">
      <c r="B209" t="str">
        <f>IF(AND(Projektgrundlagen!$I$21,'StB-D1 Besondere Lstg'!M160=TRUE),'StB-D1 Besondere Lstg'!C160&amp;" "&amp;'StB-D1 Besondere Lstg'!F160&amp;" "&amp;'StB-D1 Besondere Lstg'!F161,IF(AND(Projektgrundlagen!$I$22,'HB-D1 Besondere Lstg Land'!M160=TRUE),'HB-D1 Besondere Lstg Land'!C160&amp;" "&amp;'HB-D1 Besondere Lstg Land'!F160&amp;" "&amp;'HB-D1 Besondere Lstg Land'!F161,IF(AND(Projektgrundlagen!$I$23,'HB-D2 Besondere Lstg Bund'!M160=TRUE),'HB-D2 Besondere Lstg Bund'!C160&amp;" "&amp;'HB-D2 Besondere Lstg Bund'!F160&amp;" "&amp;'HB-D2 Besondere Lstg Bund'!F161,"")))</f>
        <v/>
      </c>
      <c r="C209" s="1246" t="str">
        <f>IF(AND(Projektgrundlagen!$I$21,'StB-D1 Besondere Lstg'!M160=TRUE),'StB-D1 Besondere Lstg'!H160,"")</f>
        <v/>
      </c>
      <c r="D209" s="1246" t="str">
        <f>IF(AND(Projektgrundlagen!$I$21,'StB-D1 Besondere Lstg'!M160=TRUE),'StB-D1 Besondere Lstg'!I160,IF(AND(Projektgrundlagen!$I$22,'HB-D1 Besondere Lstg Land'!M160=TRUE),(IF('HB-D1 Besondere Lstg Land'!H160&gt;0,"v.H.","pauschal")),IF(AND(Projektgrundlagen!$I$23,'HB-D2 Besondere Lstg Bund'!M160=TRUE),(IF('HB-D2 Besondere Lstg Bund'!H160&gt;0,"v.H.","pauschal")),"")))</f>
        <v/>
      </c>
      <c r="E209" s="1246" t="str">
        <f>IF(AND(Projektgrundlagen!$I$21,'StB-D1 Besondere Lstg'!M160=TRUE),'StB-D1 Besondere Lstg'!J160,IF(AND(Projektgrundlagen!$I$22,'HB-D1 Besondere Lstg Land'!M160=TRUE),'HB-D1 Besondere Lstg Land'!H160+'HB-D1 Besondere Lstg Land'!J160,IF(AND(Projektgrundlagen!$I$23,'HB-D2 Besondere Lstg Bund'!M160=TRUE),'HB-D2 Besondere Lstg Bund'!H160+'HB-D2 Besondere Lstg Bund'!J160,"")))</f>
        <v/>
      </c>
      <c r="F209" s="1246" t="str">
        <f>IF(AND(Projektgrundlagen!$I$21,'StB-D1 Besondere Lstg'!M160=TRUE),'StB-D1 Besondere Lstg'!K160,IF(AND(Projektgrundlagen!$I$22,'HB-D1 Besondere Lstg Land'!M160=TRUE),'HB-D1 Besondere Lstg Land'!K160,IF(AND(Projektgrundlagen!$I$23,'HB-D2 Besondere Lstg Bund'!M160=TRUE),'HB-D2 Besondere Lstg Bund'!K160,"")))</f>
        <v/>
      </c>
      <c r="G209" s="1253"/>
      <c r="H209" s="1254"/>
    </row>
    <row r="210" spans="2:8" ht="14.4">
      <c r="B210" t="str">
        <f>IF(AND(Projektgrundlagen!$I$21,'StB-D1 Besondere Lstg'!M161=TRUE),'StB-D1 Besondere Lstg'!C161&amp;" "&amp;'StB-D1 Besondere Lstg'!F161&amp;" "&amp;'StB-D1 Besondere Lstg'!F162,IF(AND(Projektgrundlagen!$I$22,'HB-D1 Besondere Lstg Land'!M161=TRUE),'HB-D1 Besondere Lstg Land'!C161&amp;" "&amp;'HB-D1 Besondere Lstg Land'!F161&amp;" "&amp;'HB-D1 Besondere Lstg Land'!F162,IF(AND(Projektgrundlagen!$I$23,'HB-D2 Besondere Lstg Bund'!M161=TRUE),'HB-D2 Besondere Lstg Bund'!C161&amp;" "&amp;'HB-D2 Besondere Lstg Bund'!F161&amp;" "&amp;'HB-D2 Besondere Lstg Bund'!F162,"")))</f>
        <v/>
      </c>
      <c r="C210" s="1246" t="str">
        <f>IF(AND(Projektgrundlagen!$I$21,'StB-D1 Besondere Lstg'!M161=TRUE),'StB-D1 Besondere Lstg'!H161,"")</f>
        <v/>
      </c>
      <c r="D210" s="1246" t="str">
        <f>IF(AND(Projektgrundlagen!$I$21,'StB-D1 Besondere Lstg'!M161=TRUE),'StB-D1 Besondere Lstg'!I161,IF(AND(Projektgrundlagen!$I$22,'HB-D1 Besondere Lstg Land'!M161=TRUE),(IF('HB-D1 Besondere Lstg Land'!H161&gt;0,"v.H.","pauschal")),IF(AND(Projektgrundlagen!$I$23,'HB-D2 Besondere Lstg Bund'!M161=TRUE),(IF('HB-D2 Besondere Lstg Bund'!H161&gt;0,"v.H.","pauschal")),"")))</f>
        <v/>
      </c>
      <c r="E210" s="1246" t="str">
        <f>IF(AND(Projektgrundlagen!$I$21,'StB-D1 Besondere Lstg'!M161=TRUE),'StB-D1 Besondere Lstg'!J161,IF(AND(Projektgrundlagen!$I$22,'HB-D1 Besondere Lstg Land'!M161=TRUE),'HB-D1 Besondere Lstg Land'!H161+'HB-D1 Besondere Lstg Land'!J161,IF(AND(Projektgrundlagen!$I$23,'HB-D2 Besondere Lstg Bund'!M161=TRUE),'HB-D2 Besondere Lstg Bund'!H161+'HB-D2 Besondere Lstg Bund'!J161,"")))</f>
        <v/>
      </c>
      <c r="F210" s="1246" t="str">
        <f>IF(AND(Projektgrundlagen!$I$21,'StB-D1 Besondere Lstg'!M161=TRUE),'StB-D1 Besondere Lstg'!K161,IF(AND(Projektgrundlagen!$I$22,'HB-D1 Besondere Lstg Land'!M161=TRUE),'HB-D1 Besondere Lstg Land'!K161,IF(AND(Projektgrundlagen!$I$23,'HB-D2 Besondere Lstg Bund'!M161=TRUE),'HB-D2 Besondere Lstg Bund'!K161,"")))</f>
        <v/>
      </c>
      <c r="G210" s="1253"/>
      <c r="H210" s="1254"/>
    </row>
    <row r="211" spans="2:8" ht="14.4">
      <c r="B211" t="str">
        <f>IF(AND(Projektgrundlagen!$I$21,'StB-D1 Besondere Lstg'!M162=TRUE),'StB-D1 Besondere Lstg'!C162&amp;" "&amp;'StB-D1 Besondere Lstg'!F162&amp;" "&amp;'StB-D1 Besondere Lstg'!F163,IF(AND(Projektgrundlagen!$I$22,'HB-D1 Besondere Lstg Land'!M162=TRUE),'HB-D1 Besondere Lstg Land'!C162&amp;" "&amp;'HB-D1 Besondere Lstg Land'!F162&amp;" "&amp;'HB-D1 Besondere Lstg Land'!F163,IF(AND(Projektgrundlagen!$I$23,'HB-D2 Besondere Lstg Bund'!M162=TRUE),'HB-D2 Besondere Lstg Bund'!C162&amp;" "&amp;'HB-D2 Besondere Lstg Bund'!F162&amp;" "&amp;'HB-D2 Besondere Lstg Bund'!F163,"")))</f>
        <v/>
      </c>
      <c r="C211" s="1246" t="str">
        <f>IF(AND(Projektgrundlagen!$I$21,'StB-D1 Besondere Lstg'!M162=TRUE),'StB-D1 Besondere Lstg'!H162,"")</f>
        <v/>
      </c>
      <c r="D211" s="1246" t="str">
        <f>IF(AND(Projektgrundlagen!$I$21,'StB-D1 Besondere Lstg'!M162=TRUE),'StB-D1 Besondere Lstg'!I162,IF(AND(Projektgrundlagen!$I$22,'HB-D1 Besondere Lstg Land'!M162=TRUE),(IF('HB-D1 Besondere Lstg Land'!H162&gt;0,"v.H.","pauschal")),IF(AND(Projektgrundlagen!$I$23,'HB-D2 Besondere Lstg Bund'!M162=TRUE),(IF('HB-D2 Besondere Lstg Bund'!H162&gt;0,"v.H.","pauschal")),"")))</f>
        <v/>
      </c>
      <c r="E211" s="1246" t="str">
        <f>IF(AND(Projektgrundlagen!$I$21,'StB-D1 Besondere Lstg'!M162=TRUE),'StB-D1 Besondere Lstg'!J162,IF(AND(Projektgrundlagen!$I$22,'HB-D1 Besondere Lstg Land'!M162=TRUE),'HB-D1 Besondere Lstg Land'!H162+'HB-D1 Besondere Lstg Land'!J162,IF(AND(Projektgrundlagen!$I$23,'HB-D2 Besondere Lstg Bund'!M162=TRUE),'HB-D2 Besondere Lstg Bund'!H162+'HB-D2 Besondere Lstg Bund'!J162,"")))</f>
        <v/>
      </c>
      <c r="F211" s="1246" t="str">
        <f>IF(AND(Projektgrundlagen!$I$21,'StB-D1 Besondere Lstg'!M162=TRUE),'StB-D1 Besondere Lstg'!K162,IF(AND(Projektgrundlagen!$I$22,'HB-D1 Besondere Lstg Land'!M162=TRUE),'HB-D1 Besondere Lstg Land'!K162,IF(AND(Projektgrundlagen!$I$23,'HB-D2 Besondere Lstg Bund'!M162=TRUE),'HB-D2 Besondere Lstg Bund'!K162,"")))</f>
        <v/>
      </c>
      <c r="G211" s="1253"/>
      <c r="H211" s="1254"/>
    </row>
    <row r="212" spans="2:8" ht="14.4">
      <c r="B212" t="str">
        <f>IF(AND(Projektgrundlagen!$I$21,'StB-D1 Besondere Lstg'!M163=TRUE),'StB-D1 Besondere Lstg'!C163&amp;" "&amp;'StB-D1 Besondere Lstg'!F163&amp;" "&amp;'StB-D1 Besondere Lstg'!F164,IF(AND(Projektgrundlagen!$I$22,'HB-D1 Besondere Lstg Land'!M163=TRUE),'HB-D1 Besondere Lstg Land'!C163&amp;" "&amp;'HB-D1 Besondere Lstg Land'!F163&amp;" "&amp;'HB-D1 Besondere Lstg Land'!F164,IF(AND(Projektgrundlagen!$I$23,'HB-D2 Besondere Lstg Bund'!M163=TRUE),'HB-D2 Besondere Lstg Bund'!C163&amp;" "&amp;'HB-D2 Besondere Lstg Bund'!F163&amp;" "&amp;'HB-D2 Besondere Lstg Bund'!F164,"")))</f>
        <v/>
      </c>
      <c r="C212" s="1246" t="str">
        <f>IF(AND(Projektgrundlagen!$I$21,'StB-D1 Besondere Lstg'!M163=TRUE),'StB-D1 Besondere Lstg'!H163,"")</f>
        <v/>
      </c>
      <c r="D212" s="1246" t="str">
        <f>IF(AND(Projektgrundlagen!$I$21,'StB-D1 Besondere Lstg'!M163=TRUE),'StB-D1 Besondere Lstg'!I163,IF(AND(Projektgrundlagen!$I$22,'HB-D1 Besondere Lstg Land'!M163=TRUE),(IF('HB-D1 Besondere Lstg Land'!H163&gt;0,"v.H.","pauschal")),IF(AND(Projektgrundlagen!$I$23,'HB-D2 Besondere Lstg Bund'!M163=TRUE),(IF('HB-D2 Besondere Lstg Bund'!H163&gt;0,"v.H.","pauschal")),"")))</f>
        <v/>
      </c>
      <c r="E212" s="1246" t="str">
        <f>IF(AND(Projektgrundlagen!$I$21,'StB-D1 Besondere Lstg'!M163=TRUE),'StB-D1 Besondere Lstg'!J163,IF(AND(Projektgrundlagen!$I$22,'HB-D1 Besondere Lstg Land'!M163=TRUE),'HB-D1 Besondere Lstg Land'!H163+'HB-D1 Besondere Lstg Land'!J163,IF(AND(Projektgrundlagen!$I$23,'HB-D2 Besondere Lstg Bund'!M163=TRUE),'HB-D2 Besondere Lstg Bund'!H163+'HB-D2 Besondere Lstg Bund'!J163,"")))</f>
        <v/>
      </c>
      <c r="F212" s="1246" t="str">
        <f>IF(AND(Projektgrundlagen!$I$21,'StB-D1 Besondere Lstg'!M163=TRUE),'StB-D1 Besondere Lstg'!K163,IF(AND(Projektgrundlagen!$I$22,'HB-D1 Besondere Lstg Land'!M163=TRUE),'HB-D1 Besondere Lstg Land'!K163,IF(AND(Projektgrundlagen!$I$23,'HB-D2 Besondere Lstg Bund'!M163=TRUE),'HB-D2 Besondere Lstg Bund'!K163,"")))</f>
        <v/>
      </c>
      <c r="G212" s="1253"/>
      <c r="H212" s="1254"/>
    </row>
    <row r="213" spans="2:8" ht="14.4">
      <c r="B213" t="str">
        <f>IF(AND(Projektgrundlagen!$I$21,'StB-D1 Besondere Lstg'!M164=TRUE),'StB-D1 Besondere Lstg'!C164&amp;" "&amp;'StB-D1 Besondere Lstg'!F164&amp;" "&amp;'StB-D1 Besondere Lstg'!F165,IF(AND(Projektgrundlagen!$I$22,'HB-D1 Besondere Lstg Land'!M164=TRUE),'HB-D1 Besondere Lstg Land'!C164&amp;" "&amp;'HB-D1 Besondere Lstg Land'!F164&amp;" "&amp;'HB-D1 Besondere Lstg Land'!F165,IF(AND(Projektgrundlagen!$I$23,'HB-D2 Besondere Lstg Bund'!M164=TRUE),'HB-D2 Besondere Lstg Bund'!C164&amp;" "&amp;'HB-D2 Besondere Lstg Bund'!F164&amp;" "&amp;'HB-D2 Besondere Lstg Bund'!F165,"")))</f>
        <v/>
      </c>
      <c r="C213" s="1246" t="str">
        <f>IF(AND(Projektgrundlagen!$I$21,'StB-D1 Besondere Lstg'!M164=TRUE),'StB-D1 Besondere Lstg'!H164,"")</f>
        <v/>
      </c>
      <c r="D213" s="1246" t="str">
        <f>IF(AND(Projektgrundlagen!$I$21,'StB-D1 Besondere Lstg'!M164=TRUE),'StB-D1 Besondere Lstg'!I164,IF(AND(Projektgrundlagen!$I$22,'HB-D1 Besondere Lstg Land'!M164=TRUE),(IF('HB-D1 Besondere Lstg Land'!H164&gt;0,"v.H.","pauschal")),IF(AND(Projektgrundlagen!$I$23,'HB-D2 Besondere Lstg Bund'!M164=TRUE),(IF('HB-D2 Besondere Lstg Bund'!H164&gt;0,"v.H.","pauschal")),"")))</f>
        <v/>
      </c>
      <c r="E213" s="1246" t="str">
        <f>IF(AND(Projektgrundlagen!$I$21,'StB-D1 Besondere Lstg'!M164=TRUE),'StB-D1 Besondere Lstg'!J164,IF(AND(Projektgrundlagen!$I$22,'HB-D1 Besondere Lstg Land'!M164=TRUE),'HB-D1 Besondere Lstg Land'!H164+'HB-D1 Besondere Lstg Land'!J164,IF(AND(Projektgrundlagen!$I$23,'HB-D2 Besondere Lstg Bund'!M164=TRUE),'HB-D2 Besondere Lstg Bund'!H164+'HB-D2 Besondere Lstg Bund'!J164,"")))</f>
        <v/>
      </c>
      <c r="F213" s="1246" t="str">
        <f>IF(AND(Projektgrundlagen!$I$21,'StB-D1 Besondere Lstg'!M164=TRUE),'StB-D1 Besondere Lstg'!K164,IF(AND(Projektgrundlagen!$I$22,'HB-D1 Besondere Lstg Land'!M164=TRUE),'HB-D1 Besondere Lstg Land'!K164,IF(AND(Projektgrundlagen!$I$23,'HB-D2 Besondere Lstg Bund'!M164=TRUE),'HB-D2 Besondere Lstg Bund'!K164,"")))</f>
        <v/>
      </c>
      <c r="G213" s="1253"/>
      <c r="H213" s="1254"/>
    </row>
    <row r="214" spans="2:8" ht="14.4">
      <c r="B214" t="str">
        <f>IF(AND(Projektgrundlagen!$I$21,'StB-D1 Besondere Lstg'!M165=TRUE),'StB-D1 Besondere Lstg'!C165&amp;" "&amp;'StB-D1 Besondere Lstg'!F165&amp;" "&amp;'StB-D1 Besondere Lstg'!F166,IF(AND(Projektgrundlagen!$I$22,'HB-D1 Besondere Lstg Land'!M165=TRUE),'HB-D1 Besondere Lstg Land'!C165&amp;" "&amp;'HB-D1 Besondere Lstg Land'!F165&amp;" "&amp;'HB-D1 Besondere Lstg Land'!F166,IF(AND(Projektgrundlagen!$I$23,'HB-D2 Besondere Lstg Bund'!M165=TRUE),'HB-D2 Besondere Lstg Bund'!C165&amp;" "&amp;'HB-D2 Besondere Lstg Bund'!F165&amp;" "&amp;'HB-D2 Besondere Lstg Bund'!F166,"")))</f>
        <v/>
      </c>
      <c r="C214" s="1246" t="str">
        <f>IF(AND(Projektgrundlagen!$I$21,'StB-D1 Besondere Lstg'!M165=TRUE),'StB-D1 Besondere Lstg'!H165,"")</f>
        <v/>
      </c>
      <c r="D214" s="1246" t="str">
        <f>IF(AND(Projektgrundlagen!$I$21,'StB-D1 Besondere Lstg'!M165=TRUE),'StB-D1 Besondere Lstg'!I165,IF(AND(Projektgrundlagen!$I$22,'HB-D1 Besondere Lstg Land'!M165=TRUE),(IF('HB-D1 Besondere Lstg Land'!H165&gt;0,"v.H.","pauschal")),IF(AND(Projektgrundlagen!$I$23,'HB-D2 Besondere Lstg Bund'!M165=TRUE),(IF('HB-D2 Besondere Lstg Bund'!H165&gt;0,"v.H.","pauschal")),"")))</f>
        <v/>
      </c>
      <c r="E214" s="1246" t="str">
        <f>IF(AND(Projektgrundlagen!$I$21,'StB-D1 Besondere Lstg'!M165=TRUE),'StB-D1 Besondere Lstg'!J165,IF(AND(Projektgrundlagen!$I$22,'HB-D1 Besondere Lstg Land'!M165=TRUE),'HB-D1 Besondere Lstg Land'!H165+'HB-D1 Besondere Lstg Land'!J165,IF(AND(Projektgrundlagen!$I$23,'HB-D2 Besondere Lstg Bund'!M165=TRUE),'HB-D2 Besondere Lstg Bund'!H165+'HB-D2 Besondere Lstg Bund'!J165,"")))</f>
        <v/>
      </c>
      <c r="F214" s="1246" t="str">
        <f>IF(AND(Projektgrundlagen!$I$21,'StB-D1 Besondere Lstg'!M165=TRUE),'StB-D1 Besondere Lstg'!K165,IF(AND(Projektgrundlagen!$I$22,'HB-D1 Besondere Lstg Land'!M165=TRUE),'HB-D1 Besondere Lstg Land'!K165,IF(AND(Projektgrundlagen!$I$23,'HB-D2 Besondere Lstg Bund'!M165=TRUE),'HB-D2 Besondere Lstg Bund'!K165,"")))</f>
        <v/>
      </c>
      <c r="G214" s="1253"/>
      <c r="H214" s="1254"/>
    </row>
    <row r="215" spans="2:8" ht="14.4">
      <c r="B215" t="str">
        <f>IF(AND(Projektgrundlagen!$I$21,'StB-D1 Besondere Lstg'!M166=TRUE),'StB-D1 Besondere Lstg'!C166&amp;" "&amp;'StB-D1 Besondere Lstg'!F166&amp;" "&amp;'StB-D1 Besondere Lstg'!F167,IF(AND(Projektgrundlagen!$I$22,'HB-D1 Besondere Lstg Land'!M166=TRUE),'HB-D1 Besondere Lstg Land'!C166&amp;" "&amp;'HB-D1 Besondere Lstg Land'!F166&amp;" "&amp;'HB-D1 Besondere Lstg Land'!F167,IF(AND(Projektgrundlagen!$I$23,'HB-D2 Besondere Lstg Bund'!M166=TRUE),'HB-D2 Besondere Lstg Bund'!C166&amp;" "&amp;'HB-D2 Besondere Lstg Bund'!F166&amp;" "&amp;'HB-D2 Besondere Lstg Bund'!F167,"")))</f>
        <v/>
      </c>
      <c r="C215" s="1246" t="str">
        <f>IF(AND(Projektgrundlagen!$I$21,'StB-D1 Besondere Lstg'!M166=TRUE),'StB-D1 Besondere Lstg'!H166,"")</f>
        <v/>
      </c>
      <c r="D215" s="1246" t="str">
        <f>IF(AND(Projektgrundlagen!$I$21,'StB-D1 Besondere Lstg'!M166=TRUE),'StB-D1 Besondere Lstg'!I166,IF(AND(Projektgrundlagen!$I$22,'HB-D1 Besondere Lstg Land'!M166=TRUE),(IF('HB-D1 Besondere Lstg Land'!H166&gt;0,"v.H.","pauschal")),IF(AND(Projektgrundlagen!$I$23,'HB-D2 Besondere Lstg Bund'!M166=TRUE),(IF('HB-D2 Besondere Lstg Bund'!H166&gt;0,"v.H.","pauschal")),"")))</f>
        <v/>
      </c>
      <c r="E215" s="1246" t="str">
        <f>IF(AND(Projektgrundlagen!$I$21,'StB-D1 Besondere Lstg'!M166=TRUE),'StB-D1 Besondere Lstg'!J166,IF(AND(Projektgrundlagen!$I$22,'HB-D1 Besondere Lstg Land'!M166=TRUE),'HB-D1 Besondere Lstg Land'!H166+'HB-D1 Besondere Lstg Land'!J166,IF(AND(Projektgrundlagen!$I$23,'HB-D2 Besondere Lstg Bund'!M166=TRUE),'HB-D2 Besondere Lstg Bund'!H166+'HB-D2 Besondere Lstg Bund'!J166,"")))</f>
        <v/>
      </c>
      <c r="F215" s="1246" t="str">
        <f>IF(AND(Projektgrundlagen!$I$21,'StB-D1 Besondere Lstg'!M166=TRUE),'StB-D1 Besondere Lstg'!K166,IF(AND(Projektgrundlagen!$I$22,'HB-D1 Besondere Lstg Land'!M166=TRUE),'HB-D1 Besondere Lstg Land'!K166,IF(AND(Projektgrundlagen!$I$23,'HB-D2 Besondere Lstg Bund'!M166=TRUE),'HB-D2 Besondere Lstg Bund'!K166,"")))</f>
        <v/>
      </c>
      <c r="G215" s="1253"/>
      <c r="H215" s="1254"/>
    </row>
    <row r="216" spans="2:8" ht="14.4">
      <c r="B216" t="str">
        <f>IF(AND(Projektgrundlagen!$I$21,'StB-D1 Besondere Lstg'!M167=TRUE),'StB-D1 Besondere Lstg'!C167&amp;" "&amp;'StB-D1 Besondere Lstg'!F167&amp;" "&amp;'StB-D1 Besondere Lstg'!F168,IF(AND(Projektgrundlagen!$I$22,'HB-D1 Besondere Lstg Land'!M167=TRUE),'HB-D1 Besondere Lstg Land'!C167&amp;" "&amp;'HB-D1 Besondere Lstg Land'!F167&amp;" "&amp;'HB-D1 Besondere Lstg Land'!F168,IF(AND(Projektgrundlagen!$I$23,'HB-D2 Besondere Lstg Bund'!M167=TRUE),'HB-D2 Besondere Lstg Bund'!C167&amp;" "&amp;'HB-D2 Besondere Lstg Bund'!F167&amp;" "&amp;'HB-D2 Besondere Lstg Bund'!F168,"")))</f>
        <v/>
      </c>
      <c r="C216" s="1246" t="str">
        <f>IF(AND(Projektgrundlagen!$I$21,'StB-D1 Besondere Lstg'!M167=TRUE),'StB-D1 Besondere Lstg'!H167,"")</f>
        <v/>
      </c>
      <c r="D216" s="1246" t="str">
        <f>IF(AND(Projektgrundlagen!$I$21,'StB-D1 Besondere Lstg'!M167=TRUE),'StB-D1 Besondere Lstg'!I167,IF(AND(Projektgrundlagen!$I$22,'HB-D1 Besondere Lstg Land'!M167=TRUE),(IF('HB-D1 Besondere Lstg Land'!H167&gt;0,"v.H.","pauschal")),IF(AND(Projektgrundlagen!$I$23,'HB-D2 Besondere Lstg Bund'!M167=TRUE),(IF('HB-D2 Besondere Lstg Bund'!H167&gt;0,"v.H.","pauschal")),"")))</f>
        <v/>
      </c>
      <c r="E216" s="1246" t="str">
        <f>IF(AND(Projektgrundlagen!$I$21,'StB-D1 Besondere Lstg'!M167=TRUE),'StB-D1 Besondere Lstg'!J167,IF(AND(Projektgrundlagen!$I$22,'HB-D1 Besondere Lstg Land'!M167=TRUE),'HB-D1 Besondere Lstg Land'!H167+'HB-D1 Besondere Lstg Land'!J167,IF(AND(Projektgrundlagen!$I$23,'HB-D2 Besondere Lstg Bund'!M167=TRUE),'HB-D2 Besondere Lstg Bund'!H167+'HB-D2 Besondere Lstg Bund'!J167,"")))</f>
        <v/>
      </c>
      <c r="F216" s="1246" t="str">
        <f>IF(AND(Projektgrundlagen!$I$21,'StB-D1 Besondere Lstg'!M167=TRUE),'StB-D1 Besondere Lstg'!K167,IF(AND(Projektgrundlagen!$I$22,'HB-D1 Besondere Lstg Land'!M167=TRUE),'HB-D1 Besondere Lstg Land'!K167,IF(AND(Projektgrundlagen!$I$23,'HB-D2 Besondere Lstg Bund'!M167=TRUE),'HB-D2 Besondere Lstg Bund'!K167,"")))</f>
        <v/>
      </c>
      <c r="G216" s="1253"/>
      <c r="H216" s="1254"/>
    </row>
    <row r="217" spans="2:8" ht="14.4">
      <c r="B217" t="str">
        <f>IF(AND(Projektgrundlagen!$I$21,'StB-D1 Besondere Lstg'!M168=TRUE),'StB-D1 Besondere Lstg'!C168&amp;" "&amp;'StB-D1 Besondere Lstg'!F168&amp;" "&amp;'StB-D1 Besondere Lstg'!F169,IF(AND(Projektgrundlagen!$I$22,'HB-D1 Besondere Lstg Land'!M168=TRUE),'HB-D1 Besondere Lstg Land'!C168&amp;" "&amp;'HB-D1 Besondere Lstg Land'!F168&amp;" "&amp;'HB-D1 Besondere Lstg Land'!F169,IF(AND(Projektgrundlagen!$I$23,'HB-D2 Besondere Lstg Bund'!M168=TRUE),'HB-D2 Besondere Lstg Bund'!C168&amp;" "&amp;'HB-D2 Besondere Lstg Bund'!F168&amp;" "&amp;'HB-D2 Besondere Lstg Bund'!F169,"")))</f>
        <v/>
      </c>
      <c r="C217" s="1246" t="str">
        <f>IF(AND(Projektgrundlagen!$I$21,'StB-D1 Besondere Lstg'!M168=TRUE),'StB-D1 Besondere Lstg'!H168,"")</f>
        <v/>
      </c>
      <c r="D217" s="1246" t="str">
        <f>IF(AND(Projektgrundlagen!$I$21,'StB-D1 Besondere Lstg'!M168=TRUE),'StB-D1 Besondere Lstg'!I168,IF(AND(Projektgrundlagen!$I$22,'HB-D1 Besondere Lstg Land'!M168=TRUE),(IF('HB-D1 Besondere Lstg Land'!H168&gt;0,"v.H.","pauschal")),IF(AND(Projektgrundlagen!$I$23,'HB-D2 Besondere Lstg Bund'!M168=TRUE),(IF('HB-D2 Besondere Lstg Bund'!H168&gt;0,"v.H.","pauschal")),"")))</f>
        <v/>
      </c>
      <c r="E217" s="1246" t="str">
        <f>IF(AND(Projektgrundlagen!$I$21,'StB-D1 Besondere Lstg'!M168=TRUE),'StB-D1 Besondere Lstg'!J168,IF(AND(Projektgrundlagen!$I$22,'HB-D1 Besondere Lstg Land'!M168=TRUE),'HB-D1 Besondere Lstg Land'!H168+'HB-D1 Besondere Lstg Land'!J168,IF(AND(Projektgrundlagen!$I$23,'HB-D2 Besondere Lstg Bund'!M168=TRUE),'HB-D2 Besondere Lstg Bund'!H168+'HB-D2 Besondere Lstg Bund'!J168,"")))</f>
        <v/>
      </c>
      <c r="F217" s="1246" t="str">
        <f>IF(AND(Projektgrundlagen!$I$21,'StB-D1 Besondere Lstg'!M168=TRUE),'StB-D1 Besondere Lstg'!K168,IF(AND(Projektgrundlagen!$I$22,'HB-D1 Besondere Lstg Land'!M168=TRUE),'HB-D1 Besondere Lstg Land'!K168,IF(AND(Projektgrundlagen!$I$23,'HB-D2 Besondere Lstg Bund'!M168=TRUE),'HB-D2 Besondere Lstg Bund'!K168,"")))</f>
        <v/>
      </c>
      <c r="G217" s="1253"/>
      <c r="H217" s="1254"/>
    </row>
    <row r="218" spans="2:8" ht="14.4">
      <c r="B218" t="str">
        <f>IF(AND(Projektgrundlagen!$I$21,'StB-D1 Besondere Lstg'!M169=TRUE),'StB-D1 Besondere Lstg'!C169&amp;" "&amp;'StB-D1 Besondere Lstg'!F169&amp;" "&amp;'StB-D1 Besondere Lstg'!F170,IF(AND(Projektgrundlagen!$I$22,'HB-D1 Besondere Lstg Land'!M169=TRUE),'HB-D1 Besondere Lstg Land'!C169&amp;" "&amp;'HB-D1 Besondere Lstg Land'!F169&amp;" "&amp;'HB-D1 Besondere Lstg Land'!F170,IF(AND(Projektgrundlagen!$I$23,'HB-D2 Besondere Lstg Bund'!M169=TRUE),'HB-D2 Besondere Lstg Bund'!C169&amp;" "&amp;'HB-D2 Besondere Lstg Bund'!F169&amp;" "&amp;'HB-D2 Besondere Lstg Bund'!F170,"")))</f>
        <v/>
      </c>
      <c r="C218" s="1246" t="str">
        <f>IF(AND(Projektgrundlagen!$I$21,'StB-D1 Besondere Lstg'!M169=TRUE),'StB-D1 Besondere Lstg'!H169,"")</f>
        <v/>
      </c>
      <c r="D218" s="1246" t="str">
        <f>IF(AND(Projektgrundlagen!$I$21,'StB-D1 Besondere Lstg'!M169=TRUE),'StB-D1 Besondere Lstg'!I169,IF(AND(Projektgrundlagen!$I$22,'HB-D1 Besondere Lstg Land'!M169=TRUE),(IF('HB-D1 Besondere Lstg Land'!H169&gt;0,"v.H.","pauschal")),IF(AND(Projektgrundlagen!$I$23,'HB-D2 Besondere Lstg Bund'!M169=TRUE),(IF('HB-D2 Besondere Lstg Bund'!H169&gt;0,"v.H.","pauschal")),"")))</f>
        <v/>
      </c>
      <c r="E218" s="1246" t="str">
        <f>IF(AND(Projektgrundlagen!$I$21,'StB-D1 Besondere Lstg'!M169=TRUE),'StB-D1 Besondere Lstg'!J169,IF(AND(Projektgrundlagen!$I$22,'HB-D1 Besondere Lstg Land'!M169=TRUE),'HB-D1 Besondere Lstg Land'!H169+'HB-D1 Besondere Lstg Land'!J169,IF(AND(Projektgrundlagen!$I$23,'HB-D2 Besondere Lstg Bund'!M169=TRUE),'HB-D2 Besondere Lstg Bund'!H169+'HB-D2 Besondere Lstg Bund'!J169,"")))</f>
        <v/>
      </c>
      <c r="F218" s="1246" t="str">
        <f>IF(AND(Projektgrundlagen!$I$21,'StB-D1 Besondere Lstg'!M169=TRUE),'StB-D1 Besondere Lstg'!K169,IF(AND(Projektgrundlagen!$I$22,'HB-D1 Besondere Lstg Land'!M169=TRUE),'HB-D1 Besondere Lstg Land'!K169,IF(AND(Projektgrundlagen!$I$23,'HB-D2 Besondere Lstg Bund'!M169=TRUE),'HB-D2 Besondere Lstg Bund'!K169,"")))</f>
        <v/>
      </c>
      <c r="G218" s="1253"/>
      <c r="H218" s="1254"/>
    </row>
    <row r="219" spans="2:8" ht="14.4">
      <c r="B219" t="str">
        <f>IF(AND(Projektgrundlagen!$I$21,'StB-D1 Besondere Lstg'!M170=TRUE),'StB-D1 Besondere Lstg'!C170&amp;" "&amp;'StB-D1 Besondere Lstg'!F170&amp;" "&amp;'StB-D1 Besondere Lstg'!F171,IF(AND(Projektgrundlagen!$I$22,'HB-D1 Besondere Lstg Land'!M170=TRUE),'HB-D1 Besondere Lstg Land'!C170&amp;" "&amp;'HB-D1 Besondere Lstg Land'!F170&amp;" "&amp;'HB-D1 Besondere Lstg Land'!F171,IF(AND(Projektgrundlagen!$I$23,'HB-D2 Besondere Lstg Bund'!M170=TRUE),'HB-D2 Besondere Lstg Bund'!C170&amp;" "&amp;'HB-D2 Besondere Lstg Bund'!F170&amp;" "&amp;'HB-D2 Besondere Lstg Bund'!F171,"")))</f>
        <v/>
      </c>
      <c r="C219" s="1246" t="str">
        <f>IF(AND(Projektgrundlagen!$I$21,'StB-D1 Besondere Lstg'!M170=TRUE),'StB-D1 Besondere Lstg'!H170,"")</f>
        <v/>
      </c>
      <c r="D219" s="1246" t="str">
        <f>IF(AND(Projektgrundlagen!$I$21,'StB-D1 Besondere Lstg'!M170=TRUE),'StB-D1 Besondere Lstg'!I170,IF(AND(Projektgrundlagen!$I$22,'HB-D1 Besondere Lstg Land'!M170=TRUE),(IF('HB-D1 Besondere Lstg Land'!H170&gt;0,"v.H.","pauschal")),IF(AND(Projektgrundlagen!$I$23,'HB-D2 Besondere Lstg Bund'!M170=TRUE),(IF('HB-D2 Besondere Lstg Bund'!H170&gt;0,"v.H.","pauschal")),"")))</f>
        <v/>
      </c>
      <c r="E219" s="1246" t="str">
        <f>IF(AND(Projektgrundlagen!$I$21,'StB-D1 Besondere Lstg'!M170=TRUE),'StB-D1 Besondere Lstg'!J170,IF(AND(Projektgrundlagen!$I$22,'HB-D1 Besondere Lstg Land'!M170=TRUE),'HB-D1 Besondere Lstg Land'!H170+'HB-D1 Besondere Lstg Land'!J170,IF(AND(Projektgrundlagen!$I$23,'HB-D2 Besondere Lstg Bund'!M170=TRUE),'HB-D2 Besondere Lstg Bund'!H170+'HB-D2 Besondere Lstg Bund'!J170,"")))</f>
        <v/>
      </c>
      <c r="F219" s="1246" t="str">
        <f>IF(AND(Projektgrundlagen!$I$21,'StB-D1 Besondere Lstg'!M170=TRUE),'StB-D1 Besondere Lstg'!K170,IF(AND(Projektgrundlagen!$I$22,'HB-D1 Besondere Lstg Land'!M170=TRUE),'HB-D1 Besondere Lstg Land'!K170,IF(AND(Projektgrundlagen!$I$23,'HB-D2 Besondere Lstg Bund'!M170=TRUE),'HB-D2 Besondere Lstg Bund'!K170,"")))</f>
        <v/>
      </c>
      <c r="G219" s="1253"/>
      <c r="H219" s="1254"/>
    </row>
    <row r="220" spans="2:8" ht="14.4">
      <c r="B220" t="str">
        <f>IF(AND(Projektgrundlagen!$I$21,'StB-D1 Besondere Lstg'!M171=TRUE),'StB-D1 Besondere Lstg'!C171&amp;" "&amp;'StB-D1 Besondere Lstg'!F171&amp;" "&amp;'StB-D1 Besondere Lstg'!F172,IF(AND(Projektgrundlagen!$I$22,'HB-D1 Besondere Lstg Land'!M171=TRUE),'HB-D1 Besondere Lstg Land'!C171&amp;" "&amp;'HB-D1 Besondere Lstg Land'!F171&amp;" "&amp;'HB-D1 Besondere Lstg Land'!F172,IF(AND(Projektgrundlagen!$I$23,'HB-D2 Besondere Lstg Bund'!M171=TRUE),'HB-D2 Besondere Lstg Bund'!C171&amp;" "&amp;'HB-D2 Besondere Lstg Bund'!F171&amp;" "&amp;'HB-D2 Besondere Lstg Bund'!F172,"")))</f>
        <v/>
      </c>
      <c r="C220" s="1246" t="str">
        <f>IF(AND(Projektgrundlagen!$I$21,'StB-D1 Besondere Lstg'!M171=TRUE),'StB-D1 Besondere Lstg'!H171,"")</f>
        <v/>
      </c>
      <c r="D220" s="1246" t="str">
        <f>IF(AND(Projektgrundlagen!$I$21,'StB-D1 Besondere Lstg'!M171=TRUE),'StB-D1 Besondere Lstg'!I171,IF(AND(Projektgrundlagen!$I$22,'HB-D1 Besondere Lstg Land'!M171=TRUE),(IF('HB-D1 Besondere Lstg Land'!H171&gt;0,"v.H.","pauschal")),IF(AND(Projektgrundlagen!$I$23,'HB-D2 Besondere Lstg Bund'!M171=TRUE),(IF('HB-D2 Besondere Lstg Bund'!H171&gt;0,"v.H.","pauschal")),"")))</f>
        <v/>
      </c>
      <c r="E220" s="1246" t="str">
        <f>IF(AND(Projektgrundlagen!$I$21,'StB-D1 Besondere Lstg'!M171=TRUE),'StB-D1 Besondere Lstg'!J171,IF(AND(Projektgrundlagen!$I$22,'HB-D1 Besondere Lstg Land'!M171=TRUE),'HB-D1 Besondere Lstg Land'!H171+'HB-D1 Besondere Lstg Land'!J171,IF(AND(Projektgrundlagen!$I$23,'HB-D2 Besondere Lstg Bund'!M171=TRUE),'HB-D2 Besondere Lstg Bund'!H171+'HB-D2 Besondere Lstg Bund'!J171,"")))</f>
        <v/>
      </c>
      <c r="F220" s="1246" t="str">
        <f>IF(AND(Projektgrundlagen!$I$21,'StB-D1 Besondere Lstg'!M171=TRUE),'StB-D1 Besondere Lstg'!K171,IF(AND(Projektgrundlagen!$I$22,'HB-D1 Besondere Lstg Land'!M171=TRUE),'HB-D1 Besondere Lstg Land'!K171,IF(AND(Projektgrundlagen!$I$23,'HB-D2 Besondere Lstg Bund'!M171=TRUE),'HB-D2 Besondere Lstg Bund'!K171,"")))</f>
        <v/>
      </c>
      <c r="G220" s="1253"/>
      <c r="H220" s="1254"/>
    </row>
    <row r="221" spans="2:8" ht="14.4">
      <c r="B221" t="str">
        <f>IF(AND(Projektgrundlagen!$I$21,'StB-D1 Besondere Lstg'!M172=TRUE),'StB-D1 Besondere Lstg'!C172&amp;" "&amp;'StB-D1 Besondere Lstg'!F172&amp;" "&amp;'StB-D1 Besondere Lstg'!F173,IF(AND(Projektgrundlagen!$I$22,'HB-D1 Besondere Lstg Land'!M172=TRUE),'HB-D1 Besondere Lstg Land'!C172&amp;" "&amp;'HB-D1 Besondere Lstg Land'!F172&amp;" "&amp;'HB-D1 Besondere Lstg Land'!F173,IF(AND(Projektgrundlagen!$I$23,'HB-D2 Besondere Lstg Bund'!M172=TRUE),'HB-D2 Besondere Lstg Bund'!C172&amp;" "&amp;'HB-D2 Besondere Lstg Bund'!F172&amp;" "&amp;'HB-D2 Besondere Lstg Bund'!F173,"")))</f>
        <v/>
      </c>
      <c r="C221" s="1246" t="str">
        <f>IF(AND(Projektgrundlagen!$I$21,'StB-D1 Besondere Lstg'!M172=TRUE),'StB-D1 Besondere Lstg'!H172,"")</f>
        <v/>
      </c>
      <c r="D221" s="1246" t="str">
        <f>IF(AND(Projektgrundlagen!$I$21,'StB-D1 Besondere Lstg'!M172=TRUE),'StB-D1 Besondere Lstg'!I172,IF(AND(Projektgrundlagen!$I$22,'HB-D1 Besondere Lstg Land'!M172=TRUE),(IF('HB-D1 Besondere Lstg Land'!H172&gt;0,"v.H.","pauschal")),IF(AND(Projektgrundlagen!$I$23,'HB-D2 Besondere Lstg Bund'!M172=TRUE),(IF('HB-D2 Besondere Lstg Bund'!H172&gt;0,"v.H.","pauschal")),"")))</f>
        <v/>
      </c>
      <c r="E221" s="1246" t="str">
        <f>IF(AND(Projektgrundlagen!$I$21,'StB-D1 Besondere Lstg'!M172=TRUE),'StB-D1 Besondere Lstg'!J172,IF(AND(Projektgrundlagen!$I$22,'HB-D1 Besondere Lstg Land'!M172=TRUE),'HB-D1 Besondere Lstg Land'!H172+'HB-D1 Besondere Lstg Land'!J172,IF(AND(Projektgrundlagen!$I$23,'HB-D2 Besondere Lstg Bund'!M172=TRUE),'HB-D2 Besondere Lstg Bund'!H172+'HB-D2 Besondere Lstg Bund'!J172,"")))</f>
        <v/>
      </c>
      <c r="F221" s="1246" t="str">
        <f>IF(AND(Projektgrundlagen!$I$21,'StB-D1 Besondere Lstg'!M172=TRUE),'StB-D1 Besondere Lstg'!K172,IF(AND(Projektgrundlagen!$I$22,'HB-D1 Besondere Lstg Land'!M172=TRUE),'HB-D1 Besondere Lstg Land'!K172,IF(AND(Projektgrundlagen!$I$23,'HB-D2 Besondere Lstg Bund'!M172=TRUE),'HB-D2 Besondere Lstg Bund'!K172,"")))</f>
        <v/>
      </c>
      <c r="G221" s="1253"/>
      <c r="H221" s="1254"/>
    </row>
    <row r="222" spans="2:8" ht="14.4">
      <c r="B222" t="str">
        <f>IF(AND(Projektgrundlagen!$I$21,'StB-D1 Besondere Lstg'!M173=TRUE),'StB-D1 Besondere Lstg'!C173&amp;" "&amp;'StB-D1 Besondere Lstg'!F173&amp;" "&amp;'StB-D1 Besondere Lstg'!F174,IF(AND(Projektgrundlagen!$I$22,'HB-D1 Besondere Lstg Land'!M173=TRUE),'HB-D1 Besondere Lstg Land'!C173&amp;" "&amp;'HB-D1 Besondere Lstg Land'!F173&amp;" "&amp;'HB-D1 Besondere Lstg Land'!F174,IF(AND(Projektgrundlagen!$I$23,'HB-D2 Besondere Lstg Bund'!M173=TRUE),'HB-D2 Besondere Lstg Bund'!C173&amp;" "&amp;'HB-D2 Besondere Lstg Bund'!F173&amp;" "&amp;'HB-D2 Besondere Lstg Bund'!F174,"")))</f>
        <v/>
      </c>
      <c r="C222" s="1246" t="str">
        <f>IF(AND(Projektgrundlagen!$I$21,'StB-D1 Besondere Lstg'!M173=TRUE),'StB-D1 Besondere Lstg'!H173,"")</f>
        <v/>
      </c>
      <c r="D222" s="1246" t="str">
        <f>IF(AND(Projektgrundlagen!$I$21,'StB-D1 Besondere Lstg'!M173=TRUE),'StB-D1 Besondere Lstg'!I173,IF(AND(Projektgrundlagen!$I$22,'HB-D1 Besondere Lstg Land'!M173=TRUE),(IF('HB-D1 Besondere Lstg Land'!H173&gt;0,"v.H.","pauschal")),IF(AND(Projektgrundlagen!$I$23,'HB-D2 Besondere Lstg Bund'!M173=TRUE),(IF('HB-D2 Besondere Lstg Bund'!H173&gt;0,"v.H.","pauschal")),"")))</f>
        <v/>
      </c>
      <c r="E222" s="1246" t="str">
        <f>IF(AND(Projektgrundlagen!$I$21,'StB-D1 Besondere Lstg'!M173=TRUE),'StB-D1 Besondere Lstg'!J173,IF(AND(Projektgrundlagen!$I$22,'HB-D1 Besondere Lstg Land'!M173=TRUE),'HB-D1 Besondere Lstg Land'!H173+'HB-D1 Besondere Lstg Land'!J173,IF(AND(Projektgrundlagen!$I$23,'HB-D2 Besondere Lstg Bund'!M173=TRUE),'HB-D2 Besondere Lstg Bund'!H173+'HB-D2 Besondere Lstg Bund'!J173,"")))</f>
        <v/>
      </c>
      <c r="F222" s="1246" t="str">
        <f>IF(AND(Projektgrundlagen!$I$21,'StB-D1 Besondere Lstg'!M173=TRUE),'StB-D1 Besondere Lstg'!K173,IF(AND(Projektgrundlagen!$I$22,'HB-D1 Besondere Lstg Land'!M173=TRUE),'HB-D1 Besondere Lstg Land'!K173,IF(AND(Projektgrundlagen!$I$23,'HB-D2 Besondere Lstg Bund'!M173=TRUE),'HB-D2 Besondere Lstg Bund'!K173,"")))</f>
        <v/>
      </c>
      <c r="G222" s="1253"/>
      <c r="H222" s="1254"/>
    </row>
    <row r="223" spans="2:8" ht="14.4">
      <c r="B223" t="str">
        <f>IF(AND(Projektgrundlagen!$I$21,'StB-D1 Besondere Lstg'!M174=TRUE),'StB-D1 Besondere Lstg'!C174&amp;" "&amp;'StB-D1 Besondere Lstg'!F174&amp;" "&amp;'StB-D1 Besondere Lstg'!F175,IF(AND(Projektgrundlagen!$I$22,'HB-D1 Besondere Lstg Land'!M174=TRUE),'HB-D1 Besondere Lstg Land'!C174&amp;" "&amp;'HB-D1 Besondere Lstg Land'!F174&amp;" "&amp;'HB-D1 Besondere Lstg Land'!F175,IF(AND(Projektgrundlagen!$I$23,'HB-D2 Besondere Lstg Bund'!M174=TRUE),'HB-D2 Besondere Lstg Bund'!C174&amp;" "&amp;'HB-D2 Besondere Lstg Bund'!F174&amp;" "&amp;'HB-D2 Besondere Lstg Bund'!F175,"")))</f>
        <v/>
      </c>
      <c r="C223" s="1246" t="str">
        <f>IF(AND(Projektgrundlagen!$I$21,'StB-D1 Besondere Lstg'!M174=TRUE),'StB-D1 Besondere Lstg'!H174,"")</f>
        <v/>
      </c>
      <c r="D223" s="1246" t="str">
        <f>IF(AND(Projektgrundlagen!$I$21,'StB-D1 Besondere Lstg'!M174=TRUE),'StB-D1 Besondere Lstg'!I174,IF(AND(Projektgrundlagen!$I$22,'HB-D1 Besondere Lstg Land'!M174=TRUE),(IF('HB-D1 Besondere Lstg Land'!H174&gt;0,"v.H.","pauschal")),IF(AND(Projektgrundlagen!$I$23,'HB-D2 Besondere Lstg Bund'!M174=TRUE),(IF('HB-D2 Besondere Lstg Bund'!H174&gt;0,"v.H.","pauschal")),"")))</f>
        <v/>
      </c>
      <c r="E223" s="1246" t="str">
        <f>IF(AND(Projektgrundlagen!$I$21,'StB-D1 Besondere Lstg'!M174=TRUE),'StB-D1 Besondere Lstg'!J174,IF(AND(Projektgrundlagen!$I$22,'HB-D1 Besondere Lstg Land'!M174=TRUE),'HB-D1 Besondere Lstg Land'!H174+'HB-D1 Besondere Lstg Land'!J174,IF(AND(Projektgrundlagen!$I$23,'HB-D2 Besondere Lstg Bund'!M174=TRUE),'HB-D2 Besondere Lstg Bund'!H174+'HB-D2 Besondere Lstg Bund'!J174,"")))</f>
        <v/>
      </c>
      <c r="F223" s="1246" t="str">
        <f>IF(AND(Projektgrundlagen!$I$21,'StB-D1 Besondere Lstg'!M174=TRUE),'StB-D1 Besondere Lstg'!K174,IF(AND(Projektgrundlagen!$I$22,'HB-D1 Besondere Lstg Land'!M174=TRUE),'HB-D1 Besondere Lstg Land'!K174,IF(AND(Projektgrundlagen!$I$23,'HB-D2 Besondere Lstg Bund'!M174=TRUE),'HB-D2 Besondere Lstg Bund'!K174,"")))</f>
        <v/>
      </c>
      <c r="G223" s="1253"/>
      <c r="H223" s="1254"/>
    </row>
    <row r="224" spans="2:8" ht="14.4">
      <c r="B224" t="str">
        <f>IF(AND(Projektgrundlagen!$I$21,'StB-D1 Besondere Lstg'!M175=TRUE),'StB-D1 Besondere Lstg'!C175&amp;" "&amp;'StB-D1 Besondere Lstg'!F175&amp;" "&amp;'StB-D1 Besondere Lstg'!F176,IF(AND(Projektgrundlagen!$I$22,'HB-D1 Besondere Lstg Land'!M175=TRUE),'HB-D1 Besondere Lstg Land'!C175&amp;" "&amp;'HB-D1 Besondere Lstg Land'!F175&amp;" "&amp;'HB-D1 Besondere Lstg Land'!F176,IF(AND(Projektgrundlagen!$I$23,'HB-D2 Besondere Lstg Bund'!M175=TRUE),'HB-D2 Besondere Lstg Bund'!C175&amp;" "&amp;'HB-D2 Besondere Lstg Bund'!F175&amp;" "&amp;'HB-D2 Besondere Lstg Bund'!F176,"")))</f>
        <v/>
      </c>
      <c r="C224" s="1246" t="str">
        <f>IF(AND(Projektgrundlagen!$I$21,'StB-D1 Besondere Lstg'!M175=TRUE),'StB-D1 Besondere Lstg'!H175,"")</f>
        <v/>
      </c>
      <c r="D224" s="1246" t="str">
        <f>IF(AND(Projektgrundlagen!$I$21,'StB-D1 Besondere Lstg'!M175=TRUE),'StB-D1 Besondere Lstg'!I175,IF(AND(Projektgrundlagen!$I$22,'HB-D1 Besondere Lstg Land'!M175=TRUE),(IF('HB-D1 Besondere Lstg Land'!H175&gt;0,"v.H.","pauschal")),IF(AND(Projektgrundlagen!$I$23,'HB-D2 Besondere Lstg Bund'!M175=TRUE),(IF('HB-D2 Besondere Lstg Bund'!H175&gt;0,"v.H.","pauschal")),"")))</f>
        <v/>
      </c>
      <c r="E224" s="1246" t="str">
        <f>IF(AND(Projektgrundlagen!$I$21,'StB-D1 Besondere Lstg'!M175=TRUE),'StB-D1 Besondere Lstg'!J175,IF(AND(Projektgrundlagen!$I$22,'HB-D1 Besondere Lstg Land'!M175=TRUE),'HB-D1 Besondere Lstg Land'!H175+'HB-D1 Besondere Lstg Land'!J175,IF(AND(Projektgrundlagen!$I$23,'HB-D2 Besondere Lstg Bund'!M175=TRUE),'HB-D2 Besondere Lstg Bund'!H175+'HB-D2 Besondere Lstg Bund'!J175,"")))</f>
        <v/>
      </c>
      <c r="F224" s="1246" t="str">
        <f>IF(AND(Projektgrundlagen!$I$21,'StB-D1 Besondere Lstg'!M175=TRUE),'StB-D1 Besondere Lstg'!K175,IF(AND(Projektgrundlagen!$I$22,'HB-D1 Besondere Lstg Land'!M175=TRUE),'HB-D1 Besondere Lstg Land'!K175,IF(AND(Projektgrundlagen!$I$23,'HB-D2 Besondere Lstg Bund'!M175=TRUE),'HB-D2 Besondere Lstg Bund'!K175,"")))</f>
        <v/>
      </c>
      <c r="G224" s="1253"/>
      <c r="H224" s="1254"/>
    </row>
    <row r="225" spans="2:8" ht="14.4">
      <c r="B225" t="str">
        <f>IF(AND(Projektgrundlagen!$I$21,'StB-D1 Besondere Lstg'!M176=TRUE),'StB-D1 Besondere Lstg'!C176&amp;" "&amp;'StB-D1 Besondere Lstg'!F176&amp;" "&amp;'StB-D1 Besondere Lstg'!F177,IF(AND(Projektgrundlagen!$I$22,'HB-D1 Besondere Lstg Land'!M176=TRUE),'HB-D1 Besondere Lstg Land'!C176&amp;" "&amp;'HB-D1 Besondere Lstg Land'!F176&amp;" "&amp;'HB-D1 Besondere Lstg Land'!F177,IF(AND(Projektgrundlagen!$I$23,'HB-D2 Besondere Lstg Bund'!M176=TRUE),'HB-D2 Besondere Lstg Bund'!C176&amp;" "&amp;'HB-D2 Besondere Lstg Bund'!F176&amp;" "&amp;'HB-D2 Besondere Lstg Bund'!F177,"")))</f>
        <v/>
      </c>
      <c r="C225" s="1246" t="str">
        <f>IF(AND(Projektgrundlagen!$I$21,'StB-D1 Besondere Lstg'!M176=TRUE),'StB-D1 Besondere Lstg'!H176,"")</f>
        <v/>
      </c>
      <c r="D225" s="1246" t="str">
        <f>IF(AND(Projektgrundlagen!$I$21,'StB-D1 Besondere Lstg'!M176=TRUE),'StB-D1 Besondere Lstg'!I176,IF(AND(Projektgrundlagen!$I$22,'HB-D1 Besondere Lstg Land'!M176=TRUE),(IF('HB-D1 Besondere Lstg Land'!H176&gt;0,"v.H.","pauschal")),IF(AND(Projektgrundlagen!$I$23,'HB-D2 Besondere Lstg Bund'!M176=TRUE),(IF('HB-D2 Besondere Lstg Bund'!H176&gt;0,"v.H.","pauschal")),"")))</f>
        <v/>
      </c>
      <c r="E225" s="1246" t="str">
        <f>IF(AND(Projektgrundlagen!$I$21,'StB-D1 Besondere Lstg'!M176=TRUE),'StB-D1 Besondere Lstg'!J176,IF(AND(Projektgrundlagen!$I$22,'HB-D1 Besondere Lstg Land'!M176=TRUE),'HB-D1 Besondere Lstg Land'!H176+'HB-D1 Besondere Lstg Land'!J176,IF(AND(Projektgrundlagen!$I$23,'HB-D2 Besondere Lstg Bund'!M176=TRUE),'HB-D2 Besondere Lstg Bund'!H176+'HB-D2 Besondere Lstg Bund'!J176,"")))</f>
        <v/>
      </c>
      <c r="F225" s="1246" t="str">
        <f>IF(AND(Projektgrundlagen!$I$21,'StB-D1 Besondere Lstg'!M176=TRUE),'StB-D1 Besondere Lstg'!K176,IF(AND(Projektgrundlagen!$I$22,'HB-D1 Besondere Lstg Land'!M176=TRUE),'HB-D1 Besondere Lstg Land'!K176,IF(AND(Projektgrundlagen!$I$23,'HB-D2 Besondere Lstg Bund'!M176=TRUE),'HB-D2 Besondere Lstg Bund'!K176,"")))</f>
        <v/>
      </c>
      <c r="G225" s="1253"/>
      <c r="H225" s="1254"/>
    </row>
    <row r="226" spans="2:8" ht="14.4">
      <c r="B226" t="str">
        <f>IF(AND(Projektgrundlagen!$I$21,'StB-D1 Besondere Lstg'!M177=TRUE),'StB-D1 Besondere Lstg'!C177&amp;" "&amp;'StB-D1 Besondere Lstg'!F177&amp;" "&amp;'StB-D1 Besondere Lstg'!F178,IF(AND(Projektgrundlagen!$I$22,'HB-D1 Besondere Lstg Land'!M177=TRUE),'HB-D1 Besondere Lstg Land'!C177&amp;" "&amp;'HB-D1 Besondere Lstg Land'!F177&amp;" "&amp;'HB-D1 Besondere Lstg Land'!F178,IF(AND(Projektgrundlagen!$I$23,'HB-D2 Besondere Lstg Bund'!M177=TRUE),'HB-D2 Besondere Lstg Bund'!C177&amp;" "&amp;'HB-D2 Besondere Lstg Bund'!F177&amp;" "&amp;'HB-D2 Besondere Lstg Bund'!F178,"")))</f>
        <v/>
      </c>
      <c r="C226" s="1246" t="str">
        <f>IF(AND(Projektgrundlagen!$I$21,'StB-D1 Besondere Lstg'!M177=TRUE),'StB-D1 Besondere Lstg'!H177,"")</f>
        <v/>
      </c>
      <c r="D226" s="1246" t="str">
        <f>IF(AND(Projektgrundlagen!$I$21,'StB-D1 Besondere Lstg'!M177=TRUE),'StB-D1 Besondere Lstg'!I177,IF(AND(Projektgrundlagen!$I$22,'HB-D1 Besondere Lstg Land'!M177=TRUE),(IF('HB-D1 Besondere Lstg Land'!H177&gt;0,"v.H.","pauschal")),IF(AND(Projektgrundlagen!$I$23,'HB-D2 Besondere Lstg Bund'!M177=TRUE),(IF('HB-D2 Besondere Lstg Bund'!H177&gt;0,"v.H.","pauschal")),"")))</f>
        <v/>
      </c>
      <c r="E226" s="1246" t="str">
        <f>IF(AND(Projektgrundlagen!$I$21,'StB-D1 Besondere Lstg'!M177=TRUE),'StB-D1 Besondere Lstg'!J177,IF(AND(Projektgrundlagen!$I$22,'HB-D1 Besondere Lstg Land'!M177=TRUE),'HB-D1 Besondere Lstg Land'!H177+'HB-D1 Besondere Lstg Land'!J177,IF(AND(Projektgrundlagen!$I$23,'HB-D2 Besondere Lstg Bund'!M177=TRUE),'HB-D2 Besondere Lstg Bund'!H177+'HB-D2 Besondere Lstg Bund'!J177,"")))</f>
        <v/>
      </c>
      <c r="F226" s="1246" t="str">
        <f>IF(AND(Projektgrundlagen!$I$21,'StB-D1 Besondere Lstg'!M177=TRUE),'StB-D1 Besondere Lstg'!K177,IF(AND(Projektgrundlagen!$I$22,'HB-D1 Besondere Lstg Land'!M177=TRUE),'HB-D1 Besondere Lstg Land'!K177,IF(AND(Projektgrundlagen!$I$23,'HB-D2 Besondere Lstg Bund'!M177=TRUE),'HB-D2 Besondere Lstg Bund'!K177,"")))</f>
        <v/>
      </c>
      <c r="G226" s="1253"/>
      <c r="H226" s="1254"/>
    </row>
    <row r="227" spans="2:8" ht="14.4">
      <c r="B227" t="str">
        <f>IF(AND(Projektgrundlagen!$I$21,'StB-D1 Besondere Lstg'!M178=TRUE),'StB-D1 Besondere Lstg'!C178&amp;" "&amp;'StB-D1 Besondere Lstg'!F178&amp;" "&amp;'StB-D1 Besondere Lstg'!F179,IF(AND(Projektgrundlagen!$I$22,'HB-D1 Besondere Lstg Land'!M178=TRUE),'HB-D1 Besondere Lstg Land'!C178&amp;" "&amp;'HB-D1 Besondere Lstg Land'!F178&amp;" "&amp;'HB-D1 Besondere Lstg Land'!F179,IF(AND(Projektgrundlagen!$I$23,'HB-D2 Besondere Lstg Bund'!M178=TRUE),'HB-D2 Besondere Lstg Bund'!C178&amp;" "&amp;'HB-D2 Besondere Lstg Bund'!F178&amp;" "&amp;'HB-D2 Besondere Lstg Bund'!F179,"")))</f>
        <v/>
      </c>
      <c r="C227" s="1246" t="str">
        <f>IF(AND(Projektgrundlagen!$I$21,'StB-D1 Besondere Lstg'!M178=TRUE),'StB-D1 Besondere Lstg'!H178,"")</f>
        <v/>
      </c>
      <c r="D227" s="1246" t="str">
        <f>IF(AND(Projektgrundlagen!$I$21,'StB-D1 Besondere Lstg'!M178=TRUE),'StB-D1 Besondere Lstg'!I178,IF(AND(Projektgrundlagen!$I$22,'HB-D1 Besondere Lstg Land'!M178=TRUE),(IF('HB-D1 Besondere Lstg Land'!H178&gt;0,"v.H.","pauschal")),IF(AND(Projektgrundlagen!$I$23,'HB-D2 Besondere Lstg Bund'!M178=TRUE),(IF('HB-D2 Besondere Lstg Bund'!H178&gt;0,"v.H.","pauschal")),"")))</f>
        <v/>
      </c>
      <c r="E227" s="1246" t="str">
        <f>IF(AND(Projektgrundlagen!$I$21,'StB-D1 Besondere Lstg'!M178=TRUE),'StB-D1 Besondere Lstg'!J178,IF(AND(Projektgrundlagen!$I$22,'HB-D1 Besondere Lstg Land'!M178=TRUE),'HB-D1 Besondere Lstg Land'!H178+'HB-D1 Besondere Lstg Land'!J178,IF(AND(Projektgrundlagen!$I$23,'HB-D2 Besondere Lstg Bund'!M178=TRUE),'HB-D2 Besondere Lstg Bund'!H178+'HB-D2 Besondere Lstg Bund'!J178,"")))</f>
        <v/>
      </c>
      <c r="F227" s="1246" t="str">
        <f>IF(AND(Projektgrundlagen!$I$21,'StB-D1 Besondere Lstg'!M178=TRUE),'StB-D1 Besondere Lstg'!K178,IF(AND(Projektgrundlagen!$I$22,'HB-D1 Besondere Lstg Land'!M178=TRUE),'HB-D1 Besondere Lstg Land'!K178,IF(AND(Projektgrundlagen!$I$23,'HB-D2 Besondere Lstg Bund'!M178=TRUE),'HB-D2 Besondere Lstg Bund'!K178,"")))</f>
        <v/>
      </c>
      <c r="G227" s="1253"/>
      <c r="H227" s="1254"/>
    </row>
    <row r="228" spans="2:8" ht="14.4">
      <c r="B228" t="str">
        <f>IF(AND(Projektgrundlagen!$I$21,'StB-D1 Besondere Lstg'!M179=TRUE),'StB-D1 Besondere Lstg'!C179&amp;" "&amp;'StB-D1 Besondere Lstg'!F179&amp;" "&amp;'StB-D1 Besondere Lstg'!F180,IF(AND(Projektgrundlagen!$I$22,'HB-D1 Besondere Lstg Land'!M179=TRUE),'HB-D1 Besondere Lstg Land'!C179&amp;" "&amp;'HB-D1 Besondere Lstg Land'!F179&amp;" "&amp;'HB-D1 Besondere Lstg Land'!F180,IF(AND(Projektgrundlagen!$I$23,'HB-D2 Besondere Lstg Bund'!M179=TRUE),'HB-D2 Besondere Lstg Bund'!C179&amp;" "&amp;'HB-D2 Besondere Lstg Bund'!F179&amp;" "&amp;'HB-D2 Besondere Lstg Bund'!F180,"")))</f>
        <v/>
      </c>
      <c r="C228" s="1246" t="str">
        <f>IF(AND(Projektgrundlagen!$I$21,'StB-D1 Besondere Lstg'!M179=TRUE),'StB-D1 Besondere Lstg'!H179,"")</f>
        <v/>
      </c>
      <c r="D228" s="1246" t="str">
        <f>IF(AND(Projektgrundlagen!$I$21,'StB-D1 Besondere Lstg'!M179=TRUE),'StB-D1 Besondere Lstg'!I179,IF(AND(Projektgrundlagen!$I$22,'HB-D1 Besondere Lstg Land'!M179=TRUE),(IF('HB-D1 Besondere Lstg Land'!H179&gt;0,"v.H.","pauschal")),IF(AND(Projektgrundlagen!$I$23,'HB-D2 Besondere Lstg Bund'!M179=TRUE),(IF('HB-D2 Besondere Lstg Bund'!H179&gt;0,"v.H.","pauschal")),"")))</f>
        <v/>
      </c>
      <c r="E228" s="1246" t="str">
        <f>IF(AND(Projektgrundlagen!$I$21,'StB-D1 Besondere Lstg'!M179=TRUE),'StB-D1 Besondere Lstg'!J179,IF(AND(Projektgrundlagen!$I$22,'HB-D1 Besondere Lstg Land'!M179=TRUE),'HB-D1 Besondere Lstg Land'!H179+'HB-D1 Besondere Lstg Land'!J179,IF(AND(Projektgrundlagen!$I$23,'HB-D2 Besondere Lstg Bund'!M179=TRUE),'HB-D2 Besondere Lstg Bund'!H179+'HB-D2 Besondere Lstg Bund'!J179,"")))</f>
        <v/>
      </c>
      <c r="F228" s="1246" t="str">
        <f>IF(AND(Projektgrundlagen!$I$21,'StB-D1 Besondere Lstg'!M179=TRUE),'StB-D1 Besondere Lstg'!K179,IF(AND(Projektgrundlagen!$I$22,'HB-D1 Besondere Lstg Land'!M179=TRUE),'HB-D1 Besondere Lstg Land'!K179,IF(AND(Projektgrundlagen!$I$23,'HB-D2 Besondere Lstg Bund'!M179=TRUE),'HB-D2 Besondere Lstg Bund'!K179,"")))</f>
        <v/>
      </c>
      <c r="G228" s="1253"/>
      <c r="H228" s="1254"/>
    </row>
    <row r="229" spans="2:8" ht="14.4">
      <c r="B229" t="str">
        <f>IF(AND(Projektgrundlagen!$I$21,'StB-D1 Besondere Lstg'!M180=TRUE),'StB-D1 Besondere Lstg'!C180&amp;" "&amp;'StB-D1 Besondere Lstg'!F180&amp;" "&amp;'StB-D1 Besondere Lstg'!F181,IF(AND(Projektgrundlagen!$I$22,'HB-D1 Besondere Lstg Land'!M180=TRUE),'HB-D1 Besondere Lstg Land'!C180&amp;" "&amp;'HB-D1 Besondere Lstg Land'!F180&amp;" "&amp;'HB-D1 Besondere Lstg Land'!F181,IF(AND(Projektgrundlagen!$I$23,'HB-D2 Besondere Lstg Bund'!M180=TRUE),'HB-D2 Besondere Lstg Bund'!C180&amp;" "&amp;'HB-D2 Besondere Lstg Bund'!F180&amp;" "&amp;'HB-D2 Besondere Lstg Bund'!F181,"")))</f>
        <v/>
      </c>
      <c r="C229" s="1246" t="str">
        <f>IF(AND(Projektgrundlagen!$I$21,'StB-D1 Besondere Lstg'!M180=TRUE),'StB-D1 Besondere Lstg'!H180,"")</f>
        <v/>
      </c>
      <c r="D229" s="1246" t="str">
        <f>IF(AND(Projektgrundlagen!$I$21,'StB-D1 Besondere Lstg'!M180=TRUE),'StB-D1 Besondere Lstg'!I180,IF(AND(Projektgrundlagen!$I$22,'HB-D1 Besondere Lstg Land'!M180=TRUE),(IF('HB-D1 Besondere Lstg Land'!H180&gt;0,"v.H.","pauschal")),IF(AND(Projektgrundlagen!$I$23,'HB-D2 Besondere Lstg Bund'!M180=TRUE),(IF('HB-D2 Besondere Lstg Bund'!H180&gt;0,"v.H.","pauschal")),"")))</f>
        <v/>
      </c>
      <c r="E229" s="1246" t="str">
        <f>IF(AND(Projektgrundlagen!$I$21,'StB-D1 Besondere Lstg'!M180=TRUE),'StB-D1 Besondere Lstg'!J180,IF(AND(Projektgrundlagen!$I$22,'HB-D1 Besondere Lstg Land'!M180=TRUE),'HB-D1 Besondere Lstg Land'!H180+'HB-D1 Besondere Lstg Land'!J180,IF(AND(Projektgrundlagen!$I$23,'HB-D2 Besondere Lstg Bund'!M180=TRUE),'HB-D2 Besondere Lstg Bund'!H180+'HB-D2 Besondere Lstg Bund'!J180,"")))</f>
        <v/>
      </c>
      <c r="F229" s="1246" t="str">
        <f>IF(AND(Projektgrundlagen!$I$21,'StB-D1 Besondere Lstg'!M180=TRUE),'StB-D1 Besondere Lstg'!K180,IF(AND(Projektgrundlagen!$I$22,'HB-D1 Besondere Lstg Land'!M180=TRUE),'HB-D1 Besondere Lstg Land'!K180,IF(AND(Projektgrundlagen!$I$23,'HB-D2 Besondere Lstg Bund'!M180=TRUE),'HB-D2 Besondere Lstg Bund'!K180,"")))</f>
        <v/>
      </c>
      <c r="G229" s="1253"/>
      <c r="H229" s="1254"/>
    </row>
    <row r="230" spans="2:8" ht="14.4">
      <c r="B230" t="str">
        <f>IF(AND(Projektgrundlagen!$I$21,'StB-D1 Besondere Lstg'!M181=TRUE),'StB-D1 Besondere Lstg'!C181&amp;" "&amp;'StB-D1 Besondere Lstg'!F181&amp;" "&amp;'StB-D1 Besondere Lstg'!F182,IF(AND(Projektgrundlagen!$I$22,'HB-D1 Besondere Lstg Land'!M181=TRUE),'HB-D1 Besondere Lstg Land'!C181&amp;" "&amp;'HB-D1 Besondere Lstg Land'!F181&amp;" "&amp;'HB-D1 Besondere Lstg Land'!F182,IF(AND(Projektgrundlagen!$I$23,'HB-D2 Besondere Lstg Bund'!M181=TRUE),'HB-D2 Besondere Lstg Bund'!C181&amp;" "&amp;'HB-D2 Besondere Lstg Bund'!F181&amp;" "&amp;'HB-D2 Besondere Lstg Bund'!F182,"")))</f>
        <v/>
      </c>
      <c r="C230" s="1246" t="str">
        <f>IF(AND(Projektgrundlagen!$I$21,'StB-D1 Besondere Lstg'!M181=TRUE),'StB-D1 Besondere Lstg'!H181,"")</f>
        <v/>
      </c>
      <c r="D230" s="1246" t="str">
        <f>IF(AND(Projektgrundlagen!$I$21,'StB-D1 Besondere Lstg'!M181=TRUE),'StB-D1 Besondere Lstg'!I181,IF(AND(Projektgrundlagen!$I$22,'HB-D1 Besondere Lstg Land'!M181=TRUE),(IF('HB-D1 Besondere Lstg Land'!H181&gt;0,"v.H.","pauschal")),IF(AND(Projektgrundlagen!$I$23,'HB-D2 Besondere Lstg Bund'!M181=TRUE),(IF('HB-D2 Besondere Lstg Bund'!H181&gt;0,"v.H.","pauschal")),"")))</f>
        <v/>
      </c>
      <c r="E230" s="1246" t="str">
        <f>IF(AND(Projektgrundlagen!$I$21,'StB-D1 Besondere Lstg'!M181=TRUE),'StB-D1 Besondere Lstg'!J181,IF(AND(Projektgrundlagen!$I$22,'HB-D1 Besondere Lstg Land'!M181=TRUE),'HB-D1 Besondere Lstg Land'!H181+'HB-D1 Besondere Lstg Land'!J181,IF(AND(Projektgrundlagen!$I$23,'HB-D2 Besondere Lstg Bund'!M181=TRUE),'HB-D2 Besondere Lstg Bund'!H181+'HB-D2 Besondere Lstg Bund'!J181,"")))</f>
        <v/>
      </c>
      <c r="F230" s="1246" t="str">
        <f>IF(AND(Projektgrundlagen!$I$21,'StB-D1 Besondere Lstg'!M181=TRUE),'StB-D1 Besondere Lstg'!K181,IF(AND(Projektgrundlagen!$I$22,'HB-D1 Besondere Lstg Land'!M181=TRUE),'HB-D1 Besondere Lstg Land'!K181,IF(AND(Projektgrundlagen!$I$23,'HB-D2 Besondere Lstg Bund'!M181=TRUE),'HB-D2 Besondere Lstg Bund'!K181,"")))</f>
        <v/>
      </c>
      <c r="G230" s="1253"/>
      <c r="H230" s="1254"/>
    </row>
    <row r="231" spans="2:8" ht="14.4">
      <c r="B231" t="str">
        <f>IF(AND(Projektgrundlagen!$I$21,'StB-D1 Besondere Lstg'!M182=TRUE),'StB-D1 Besondere Lstg'!C182&amp;" "&amp;'StB-D1 Besondere Lstg'!F182&amp;" "&amp;'StB-D1 Besondere Lstg'!F183,IF(AND(Projektgrundlagen!$I$22,'HB-D1 Besondere Lstg Land'!M182=TRUE),'HB-D1 Besondere Lstg Land'!C182&amp;" "&amp;'HB-D1 Besondere Lstg Land'!F182&amp;" "&amp;'HB-D1 Besondere Lstg Land'!F183,IF(AND(Projektgrundlagen!$I$23,'HB-D2 Besondere Lstg Bund'!M182=TRUE),'HB-D2 Besondere Lstg Bund'!C182&amp;" "&amp;'HB-D2 Besondere Lstg Bund'!F182&amp;" "&amp;'HB-D2 Besondere Lstg Bund'!F183,"")))</f>
        <v/>
      </c>
      <c r="C231" s="1246" t="str">
        <f>IF(AND(Projektgrundlagen!$I$21,'StB-D1 Besondere Lstg'!M182=TRUE),'StB-D1 Besondere Lstg'!H182,"")</f>
        <v/>
      </c>
      <c r="D231" s="1246" t="str">
        <f>IF(AND(Projektgrundlagen!$I$21,'StB-D1 Besondere Lstg'!M182=TRUE),'StB-D1 Besondere Lstg'!I182,IF(AND(Projektgrundlagen!$I$22,'HB-D1 Besondere Lstg Land'!M182=TRUE),(IF('HB-D1 Besondere Lstg Land'!H182&gt;0,"v.H.","pauschal")),IF(AND(Projektgrundlagen!$I$23,'HB-D2 Besondere Lstg Bund'!M182=TRUE),(IF('HB-D2 Besondere Lstg Bund'!H182&gt;0,"v.H.","pauschal")),"")))</f>
        <v/>
      </c>
      <c r="E231" s="1246" t="str">
        <f>IF(AND(Projektgrundlagen!$I$21,'StB-D1 Besondere Lstg'!M182=TRUE),'StB-D1 Besondere Lstg'!J182,IF(AND(Projektgrundlagen!$I$22,'HB-D1 Besondere Lstg Land'!M182=TRUE),'HB-D1 Besondere Lstg Land'!H182+'HB-D1 Besondere Lstg Land'!J182,IF(AND(Projektgrundlagen!$I$23,'HB-D2 Besondere Lstg Bund'!M182=TRUE),'HB-D2 Besondere Lstg Bund'!H182+'HB-D2 Besondere Lstg Bund'!J182,"")))</f>
        <v/>
      </c>
      <c r="F231" s="1246" t="str">
        <f>IF(AND(Projektgrundlagen!$I$21,'StB-D1 Besondere Lstg'!M182=TRUE),'StB-D1 Besondere Lstg'!K182,IF(AND(Projektgrundlagen!$I$22,'HB-D1 Besondere Lstg Land'!M182=TRUE),'HB-D1 Besondere Lstg Land'!K182,IF(AND(Projektgrundlagen!$I$23,'HB-D2 Besondere Lstg Bund'!M182=TRUE),'HB-D2 Besondere Lstg Bund'!K182,"")))</f>
        <v/>
      </c>
      <c r="G231" s="1253"/>
      <c r="H231" s="1254"/>
    </row>
    <row r="232" spans="2:8" ht="14.4">
      <c r="B232" t="str">
        <f>IF(AND(Projektgrundlagen!$I$21,'StB-D1 Besondere Lstg'!M183=TRUE),'StB-D1 Besondere Lstg'!C183&amp;" "&amp;'StB-D1 Besondere Lstg'!F183&amp;" "&amp;'StB-D1 Besondere Lstg'!F184,IF(AND(Projektgrundlagen!$I$22,'HB-D1 Besondere Lstg Land'!M183=TRUE),'HB-D1 Besondere Lstg Land'!C183&amp;" "&amp;'HB-D1 Besondere Lstg Land'!F183&amp;" "&amp;'HB-D1 Besondere Lstg Land'!F184,IF(AND(Projektgrundlagen!$I$23,'HB-D2 Besondere Lstg Bund'!M183=TRUE),'HB-D2 Besondere Lstg Bund'!C183&amp;" "&amp;'HB-D2 Besondere Lstg Bund'!F183&amp;" "&amp;'HB-D2 Besondere Lstg Bund'!F184,"")))</f>
        <v/>
      </c>
      <c r="C232" s="1246" t="str">
        <f>IF(AND(Projektgrundlagen!$I$21,'StB-D1 Besondere Lstg'!M183=TRUE),'StB-D1 Besondere Lstg'!H183,"")</f>
        <v/>
      </c>
      <c r="D232" s="1246" t="str">
        <f>IF(AND(Projektgrundlagen!$I$21,'StB-D1 Besondere Lstg'!M183=TRUE),'StB-D1 Besondere Lstg'!I183,IF(AND(Projektgrundlagen!$I$22,'HB-D1 Besondere Lstg Land'!M183=TRUE),(IF('HB-D1 Besondere Lstg Land'!H183&gt;0,"v.H.","pauschal")),IF(AND(Projektgrundlagen!$I$23,'HB-D2 Besondere Lstg Bund'!M183=TRUE),(IF('HB-D2 Besondere Lstg Bund'!H183&gt;0,"v.H.","pauschal")),"")))</f>
        <v/>
      </c>
      <c r="E232" s="1246" t="str">
        <f>IF(AND(Projektgrundlagen!$I$21,'StB-D1 Besondere Lstg'!M183=TRUE),'StB-D1 Besondere Lstg'!J183,IF(AND(Projektgrundlagen!$I$22,'HB-D1 Besondere Lstg Land'!M183=TRUE),'HB-D1 Besondere Lstg Land'!H183+'HB-D1 Besondere Lstg Land'!J183,IF(AND(Projektgrundlagen!$I$23,'HB-D2 Besondere Lstg Bund'!M183=TRUE),'HB-D2 Besondere Lstg Bund'!H183+'HB-D2 Besondere Lstg Bund'!J183,"")))</f>
        <v/>
      </c>
      <c r="F232" s="1246" t="str">
        <f>IF(AND(Projektgrundlagen!$I$21,'StB-D1 Besondere Lstg'!M183=TRUE),'StB-D1 Besondere Lstg'!K183,IF(AND(Projektgrundlagen!$I$22,'HB-D1 Besondere Lstg Land'!M183=TRUE),'HB-D1 Besondere Lstg Land'!K183,IF(AND(Projektgrundlagen!$I$23,'HB-D2 Besondere Lstg Bund'!M183=TRUE),'HB-D2 Besondere Lstg Bund'!K183,"")))</f>
        <v/>
      </c>
      <c r="G232" s="1253"/>
      <c r="H232" s="1254"/>
    </row>
    <row r="233" spans="2:8" ht="14.4">
      <c r="B233" t="str">
        <f>IF(AND(Projektgrundlagen!$I$21,'StB-D1 Besondere Lstg'!M184=TRUE),'StB-D1 Besondere Lstg'!C184&amp;" "&amp;'StB-D1 Besondere Lstg'!F184&amp;" "&amp;'StB-D1 Besondere Lstg'!F185,IF(AND(Projektgrundlagen!$I$22,'HB-D1 Besondere Lstg Land'!M184=TRUE),'HB-D1 Besondere Lstg Land'!C184&amp;" "&amp;'HB-D1 Besondere Lstg Land'!F184&amp;" "&amp;'HB-D1 Besondere Lstg Land'!F185,IF(AND(Projektgrundlagen!$I$23,'HB-D2 Besondere Lstg Bund'!M184=TRUE),'HB-D2 Besondere Lstg Bund'!C184&amp;" "&amp;'HB-D2 Besondere Lstg Bund'!F184&amp;" "&amp;'HB-D2 Besondere Lstg Bund'!F185,"")))</f>
        <v/>
      </c>
      <c r="C233" s="1246" t="str">
        <f>IF(AND(Projektgrundlagen!$I$21,'StB-D1 Besondere Lstg'!M184=TRUE),'StB-D1 Besondere Lstg'!H184,"")</f>
        <v/>
      </c>
      <c r="D233" s="1246" t="str">
        <f>IF(AND(Projektgrundlagen!$I$21,'StB-D1 Besondere Lstg'!M184=TRUE),'StB-D1 Besondere Lstg'!I184,IF(AND(Projektgrundlagen!$I$22,'HB-D1 Besondere Lstg Land'!M184=TRUE),(IF('HB-D1 Besondere Lstg Land'!H184&gt;0,"v.H.","pauschal")),IF(AND(Projektgrundlagen!$I$23,'HB-D2 Besondere Lstg Bund'!M184=TRUE),(IF('HB-D2 Besondere Lstg Bund'!H184&gt;0,"v.H.","pauschal")),"")))</f>
        <v/>
      </c>
      <c r="E233" s="1246" t="str">
        <f>IF(AND(Projektgrundlagen!$I$21,'StB-D1 Besondere Lstg'!M184=TRUE),'StB-D1 Besondere Lstg'!J184,IF(AND(Projektgrundlagen!$I$22,'HB-D1 Besondere Lstg Land'!M184=TRUE),'HB-D1 Besondere Lstg Land'!H184+'HB-D1 Besondere Lstg Land'!J184,IF(AND(Projektgrundlagen!$I$23,'HB-D2 Besondere Lstg Bund'!M184=TRUE),'HB-D2 Besondere Lstg Bund'!H184+'HB-D2 Besondere Lstg Bund'!J184,"")))</f>
        <v/>
      </c>
      <c r="F233" s="1246" t="str">
        <f>IF(AND(Projektgrundlagen!$I$21,'StB-D1 Besondere Lstg'!M184=TRUE),'StB-D1 Besondere Lstg'!K184,IF(AND(Projektgrundlagen!$I$22,'HB-D1 Besondere Lstg Land'!M184=TRUE),'HB-D1 Besondere Lstg Land'!K184,IF(AND(Projektgrundlagen!$I$23,'HB-D2 Besondere Lstg Bund'!M184=TRUE),'HB-D2 Besondere Lstg Bund'!K184,"")))</f>
        <v/>
      </c>
      <c r="G233" s="1253"/>
      <c r="H233" s="1254"/>
    </row>
    <row r="234" spans="2:8" ht="14.4">
      <c r="B234" t="str">
        <f>IF(AND(Projektgrundlagen!$I$21,'StB-D1 Besondere Lstg'!M185=TRUE),'StB-D1 Besondere Lstg'!C185&amp;" "&amp;'StB-D1 Besondere Lstg'!F185&amp;" "&amp;'StB-D1 Besondere Lstg'!F186,IF(AND(Projektgrundlagen!$I$22,'HB-D1 Besondere Lstg Land'!M185=TRUE),'HB-D1 Besondere Lstg Land'!C185&amp;" "&amp;'HB-D1 Besondere Lstg Land'!F185&amp;" "&amp;'HB-D1 Besondere Lstg Land'!F186,IF(AND(Projektgrundlagen!$I$23,'HB-D2 Besondere Lstg Bund'!M185=TRUE),'HB-D2 Besondere Lstg Bund'!C185&amp;" "&amp;'HB-D2 Besondere Lstg Bund'!F185&amp;" "&amp;'HB-D2 Besondere Lstg Bund'!F186,"")))</f>
        <v/>
      </c>
      <c r="C234" s="1246" t="str">
        <f>IF(AND(Projektgrundlagen!$I$21,'StB-D1 Besondere Lstg'!M185=TRUE),'StB-D1 Besondere Lstg'!H185,"")</f>
        <v/>
      </c>
      <c r="D234" s="1246" t="str">
        <f>IF(AND(Projektgrundlagen!$I$21,'StB-D1 Besondere Lstg'!M185=TRUE),'StB-D1 Besondere Lstg'!I185,IF(AND(Projektgrundlagen!$I$22,'HB-D1 Besondere Lstg Land'!M185=TRUE),(IF('HB-D1 Besondere Lstg Land'!H185&gt;0,"v.H.","pauschal")),IF(AND(Projektgrundlagen!$I$23,'HB-D2 Besondere Lstg Bund'!M185=TRUE),(IF('HB-D2 Besondere Lstg Bund'!H185&gt;0,"v.H.","pauschal")),"")))</f>
        <v/>
      </c>
      <c r="E234" s="1246" t="str">
        <f>IF(AND(Projektgrundlagen!$I$21,'StB-D1 Besondere Lstg'!M185=TRUE),'StB-D1 Besondere Lstg'!J185,IF(AND(Projektgrundlagen!$I$22,'HB-D1 Besondere Lstg Land'!M185=TRUE),'HB-D1 Besondere Lstg Land'!H185+'HB-D1 Besondere Lstg Land'!J185,IF(AND(Projektgrundlagen!$I$23,'HB-D2 Besondere Lstg Bund'!M185=TRUE),'HB-D2 Besondere Lstg Bund'!H185+'HB-D2 Besondere Lstg Bund'!J185,"")))</f>
        <v/>
      </c>
      <c r="F234" s="1246" t="str">
        <f>IF(AND(Projektgrundlagen!$I$21,'StB-D1 Besondere Lstg'!M185=TRUE),'StB-D1 Besondere Lstg'!K185,IF(AND(Projektgrundlagen!$I$22,'HB-D1 Besondere Lstg Land'!M185=TRUE),'HB-D1 Besondere Lstg Land'!K185,IF(AND(Projektgrundlagen!$I$23,'HB-D2 Besondere Lstg Bund'!M185=TRUE),'HB-D2 Besondere Lstg Bund'!K185,"")))</f>
        <v/>
      </c>
      <c r="G234" s="1253"/>
      <c r="H234" s="1254"/>
    </row>
    <row r="235" spans="2:8" ht="14.4">
      <c r="B235" t="str">
        <f>IF(AND(Projektgrundlagen!$I$21,'StB-D1 Besondere Lstg'!M186=TRUE),'StB-D1 Besondere Lstg'!C186&amp;" "&amp;'StB-D1 Besondere Lstg'!F186&amp;" "&amp;'StB-D1 Besondere Lstg'!F187,IF(AND(Projektgrundlagen!$I$22,'HB-D1 Besondere Lstg Land'!M186=TRUE),'HB-D1 Besondere Lstg Land'!C186&amp;" "&amp;'HB-D1 Besondere Lstg Land'!F186&amp;" "&amp;'HB-D1 Besondere Lstg Land'!F187,IF(AND(Projektgrundlagen!$I$23,'HB-D2 Besondere Lstg Bund'!M186=TRUE),'HB-D2 Besondere Lstg Bund'!C186&amp;" "&amp;'HB-D2 Besondere Lstg Bund'!F186&amp;" "&amp;'HB-D2 Besondere Lstg Bund'!F187,"")))</f>
        <v/>
      </c>
      <c r="C235" s="1246" t="str">
        <f>IF(AND(Projektgrundlagen!$I$21,'StB-D1 Besondere Lstg'!M186=TRUE),'StB-D1 Besondere Lstg'!H186,"")</f>
        <v/>
      </c>
      <c r="D235" s="1246" t="str">
        <f>IF(AND(Projektgrundlagen!$I$21,'StB-D1 Besondere Lstg'!M186=TRUE),'StB-D1 Besondere Lstg'!I186,IF(AND(Projektgrundlagen!$I$22,'HB-D1 Besondere Lstg Land'!M186=TRUE),(IF('HB-D1 Besondere Lstg Land'!H186&gt;0,"v.H.","pauschal")),IF(AND(Projektgrundlagen!$I$23,'HB-D2 Besondere Lstg Bund'!M186=TRUE),(IF('HB-D2 Besondere Lstg Bund'!H186&gt;0,"v.H.","pauschal")),"")))</f>
        <v/>
      </c>
      <c r="E235" s="1246" t="str">
        <f>IF(AND(Projektgrundlagen!$I$21,'StB-D1 Besondere Lstg'!M186=TRUE),'StB-D1 Besondere Lstg'!J186,IF(AND(Projektgrundlagen!$I$22,'HB-D1 Besondere Lstg Land'!M186=TRUE),'HB-D1 Besondere Lstg Land'!H186+'HB-D1 Besondere Lstg Land'!J186,IF(AND(Projektgrundlagen!$I$23,'HB-D2 Besondere Lstg Bund'!M186=TRUE),'HB-D2 Besondere Lstg Bund'!H186+'HB-D2 Besondere Lstg Bund'!J186,"")))</f>
        <v/>
      </c>
      <c r="F235" s="1246" t="str">
        <f>IF(AND(Projektgrundlagen!$I$21,'StB-D1 Besondere Lstg'!M186=TRUE),'StB-D1 Besondere Lstg'!K186,IF(AND(Projektgrundlagen!$I$22,'HB-D1 Besondere Lstg Land'!M186=TRUE),'HB-D1 Besondere Lstg Land'!K186,IF(AND(Projektgrundlagen!$I$23,'HB-D2 Besondere Lstg Bund'!M186=TRUE),'HB-D2 Besondere Lstg Bund'!K186,"")))</f>
        <v/>
      </c>
      <c r="G235" s="1253"/>
      <c r="H235" s="1254"/>
    </row>
    <row r="236" spans="2:8" ht="14.4">
      <c r="B236" t="str">
        <f>IF(AND(Projektgrundlagen!$I$21,'StB-D1 Besondere Lstg'!M187=TRUE),'StB-D1 Besondere Lstg'!C187&amp;" "&amp;'StB-D1 Besondere Lstg'!F187&amp;" "&amp;'StB-D1 Besondere Lstg'!F188,IF(AND(Projektgrundlagen!$I$22,'HB-D1 Besondere Lstg Land'!M187=TRUE),'HB-D1 Besondere Lstg Land'!C187&amp;" "&amp;'HB-D1 Besondere Lstg Land'!F187&amp;" "&amp;'HB-D1 Besondere Lstg Land'!F188,IF(AND(Projektgrundlagen!$I$23,'HB-D2 Besondere Lstg Bund'!M187=TRUE),'HB-D2 Besondere Lstg Bund'!C187&amp;" "&amp;'HB-D2 Besondere Lstg Bund'!F187&amp;" "&amp;'HB-D2 Besondere Lstg Bund'!F188,"")))</f>
        <v/>
      </c>
      <c r="C236" s="1246" t="str">
        <f>IF(AND(Projektgrundlagen!$I$21,'StB-D1 Besondere Lstg'!M187=TRUE),'StB-D1 Besondere Lstg'!H187,"")</f>
        <v/>
      </c>
      <c r="D236" s="1246" t="str">
        <f>IF(AND(Projektgrundlagen!$I$21,'StB-D1 Besondere Lstg'!M187=TRUE),'StB-D1 Besondere Lstg'!I187,IF(AND(Projektgrundlagen!$I$22,'HB-D1 Besondere Lstg Land'!M187=TRUE),(IF('HB-D1 Besondere Lstg Land'!H187&gt;0,"v.H.","pauschal")),IF(AND(Projektgrundlagen!$I$23,'HB-D2 Besondere Lstg Bund'!M187=TRUE),(IF('HB-D2 Besondere Lstg Bund'!H187&gt;0,"v.H.","pauschal")),"")))</f>
        <v/>
      </c>
      <c r="E236" s="1246" t="str">
        <f>IF(AND(Projektgrundlagen!$I$21,'StB-D1 Besondere Lstg'!M187=TRUE),'StB-D1 Besondere Lstg'!J187,IF(AND(Projektgrundlagen!$I$22,'HB-D1 Besondere Lstg Land'!M187=TRUE),'HB-D1 Besondere Lstg Land'!H187+'HB-D1 Besondere Lstg Land'!J187,IF(AND(Projektgrundlagen!$I$23,'HB-D2 Besondere Lstg Bund'!M187=TRUE),'HB-D2 Besondere Lstg Bund'!H187+'HB-D2 Besondere Lstg Bund'!J187,"")))</f>
        <v/>
      </c>
      <c r="F236" s="1246" t="str">
        <f>IF(AND(Projektgrundlagen!$I$21,'StB-D1 Besondere Lstg'!M187=TRUE),'StB-D1 Besondere Lstg'!K187,IF(AND(Projektgrundlagen!$I$22,'HB-D1 Besondere Lstg Land'!M187=TRUE),'HB-D1 Besondere Lstg Land'!K187,IF(AND(Projektgrundlagen!$I$23,'HB-D2 Besondere Lstg Bund'!M187=TRUE),'HB-D2 Besondere Lstg Bund'!K187,"")))</f>
        <v/>
      </c>
      <c r="G236" s="1253"/>
      <c r="H236" s="1254"/>
    </row>
    <row r="237" spans="2:8" ht="14.4">
      <c r="B237" t="str">
        <f>IF(AND(Projektgrundlagen!$I$21,'StB-D1 Besondere Lstg'!M188=TRUE),'StB-D1 Besondere Lstg'!C188&amp;" "&amp;'StB-D1 Besondere Lstg'!F188&amp;" "&amp;'StB-D1 Besondere Lstg'!F189,IF(AND(Projektgrundlagen!$I$22,'HB-D1 Besondere Lstg Land'!M188=TRUE),'HB-D1 Besondere Lstg Land'!C188&amp;" "&amp;'HB-D1 Besondere Lstg Land'!F188&amp;" "&amp;'HB-D1 Besondere Lstg Land'!F189,IF(AND(Projektgrundlagen!$I$23,'HB-D2 Besondere Lstg Bund'!M188=TRUE),'HB-D2 Besondere Lstg Bund'!C188&amp;" "&amp;'HB-D2 Besondere Lstg Bund'!F188&amp;" "&amp;'HB-D2 Besondere Lstg Bund'!F189,"")))</f>
        <v/>
      </c>
      <c r="C237" s="1246" t="str">
        <f>IF(AND(Projektgrundlagen!$I$21,'StB-D1 Besondere Lstg'!M188=TRUE),'StB-D1 Besondere Lstg'!H188,"")</f>
        <v/>
      </c>
      <c r="D237" s="1246" t="str">
        <f>IF(AND(Projektgrundlagen!$I$21,'StB-D1 Besondere Lstg'!M188=TRUE),'StB-D1 Besondere Lstg'!I188,IF(AND(Projektgrundlagen!$I$22,'HB-D1 Besondere Lstg Land'!M188=TRUE),(IF('HB-D1 Besondere Lstg Land'!H188&gt;0,"v.H.","pauschal")),IF(AND(Projektgrundlagen!$I$23,'HB-D2 Besondere Lstg Bund'!M188=TRUE),(IF('HB-D2 Besondere Lstg Bund'!H188&gt;0,"v.H.","pauschal")),"")))</f>
        <v/>
      </c>
      <c r="E237" s="1246" t="str">
        <f>IF(AND(Projektgrundlagen!$I$21,'StB-D1 Besondere Lstg'!M188=TRUE),'StB-D1 Besondere Lstg'!J188,IF(AND(Projektgrundlagen!$I$22,'HB-D1 Besondere Lstg Land'!M188=TRUE),'HB-D1 Besondere Lstg Land'!H188+'HB-D1 Besondere Lstg Land'!J188,IF(AND(Projektgrundlagen!$I$23,'HB-D2 Besondere Lstg Bund'!M188=TRUE),'HB-D2 Besondere Lstg Bund'!H188+'HB-D2 Besondere Lstg Bund'!J188,"")))</f>
        <v/>
      </c>
      <c r="F237" s="1246" t="str">
        <f>IF(AND(Projektgrundlagen!$I$21,'StB-D1 Besondere Lstg'!M188=TRUE),'StB-D1 Besondere Lstg'!K188,IF(AND(Projektgrundlagen!$I$22,'HB-D1 Besondere Lstg Land'!M188=TRUE),'HB-D1 Besondere Lstg Land'!K188,IF(AND(Projektgrundlagen!$I$23,'HB-D2 Besondere Lstg Bund'!M188=TRUE),'HB-D2 Besondere Lstg Bund'!K188,"")))</f>
        <v/>
      </c>
      <c r="G237" s="1253"/>
      <c r="H237" s="1254"/>
    </row>
    <row r="238" spans="2:8" ht="14.4">
      <c r="B238" t="str">
        <f>IF(AND(Projektgrundlagen!$I$21,'StB-D1 Besondere Lstg'!M189=TRUE),'StB-D1 Besondere Lstg'!C189&amp;" "&amp;'StB-D1 Besondere Lstg'!F189&amp;" "&amp;'StB-D1 Besondere Lstg'!F190,IF(AND(Projektgrundlagen!$I$22,'HB-D1 Besondere Lstg Land'!M189=TRUE),'HB-D1 Besondere Lstg Land'!C189&amp;" "&amp;'HB-D1 Besondere Lstg Land'!F189&amp;" "&amp;'HB-D1 Besondere Lstg Land'!F190,IF(AND(Projektgrundlagen!$I$23,'HB-D2 Besondere Lstg Bund'!M189=TRUE),'HB-D2 Besondere Lstg Bund'!C189&amp;" "&amp;'HB-D2 Besondere Lstg Bund'!F189&amp;" "&amp;'HB-D2 Besondere Lstg Bund'!F190,"")))</f>
        <v/>
      </c>
      <c r="C238" s="1246" t="str">
        <f>IF(AND(Projektgrundlagen!$I$21,'StB-D1 Besondere Lstg'!M189=TRUE),'StB-D1 Besondere Lstg'!H189,"")</f>
        <v/>
      </c>
      <c r="D238" s="1246" t="str">
        <f>IF(AND(Projektgrundlagen!$I$21,'StB-D1 Besondere Lstg'!M189=TRUE),'StB-D1 Besondere Lstg'!I189,IF(AND(Projektgrundlagen!$I$22,'HB-D1 Besondere Lstg Land'!M189=TRUE),(IF('HB-D1 Besondere Lstg Land'!H189&gt;0,"v.H.","pauschal")),IF(AND(Projektgrundlagen!$I$23,'HB-D2 Besondere Lstg Bund'!M189=TRUE),(IF('HB-D2 Besondere Lstg Bund'!H189&gt;0,"v.H.","pauschal")),"")))</f>
        <v/>
      </c>
      <c r="E238" s="1246" t="str">
        <f>IF(AND(Projektgrundlagen!$I$21,'StB-D1 Besondere Lstg'!M189=TRUE),'StB-D1 Besondere Lstg'!J189,IF(AND(Projektgrundlagen!$I$22,'HB-D1 Besondere Lstg Land'!M189=TRUE),'HB-D1 Besondere Lstg Land'!H189+'HB-D1 Besondere Lstg Land'!J189,IF(AND(Projektgrundlagen!$I$23,'HB-D2 Besondere Lstg Bund'!M189=TRUE),'HB-D2 Besondere Lstg Bund'!H189+'HB-D2 Besondere Lstg Bund'!J189,"")))</f>
        <v/>
      </c>
      <c r="F238" s="1246" t="str">
        <f>IF(AND(Projektgrundlagen!$I$21,'StB-D1 Besondere Lstg'!M189=TRUE),'StB-D1 Besondere Lstg'!K189,IF(AND(Projektgrundlagen!$I$22,'HB-D1 Besondere Lstg Land'!M189=TRUE),'HB-D1 Besondere Lstg Land'!K189,IF(AND(Projektgrundlagen!$I$23,'HB-D2 Besondere Lstg Bund'!M189=TRUE),'HB-D2 Besondere Lstg Bund'!K189,"")))</f>
        <v/>
      </c>
      <c r="G238" s="1253"/>
      <c r="H238" s="1254"/>
    </row>
    <row r="239" spans="2:8" ht="14.4">
      <c r="B239" t="str">
        <f>IF(AND(Projektgrundlagen!$I$21,'StB-D1 Besondere Lstg'!M190=TRUE),'StB-D1 Besondere Lstg'!C190&amp;" "&amp;'StB-D1 Besondere Lstg'!F190&amp;" "&amp;'StB-D1 Besondere Lstg'!F191,IF(AND(Projektgrundlagen!$I$22,'HB-D1 Besondere Lstg Land'!M190=TRUE),'HB-D1 Besondere Lstg Land'!C190&amp;" "&amp;'HB-D1 Besondere Lstg Land'!F190&amp;" "&amp;'HB-D1 Besondere Lstg Land'!F191,IF(AND(Projektgrundlagen!$I$23,'HB-D2 Besondere Lstg Bund'!M190=TRUE),'HB-D2 Besondere Lstg Bund'!C190&amp;" "&amp;'HB-D2 Besondere Lstg Bund'!F190&amp;" "&amp;'HB-D2 Besondere Lstg Bund'!F191,"")))</f>
        <v/>
      </c>
      <c r="C239" s="1246" t="str">
        <f>IF(AND(Projektgrundlagen!$I$21,'StB-D1 Besondere Lstg'!M190=TRUE),'StB-D1 Besondere Lstg'!H190,"")</f>
        <v/>
      </c>
      <c r="D239" s="1246" t="str">
        <f>IF(AND(Projektgrundlagen!$I$21,'StB-D1 Besondere Lstg'!M190=TRUE),'StB-D1 Besondere Lstg'!I190,IF(AND(Projektgrundlagen!$I$22,'HB-D1 Besondere Lstg Land'!M190=TRUE),(IF('HB-D1 Besondere Lstg Land'!H190&gt;0,"v.H.","pauschal")),IF(AND(Projektgrundlagen!$I$23,'HB-D2 Besondere Lstg Bund'!M190=TRUE),(IF('HB-D2 Besondere Lstg Bund'!H190&gt;0,"v.H.","pauschal")),"")))</f>
        <v/>
      </c>
      <c r="E239" s="1246" t="str">
        <f>IF(AND(Projektgrundlagen!$I$21,'StB-D1 Besondere Lstg'!M190=TRUE),'StB-D1 Besondere Lstg'!J190,IF(AND(Projektgrundlagen!$I$22,'HB-D1 Besondere Lstg Land'!M190=TRUE),'HB-D1 Besondere Lstg Land'!H190+'HB-D1 Besondere Lstg Land'!J190,IF(AND(Projektgrundlagen!$I$23,'HB-D2 Besondere Lstg Bund'!M190=TRUE),'HB-D2 Besondere Lstg Bund'!H190+'HB-D2 Besondere Lstg Bund'!J190,"")))</f>
        <v/>
      </c>
      <c r="F239" s="1246" t="str">
        <f>IF(AND(Projektgrundlagen!$I$21,'StB-D1 Besondere Lstg'!M190=TRUE),'StB-D1 Besondere Lstg'!K190,IF(AND(Projektgrundlagen!$I$22,'HB-D1 Besondere Lstg Land'!M190=TRUE),'HB-D1 Besondere Lstg Land'!K190,IF(AND(Projektgrundlagen!$I$23,'HB-D2 Besondere Lstg Bund'!M190=TRUE),'HB-D2 Besondere Lstg Bund'!K190,"")))</f>
        <v/>
      </c>
      <c r="G239" s="1253"/>
      <c r="H239" s="1254"/>
    </row>
    <row r="240" spans="2:8" ht="14.4">
      <c r="B240" t="str">
        <f>IF(AND(Projektgrundlagen!$I$21,'StB-D1 Besondere Lstg'!M191=TRUE),'StB-D1 Besondere Lstg'!C191&amp;" "&amp;'StB-D1 Besondere Lstg'!F191&amp;" "&amp;'StB-D1 Besondere Lstg'!F192,IF(AND(Projektgrundlagen!$I$22,'HB-D1 Besondere Lstg Land'!M191=TRUE),'HB-D1 Besondere Lstg Land'!C191&amp;" "&amp;'HB-D1 Besondere Lstg Land'!F191&amp;" "&amp;'HB-D1 Besondere Lstg Land'!F192,IF(AND(Projektgrundlagen!$I$23,'HB-D2 Besondere Lstg Bund'!M191=TRUE),'HB-D2 Besondere Lstg Bund'!C191&amp;" "&amp;'HB-D2 Besondere Lstg Bund'!F191&amp;" "&amp;'HB-D2 Besondere Lstg Bund'!F192,"")))</f>
        <v/>
      </c>
      <c r="C240" s="1246" t="str">
        <f>IF(AND(Projektgrundlagen!$I$21,'StB-D1 Besondere Lstg'!M191=TRUE),'StB-D1 Besondere Lstg'!H191,"")</f>
        <v/>
      </c>
      <c r="D240" s="1246" t="str">
        <f>IF(AND(Projektgrundlagen!$I$21,'StB-D1 Besondere Lstg'!M191=TRUE),'StB-D1 Besondere Lstg'!I191,IF(AND(Projektgrundlagen!$I$22,'HB-D1 Besondere Lstg Land'!M191=TRUE),(IF('HB-D1 Besondere Lstg Land'!H191&gt;0,"v.H.","pauschal")),IF(AND(Projektgrundlagen!$I$23,'HB-D2 Besondere Lstg Bund'!M191=TRUE),(IF('HB-D2 Besondere Lstg Bund'!H191&gt;0,"v.H.","pauschal")),"")))</f>
        <v/>
      </c>
      <c r="E240" s="1246" t="str">
        <f>IF(AND(Projektgrundlagen!$I$21,'StB-D1 Besondere Lstg'!M191=TRUE),'StB-D1 Besondere Lstg'!J191,IF(AND(Projektgrundlagen!$I$22,'HB-D1 Besondere Lstg Land'!M191=TRUE),'HB-D1 Besondere Lstg Land'!H191+'HB-D1 Besondere Lstg Land'!J191,IF(AND(Projektgrundlagen!$I$23,'HB-D2 Besondere Lstg Bund'!M191=TRUE),'HB-D2 Besondere Lstg Bund'!H191+'HB-D2 Besondere Lstg Bund'!J191,"")))</f>
        <v/>
      </c>
      <c r="F240" s="1246" t="str">
        <f>IF(AND(Projektgrundlagen!$I$21,'StB-D1 Besondere Lstg'!M191=TRUE),'StB-D1 Besondere Lstg'!K191,IF(AND(Projektgrundlagen!$I$22,'HB-D1 Besondere Lstg Land'!M191=TRUE),'HB-D1 Besondere Lstg Land'!K191,IF(AND(Projektgrundlagen!$I$23,'HB-D2 Besondere Lstg Bund'!M191=TRUE),'HB-D2 Besondere Lstg Bund'!K191,"")))</f>
        <v/>
      </c>
      <c r="G240" s="1253"/>
      <c r="H240" s="1254"/>
    </row>
    <row r="241" spans="2:8" ht="14.4">
      <c r="B241" t="str">
        <f>IF(AND(Projektgrundlagen!$I$21,'StB-D1 Besondere Lstg'!M192=TRUE),'StB-D1 Besondere Lstg'!C192&amp;" "&amp;'StB-D1 Besondere Lstg'!F192&amp;" "&amp;'StB-D1 Besondere Lstg'!F193,IF(AND(Projektgrundlagen!$I$22,'HB-D1 Besondere Lstg Land'!M192=TRUE),'HB-D1 Besondere Lstg Land'!C192&amp;" "&amp;'HB-D1 Besondere Lstg Land'!F192&amp;" "&amp;'HB-D1 Besondere Lstg Land'!F193,IF(AND(Projektgrundlagen!$I$23,'HB-D2 Besondere Lstg Bund'!M192=TRUE),'HB-D2 Besondere Lstg Bund'!C192&amp;" "&amp;'HB-D2 Besondere Lstg Bund'!F192&amp;" "&amp;'HB-D2 Besondere Lstg Bund'!F193,"")))</f>
        <v/>
      </c>
      <c r="C241" s="1246" t="str">
        <f>IF(AND(Projektgrundlagen!$I$21,'StB-D1 Besondere Lstg'!M192=TRUE),'StB-D1 Besondere Lstg'!H192,"")</f>
        <v/>
      </c>
      <c r="D241" s="1246" t="str">
        <f>IF(AND(Projektgrundlagen!$I$21,'StB-D1 Besondere Lstg'!M192=TRUE),'StB-D1 Besondere Lstg'!I192,IF(AND(Projektgrundlagen!$I$22,'HB-D1 Besondere Lstg Land'!M192=TRUE),(IF('HB-D1 Besondere Lstg Land'!H192&gt;0,"v.H.","pauschal")),IF(AND(Projektgrundlagen!$I$23,'HB-D2 Besondere Lstg Bund'!M192=TRUE),(IF('HB-D2 Besondere Lstg Bund'!H192&gt;0,"v.H.","pauschal")),"")))</f>
        <v/>
      </c>
      <c r="E241" s="1246" t="str">
        <f>IF(AND(Projektgrundlagen!$I$21,'StB-D1 Besondere Lstg'!M192=TRUE),'StB-D1 Besondere Lstg'!J192,IF(AND(Projektgrundlagen!$I$22,'HB-D1 Besondere Lstg Land'!M192=TRUE),'HB-D1 Besondere Lstg Land'!H192+'HB-D1 Besondere Lstg Land'!J192,IF(AND(Projektgrundlagen!$I$23,'HB-D2 Besondere Lstg Bund'!M192=TRUE),'HB-D2 Besondere Lstg Bund'!H192+'HB-D2 Besondere Lstg Bund'!J192,"")))</f>
        <v/>
      </c>
      <c r="F241" s="1246" t="str">
        <f>IF(AND(Projektgrundlagen!$I$21,'StB-D1 Besondere Lstg'!M192=TRUE),'StB-D1 Besondere Lstg'!K192,IF(AND(Projektgrundlagen!$I$22,'HB-D1 Besondere Lstg Land'!M192=TRUE),'HB-D1 Besondere Lstg Land'!K192,IF(AND(Projektgrundlagen!$I$23,'HB-D2 Besondere Lstg Bund'!M192=TRUE),'HB-D2 Besondere Lstg Bund'!K192,"")))</f>
        <v/>
      </c>
      <c r="G241" s="1253"/>
      <c r="H241" s="1254"/>
    </row>
    <row r="242" spans="2:8" ht="14.4">
      <c r="B242" t="str">
        <f>IF(AND(Projektgrundlagen!$I$21,'StB-D1 Besondere Lstg'!M193=TRUE),'StB-D1 Besondere Lstg'!C193&amp;" "&amp;'StB-D1 Besondere Lstg'!F193&amp;" "&amp;'StB-D1 Besondere Lstg'!F194,IF(AND(Projektgrundlagen!$I$22,'HB-D1 Besondere Lstg Land'!M193=TRUE),'HB-D1 Besondere Lstg Land'!C193&amp;" "&amp;'HB-D1 Besondere Lstg Land'!F193&amp;" "&amp;'HB-D1 Besondere Lstg Land'!F194,IF(AND(Projektgrundlagen!$I$23,'HB-D2 Besondere Lstg Bund'!M193=TRUE),'HB-D2 Besondere Lstg Bund'!C193&amp;" "&amp;'HB-D2 Besondere Lstg Bund'!F193&amp;" "&amp;'HB-D2 Besondere Lstg Bund'!F194,"")))</f>
        <v/>
      </c>
      <c r="C242" s="1246" t="str">
        <f>IF(AND(Projektgrundlagen!$I$21,'StB-D1 Besondere Lstg'!M193=TRUE),'StB-D1 Besondere Lstg'!H193,"")</f>
        <v/>
      </c>
      <c r="D242" s="1246" t="str">
        <f>IF(AND(Projektgrundlagen!$I$21,'StB-D1 Besondere Lstg'!M193=TRUE),'StB-D1 Besondere Lstg'!I193,IF(AND(Projektgrundlagen!$I$22,'HB-D1 Besondere Lstg Land'!M193=TRUE),(IF('HB-D1 Besondere Lstg Land'!H193&gt;0,"v.H.","pauschal")),IF(AND(Projektgrundlagen!$I$23,'HB-D2 Besondere Lstg Bund'!M193=TRUE),(IF('HB-D2 Besondere Lstg Bund'!H193&gt;0,"v.H.","pauschal")),"")))</f>
        <v/>
      </c>
      <c r="E242" s="1246" t="str">
        <f>IF(AND(Projektgrundlagen!$I$21,'StB-D1 Besondere Lstg'!M193=TRUE),'StB-D1 Besondere Lstg'!J193,IF(AND(Projektgrundlagen!$I$22,'HB-D1 Besondere Lstg Land'!M193=TRUE),'HB-D1 Besondere Lstg Land'!H193+'HB-D1 Besondere Lstg Land'!J193,IF(AND(Projektgrundlagen!$I$23,'HB-D2 Besondere Lstg Bund'!M193=TRUE),'HB-D2 Besondere Lstg Bund'!H193+'HB-D2 Besondere Lstg Bund'!J193,"")))</f>
        <v/>
      </c>
      <c r="F242" s="1246" t="str">
        <f>IF(AND(Projektgrundlagen!$I$21,'StB-D1 Besondere Lstg'!M193=TRUE),'StB-D1 Besondere Lstg'!K193,IF(AND(Projektgrundlagen!$I$22,'HB-D1 Besondere Lstg Land'!M193=TRUE),'HB-D1 Besondere Lstg Land'!K193,IF(AND(Projektgrundlagen!$I$23,'HB-D2 Besondere Lstg Bund'!M193=TRUE),'HB-D2 Besondere Lstg Bund'!K193,"")))</f>
        <v/>
      </c>
      <c r="G242" s="1253"/>
      <c r="H242" s="1254"/>
    </row>
    <row r="243" spans="2:8" ht="14.4">
      <c r="B243" t="str">
        <f>IF(AND(Projektgrundlagen!$I$21,'StB-D1 Besondere Lstg'!M194=TRUE),'StB-D1 Besondere Lstg'!C194&amp;" "&amp;'StB-D1 Besondere Lstg'!F194&amp;" "&amp;'StB-D1 Besondere Lstg'!F195,IF(AND(Projektgrundlagen!$I$22,'HB-D1 Besondere Lstg Land'!M194=TRUE),'HB-D1 Besondere Lstg Land'!C194&amp;" "&amp;'HB-D1 Besondere Lstg Land'!F194&amp;" "&amp;'HB-D1 Besondere Lstg Land'!F195,IF(AND(Projektgrundlagen!$I$23,'HB-D2 Besondere Lstg Bund'!M194=TRUE),'HB-D2 Besondere Lstg Bund'!C194&amp;" "&amp;'HB-D2 Besondere Lstg Bund'!F194&amp;" "&amp;'HB-D2 Besondere Lstg Bund'!F195,"")))</f>
        <v/>
      </c>
      <c r="C243" s="1246" t="str">
        <f>IF(AND(Projektgrundlagen!$I$21,'StB-D1 Besondere Lstg'!M194=TRUE),'StB-D1 Besondere Lstg'!H194,"")</f>
        <v/>
      </c>
      <c r="D243" s="1246" t="str">
        <f>IF(AND(Projektgrundlagen!$I$21,'StB-D1 Besondere Lstg'!M194=TRUE),'StB-D1 Besondere Lstg'!I194,IF(AND(Projektgrundlagen!$I$22,'HB-D1 Besondere Lstg Land'!M194=TRUE),(IF('HB-D1 Besondere Lstg Land'!H194&gt;0,"v.H.","pauschal")),IF(AND(Projektgrundlagen!$I$23,'HB-D2 Besondere Lstg Bund'!M194=TRUE),(IF('HB-D2 Besondere Lstg Bund'!H194&gt;0,"v.H.","pauschal")),"")))</f>
        <v/>
      </c>
      <c r="E243" s="1246" t="str">
        <f>IF(AND(Projektgrundlagen!$I$21,'StB-D1 Besondere Lstg'!M194=TRUE),'StB-D1 Besondere Lstg'!J194,IF(AND(Projektgrundlagen!$I$22,'HB-D1 Besondere Lstg Land'!M194=TRUE),'HB-D1 Besondere Lstg Land'!H194+'HB-D1 Besondere Lstg Land'!J194,IF(AND(Projektgrundlagen!$I$23,'HB-D2 Besondere Lstg Bund'!M194=TRUE),'HB-D2 Besondere Lstg Bund'!H194+'HB-D2 Besondere Lstg Bund'!J194,"")))</f>
        <v/>
      </c>
      <c r="F243" s="1246" t="str">
        <f>IF(AND(Projektgrundlagen!$I$21,'StB-D1 Besondere Lstg'!M194=TRUE),'StB-D1 Besondere Lstg'!K194,IF(AND(Projektgrundlagen!$I$22,'HB-D1 Besondere Lstg Land'!M194=TRUE),'HB-D1 Besondere Lstg Land'!K194,IF(AND(Projektgrundlagen!$I$23,'HB-D2 Besondere Lstg Bund'!M194=TRUE),'HB-D2 Besondere Lstg Bund'!K194,"")))</f>
        <v/>
      </c>
      <c r="G243" s="1253"/>
      <c r="H243" s="1254"/>
    </row>
    <row r="244" spans="2:8" ht="14.4">
      <c r="B244" t="str">
        <f>IF(AND(Projektgrundlagen!$I$21,'StB-D1 Besondere Lstg'!M195=TRUE),'StB-D1 Besondere Lstg'!C195&amp;" "&amp;'StB-D1 Besondere Lstg'!F195&amp;" "&amp;'StB-D1 Besondere Lstg'!F196,IF(AND(Projektgrundlagen!$I$22,'HB-D1 Besondere Lstg Land'!M195=TRUE),'HB-D1 Besondere Lstg Land'!C195&amp;" "&amp;'HB-D1 Besondere Lstg Land'!F195&amp;" "&amp;'HB-D1 Besondere Lstg Land'!F196,IF(AND(Projektgrundlagen!$I$23,'HB-D2 Besondere Lstg Bund'!M195=TRUE),'HB-D2 Besondere Lstg Bund'!C195&amp;" "&amp;'HB-D2 Besondere Lstg Bund'!F195&amp;" "&amp;'HB-D2 Besondere Lstg Bund'!F196,"")))</f>
        <v/>
      </c>
      <c r="C244" s="1246" t="str">
        <f>IF(AND(Projektgrundlagen!$I$21,'StB-D1 Besondere Lstg'!M195=TRUE),'StB-D1 Besondere Lstg'!H195,"")</f>
        <v/>
      </c>
      <c r="D244" s="1246" t="str">
        <f>IF(AND(Projektgrundlagen!$I$21,'StB-D1 Besondere Lstg'!M195=TRUE),'StB-D1 Besondere Lstg'!I195,IF(AND(Projektgrundlagen!$I$22,'HB-D1 Besondere Lstg Land'!M195=TRUE),(IF('HB-D1 Besondere Lstg Land'!H195&gt;0,"v.H.","pauschal")),IF(AND(Projektgrundlagen!$I$23,'HB-D2 Besondere Lstg Bund'!M195=TRUE),(IF('HB-D2 Besondere Lstg Bund'!H195&gt;0,"v.H.","pauschal")),"")))</f>
        <v/>
      </c>
      <c r="E244" s="1246" t="str">
        <f>IF(AND(Projektgrundlagen!$I$21,'StB-D1 Besondere Lstg'!M195=TRUE),'StB-D1 Besondere Lstg'!J195,IF(AND(Projektgrundlagen!$I$22,'HB-D1 Besondere Lstg Land'!M195=TRUE),'HB-D1 Besondere Lstg Land'!H195+'HB-D1 Besondere Lstg Land'!J195,IF(AND(Projektgrundlagen!$I$23,'HB-D2 Besondere Lstg Bund'!M195=TRUE),'HB-D2 Besondere Lstg Bund'!H195+'HB-D2 Besondere Lstg Bund'!J195,"")))</f>
        <v/>
      </c>
      <c r="F244" s="1246" t="str">
        <f>IF(AND(Projektgrundlagen!$I$21,'StB-D1 Besondere Lstg'!M195=TRUE),'StB-D1 Besondere Lstg'!K195,IF(AND(Projektgrundlagen!$I$22,'HB-D1 Besondere Lstg Land'!M195=TRUE),'HB-D1 Besondere Lstg Land'!K195,IF(AND(Projektgrundlagen!$I$23,'HB-D2 Besondere Lstg Bund'!M195=TRUE),'HB-D2 Besondere Lstg Bund'!K195,"")))</f>
        <v/>
      </c>
      <c r="G244" s="1253"/>
      <c r="H244" s="1254"/>
    </row>
    <row r="245" spans="2:8" ht="14.4">
      <c r="B245" t="str">
        <f>IF(AND(Projektgrundlagen!$I$21,'StB-D1 Besondere Lstg'!M196=TRUE),'StB-D1 Besondere Lstg'!C196&amp;" "&amp;'StB-D1 Besondere Lstg'!F196&amp;" "&amp;'StB-D1 Besondere Lstg'!F197,IF(AND(Projektgrundlagen!$I$22,'HB-D1 Besondere Lstg Land'!M196=TRUE),'HB-D1 Besondere Lstg Land'!C196&amp;" "&amp;'HB-D1 Besondere Lstg Land'!F196&amp;" "&amp;'HB-D1 Besondere Lstg Land'!F197,IF(AND(Projektgrundlagen!$I$23,'HB-D2 Besondere Lstg Bund'!M196=TRUE),'HB-D2 Besondere Lstg Bund'!C196&amp;" "&amp;'HB-D2 Besondere Lstg Bund'!F196&amp;" "&amp;'HB-D2 Besondere Lstg Bund'!F197,"")))</f>
        <v/>
      </c>
      <c r="C245" s="1246" t="str">
        <f>IF(AND(Projektgrundlagen!$I$21,'StB-D1 Besondere Lstg'!M196=TRUE),'StB-D1 Besondere Lstg'!H196,"")</f>
        <v/>
      </c>
      <c r="D245" s="1246" t="str">
        <f>IF(AND(Projektgrundlagen!$I$21,'StB-D1 Besondere Lstg'!M196=TRUE),'StB-D1 Besondere Lstg'!I196,IF(AND(Projektgrundlagen!$I$22,'HB-D1 Besondere Lstg Land'!M196=TRUE),(IF('HB-D1 Besondere Lstg Land'!H196&gt;0,"v.H.","pauschal")),IF(AND(Projektgrundlagen!$I$23,'HB-D2 Besondere Lstg Bund'!M196=TRUE),(IF('HB-D2 Besondere Lstg Bund'!H196&gt;0,"v.H.","pauschal")),"")))</f>
        <v/>
      </c>
      <c r="E245" s="1246" t="str">
        <f>IF(AND(Projektgrundlagen!$I$21,'StB-D1 Besondere Lstg'!M196=TRUE),'StB-D1 Besondere Lstg'!J196,IF(AND(Projektgrundlagen!$I$22,'HB-D1 Besondere Lstg Land'!M196=TRUE),'HB-D1 Besondere Lstg Land'!H196+'HB-D1 Besondere Lstg Land'!J196,IF(AND(Projektgrundlagen!$I$23,'HB-D2 Besondere Lstg Bund'!M196=TRUE),'HB-D2 Besondere Lstg Bund'!H196+'HB-D2 Besondere Lstg Bund'!J196,"")))</f>
        <v/>
      </c>
      <c r="F245" s="1246" t="str">
        <f>IF(AND(Projektgrundlagen!$I$21,'StB-D1 Besondere Lstg'!M196=TRUE),'StB-D1 Besondere Lstg'!K196,IF(AND(Projektgrundlagen!$I$22,'HB-D1 Besondere Lstg Land'!M196=TRUE),'HB-D1 Besondere Lstg Land'!K196,IF(AND(Projektgrundlagen!$I$23,'HB-D2 Besondere Lstg Bund'!M196=TRUE),'HB-D2 Besondere Lstg Bund'!K196,"")))</f>
        <v/>
      </c>
      <c r="G245" s="1253"/>
      <c r="H245" s="1254"/>
    </row>
    <row r="246" spans="2:8" ht="14.4">
      <c r="B246" t="str">
        <f>IF(AND(Projektgrundlagen!$I$21,'StB-D1 Besondere Lstg'!M197=TRUE),'StB-D1 Besondere Lstg'!C197&amp;" "&amp;'StB-D1 Besondere Lstg'!F197&amp;" "&amp;'StB-D1 Besondere Lstg'!F198,IF(AND(Projektgrundlagen!$I$22,'HB-D1 Besondere Lstg Land'!M197=TRUE),'HB-D1 Besondere Lstg Land'!C197&amp;" "&amp;'HB-D1 Besondere Lstg Land'!F197&amp;" "&amp;'HB-D1 Besondere Lstg Land'!F198,IF(AND(Projektgrundlagen!$I$23,'HB-D2 Besondere Lstg Bund'!M197=TRUE),'HB-D2 Besondere Lstg Bund'!C197&amp;" "&amp;'HB-D2 Besondere Lstg Bund'!F197&amp;" "&amp;'HB-D2 Besondere Lstg Bund'!F198,"")))</f>
        <v/>
      </c>
      <c r="C246" s="1246" t="str">
        <f>IF(AND(Projektgrundlagen!$I$21,'StB-D1 Besondere Lstg'!M197=TRUE),'StB-D1 Besondere Lstg'!H197,"")</f>
        <v/>
      </c>
      <c r="D246" s="1246" t="str">
        <f>IF(AND(Projektgrundlagen!$I$21,'StB-D1 Besondere Lstg'!M197=TRUE),'StB-D1 Besondere Lstg'!I197,IF(AND(Projektgrundlagen!$I$22,'HB-D1 Besondere Lstg Land'!M197=TRUE),(IF('HB-D1 Besondere Lstg Land'!H197&gt;0,"v.H.","pauschal")),IF(AND(Projektgrundlagen!$I$23,'HB-D2 Besondere Lstg Bund'!M197=TRUE),(IF('HB-D2 Besondere Lstg Bund'!H197&gt;0,"v.H.","pauschal")),"")))</f>
        <v/>
      </c>
      <c r="E246" s="1246" t="str">
        <f>IF(AND(Projektgrundlagen!$I$21,'StB-D1 Besondere Lstg'!M197=TRUE),'StB-D1 Besondere Lstg'!J197,IF(AND(Projektgrundlagen!$I$22,'HB-D1 Besondere Lstg Land'!M197=TRUE),'HB-D1 Besondere Lstg Land'!H197+'HB-D1 Besondere Lstg Land'!J197,IF(AND(Projektgrundlagen!$I$23,'HB-D2 Besondere Lstg Bund'!M197=TRUE),'HB-D2 Besondere Lstg Bund'!H197+'HB-D2 Besondere Lstg Bund'!J197,"")))</f>
        <v/>
      </c>
      <c r="F246" s="1246" t="str">
        <f>IF(AND(Projektgrundlagen!$I$21,'StB-D1 Besondere Lstg'!M197=TRUE),'StB-D1 Besondere Lstg'!K197,IF(AND(Projektgrundlagen!$I$22,'HB-D1 Besondere Lstg Land'!M197=TRUE),'HB-D1 Besondere Lstg Land'!K197,IF(AND(Projektgrundlagen!$I$23,'HB-D2 Besondere Lstg Bund'!M197=TRUE),'HB-D2 Besondere Lstg Bund'!K197,"")))</f>
        <v/>
      </c>
      <c r="G246" s="1253"/>
      <c r="H246" s="1254"/>
    </row>
    <row r="247" spans="2:8" ht="14.4">
      <c r="B247" t="str">
        <f>IF(AND(Projektgrundlagen!$I$21,'StB-D1 Besondere Lstg'!M198=TRUE),'StB-D1 Besondere Lstg'!C198&amp;" "&amp;'StB-D1 Besondere Lstg'!F198&amp;" "&amp;'StB-D1 Besondere Lstg'!F199,IF(AND(Projektgrundlagen!$I$22,'HB-D1 Besondere Lstg Land'!M198=TRUE),'HB-D1 Besondere Lstg Land'!C198&amp;" "&amp;'HB-D1 Besondere Lstg Land'!F198&amp;" "&amp;'HB-D1 Besondere Lstg Land'!F199,IF(AND(Projektgrundlagen!$I$23,'HB-D2 Besondere Lstg Bund'!M198=TRUE),'HB-D2 Besondere Lstg Bund'!C198&amp;" "&amp;'HB-D2 Besondere Lstg Bund'!F198&amp;" "&amp;'HB-D2 Besondere Lstg Bund'!F199,"")))</f>
        <v/>
      </c>
      <c r="C247" s="1246" t="str">
        <f>IF(AND(Projektgrundlagen!$I$21,'StB-D1 Besondere Lstg'!M198=TRUE),'StB-D1 Besondere Lstg'!H198,"")</f>
        <v/>
      </c>
      <c r="D247" s="1246" t="str">
        <f>IF(AND(Projektgrundlagen!$I$21,'StB-D1 Besondere Lstg'!M198=TRUE),'StB-D1 Besondere Lstg'!I198,IF(AND(Projektgrundlagen!$I$22,'HB-D1 Besondere Lstg Land'!M198=TRUE),(IF('HB-D1 Besondere Lstg Land'!H198&gt;0,"v.H.","pauschal")),IF(AND(Projektgrundlagen!$I$23,'HB-D2 Besondere Lstg Bund'!M198=TRUE),(IF('HB-D2 Besondere Lstg Bund'!H198&gt;0,"v.H.","pauschal")),"")))</f>
        <v/>
      </c>
      <c r="E247" s="1246" t="str">
        <f>IF(AND(Projektgrundlagen!$I$21,'StB-D1 Besondere Lstg'!M198=TRUE),'StB-D1 Besondere Lstg'!J198,IF(AND(Projektgrundlagen!$I$22,'HB-D1 Besondere Lstg Land'!M198=TRUE),'HB-D1 Besondere Lstg Land'!H198+'HB-D1 Besondere Lstg Land'!J198,IF(AND(Projektgrundlagen!$I$23,'HB-D2 Besondere Lstg Bund'!M198=TRUE),'HB-D2 Besondere Lstg Bund'!H198+'HB-D2 Besondere Lstg Bund'!J198,"")))</f>
        <v/>
      </c>
      <c r="F247" s="1246" t="str">
        <f>IF(AND(Projektgrundlagen!$I$21,'StB-D1 Besondere Lstg'!M198=TRUE),'StB-D1 Besondere Lstg'!K198,IF(AND(Projektgrundlagen!$I$22,'HB-D1 Besondere Lstg Land'!M198=TRUE),'HB-D1 Besondere Lstg Land'!K198,IF(AND(Projektgrundlagen!$I$23,'HB-D2 Besondere Lstg Bund'!M198=TRUE),'HB-D2 Besondere Lstg Bund'!K198,"")))</f>
        <v/>
      </c>
      <c r="G247" s="1253"/>
      <c r="H247" s="1254"/>
    </row>
    <row r="248" spans="2:8" ht="14.4">
      <c r="B248" t="str">
        <f>IF(AND(Projektgrundlagen!$I$21,'StB-D1 Besondere Lstg'!M199=TRUE),'StB-D1 Besondere Lstg'!C199&amp;" "&amp;'StB-D1 Besondere Lstg'!F199&amp;" "&amp;'StB-D1 Besondere Lstg'!F200,IF(AND(Projektgrundlagen!$I$22,'HB-D1 Besondere Lstg Land'!M199=TRUE),'HB-D1 Besondere Lstg Land'!C199&amp;" "&amp;'HB-D1 Besondere Lstg Land'!F199&amp;" "&amp;'HB-D1 Besondere Lstg Land'!F200,IF(AND(Projektgrundlagen!$I$23,'HB-D2 Besondere Lstg Bund'!M199=TRUE),'HB-D2 Besondere Lstg Bund'!C199&amp;" "&amp;'HB-D2 Besondere Lstg Bund'!F199&amp;" "&amp;'HB-D2 Besondere Lstg Bund'!F200,"")))</f>
        <v/>
      </c>
      <c r="C248" s="1246" t="str">
        <f>IF(AND(Projektgrundlagen!$I$21,'StB-D1 Besondere Lstg'!M199=TRUE),'StB-D1 Besondere Lstg'!H199,"")</f>
        <v/>
      </c>
      <c r="D248" s="1246" t="str">
        <f>IF(AND(Projektgrundlagen!$I$21,'StB-D1 Besondere Lstg'!M199=TRUE),'StB-D1 Besondere Lstg'!I199,IF(AND(Projektgrundlagen!$I$22,'HB-D1 Besondere Lstg Land'!M199=TRUE),(IF('HB-D1 Besondere Lstg Land'!H199&gt;0,"v.H.","pauschal")),IF(AND(Projektgrundlagen!$I$23,'HB-D2 Besondere Lstg Bund'!M199=TRUE),(IF('HB-D2 Besondere Lstg Bund'!H199&gt;0,"v.H.","pauschal")),"")))</f>
        <v/>
      </c>
      <c r="E248" s="1246" t="str">
        <f>IF(AND(Projektgrundlagen!$I$21,'StB-D1 Besondere Lstg'!M199=TRUE),'StB-D1 Besondere Lstg'!J199,IF(AND(Projektgrundlagen!$I$22,'HB-D1 Besondere Lstg Land'!M199=TRUE),'HB-D1 Besondere Lstg Land'!H199+'HB-D1 Besondere Lstg Land'!J199,IF(AND(Projektgrundlagen!$I$23,'HB-D2 Besondere Lstg Bund'!M199=TRUE),'HB-D2 Besondere Lstg Bund'!H199+'HB-D2 Besondere Lstg Bund'!J199,"")))</f>
        <v/>
      </c>
      <c r="F248" s="1246" t="str">
        <f>IF(AND(Projektgrundlagen!$I$21,'StB-D1 Besondere Lstg'!M199=TRUE),'StB-D1 Besondere Lstg'!K199,IF(AND(Projektgrundlagen!$I$22,'HB-D1 Besondere Lstg Land'!M199=TRUE),'HB-D1 Besondere Lstg Land'!K199,IF(AND(Projektgrundlagen!$I$23,'HB-D2 Besondere Lstg Bund'!M199=TRUE),'HB-D2 Besondere Lstg Bund'!K199,"")))</f>
        <v/>
      </c>
      <c r="G248" s="1253"/>
      <c r="H248" s="1254"/>
    </row>
    <row r="249" spans="2:8" ht="14.4">
      <c r="B249" t="str">
        <f>IF(AND(Projektgrundlagen!$I$21,'StB-D1 Besondere Lstg'!M200=TRUE),'StB-D1 Besondere Lstg'!C200&amp;" "&amp;'StB-D1 Besondere Lstg'!F200&amp;" "&amp;'StB-D1 Besondere Lstg'!F201,IF(AND(Projektgrundlagen!$I$22,'HB-D1 Besondere Lstg Land'!M200=TRUE),'HB-D1 Besondere Lstg Land'!C200&amp;" "&amp;'HB-D1 Besondere Lstg Land'!F200&amp;" "&amp;'HB-D1 Besondere Lstg Land'!F201,IF(AND(Projektgrundlagen!$I$23,'HB-D2 Besondere Lstg Bund'!M200=TRUE),'HB-D2 Besondere Lstg Bund'!C200&amp;" "&amp;'HB-D2 Besondere Lstg Bund'!F200&amp;" "&amp;'HB-D2 Besondere Lstg Bund'!F201,"")))</f>
        <v/>
      </c>
      <c r="C249" s="1246" t="str">
        <f>IF(AND(Projektgrundlagen!$I$21,'StB-D1 Besondere Lstg'!M200=TRUE),'StB-D1 Besondere Lstg'!H200,"")</f>
        <v/>
      </c>
      <c r="D249" s="1246" t="str">
        <f>IF(AND(Projektgrundlagen!$I$21,'StB-D1 Besondere Lstg'!M200=TRUE),'StB-D1 Besondere Lstg'!I200,IF(AND(Projektgrundlagen!$I$22,'HB-D1 Besondere Lstg Land'!M200=TRUE),(IF('HB-D1 Besondere Lstg Land'!H200&gt;0,"v.H.","pauschal")),IF(AND(Projektgrundlagen!$I$23,'HB-D2 Besondere Lstg Bund'!M200=TRUE),(IF('HB-D2 Besondere Lstg Bund'!H200&gt;0,"v.H.","pauschal")),"")))</f>
        <v/>
      </c>
      <c r="E249" s="1246" t="str">
        <f>IF(AND(Projektgrundlagen!$I$21,'StB-D1 Besondere Lstg'!M200=TRUE),'StB-D1 Besondere Lstg'!J200,IF(AND(Projektgrundlagen!$I$22,'HB-D1 Besondere Lstg Land'!M200=TRUE),'HB-D1 Besondere Lstg Land'!H200+'HB-D1 Besondere Lstg Land'!J200,IF(AND(Projektgrundlagen!$I$23,'HB-D2 Besondere Lstg Bund'!M200=TRUE),'HB-D2 Besondere Lstg Bund'!H200+'HB-D2 Besondere Lstg Bund'!J200,"")))</f>
        <v/>
      </c>
      <c r="F249" s="1246" t="str">
        <f>IF(AND(Projektgrundlagen!$I$21,'StB-D1 Besondere Lstg'!M200=TRUE),'StB-D1 Besondere Lstg'!K200,IF(AND(Projektgrundlagen!$I$22,'HB-D1 Besondere Lstg Land'!M200=TRUE),'HB-D1 Besondere Lstg Land'!K200,IF(AND(Projektgrundlagen!$I$23,'HB-D2 Besondere Lstg Bund'!M200=TRUE),'HB-D2 Besondere Lstg Bund'!K200,"")))</f>
        <v/>
      </c>
      <c r="G249" s="1253"/>
      <c r="H249" s="1254"/>
    </row>
    <row r="250" spans="2:8" ht="14.4">
      <c r="B250" t="str">
        <f>IF(AND(Projektgrundlagen!$I$21,'StB-D1 Besondere Lstg'!M201=TRUE),'StB-D1 Besondere Lstg'!C201&amp;" "&amp;'StB-D1 Besondere Lstg'!F201&amp;" "&amp;'StB-D1 Besondere Lstg'!F202,IF(AND(Projektgrundlagen!$I$22,'HB-D1 Besondere Lstg Land'!M201=TRUE),'HB-D1 Besondere Lstg Land'!C201&amp;" "&amp;'HB-D1 Besondere Lstg Land'!F201&amp;" "&amp;'HB-D1 Besondere Lstg Land'!F202,IF(AND(Projektgrundlagen!$I$23,'HB-D2 Besondere Lstg Bund'!M201=TRUE),'HB-D2 Besondere Lstg Bund'!C201&amp;" "&amp;'HB-D2 Besondere Lstg Bund'!F201&amp;" "&amp;'HB-D2 Besondere Lstg Bund'!F202,"")))</f>
        <v/>
      </c>
      <c r="C250" s="1246" t="str">
        <f>IF(AND(Projektgrundlagen!$I$21,'StB-D1 Besondere Lstg'!M201=TRUE),'StB-D1 Besondere Lstg'!H201,"")</f>
        <v/>
      </c>
      <c r="D250" s="1246" t="str">
        <f>IF(AND(Projektgrundlagen!$I$21,'StB-D1 Besondere Lstg'!M201=TRUE),'StB-D1 Besondere Lstg'!I201,IF(AND(Projektgrundlagen!$I$22,'HB-D1 Besondere Lstg Land'!M201=TRUE),(IF('HB-D1 Besondere Lstg Land'!H201&gt;0,"v.H.","pauschal")),IF(AND(Projektgrundlagen!$I$23,'HB-D2 Besondere Lstg Bund'!M201=TRUE),(IF('HB-D2 Besondere Lstg Bund'!H201&gt;0,"v.H.","pauschal")),"")))</f>
        <v/>
      </c>
      <c r="E250" s="1246" t="str">
        <f>IF(AND(Projektgrundlagen!$I$21,'StB-D1 Besondere Lstg'!M201=TRUE),'StB-D1 Besondere Lstg'!J201,IF(AND(Projektgrundlagen!$I$22,'HB-D1 Besondere Lstg Land'!M201=TRUE),'HB-D1 Besondere Lstg Land'!H201+'HB-D1 Besondere Lstg Land'!J201,IF(AND(Projektgrundlagen!$I$23,'HB-D2 Besondere Lstg Bund'!M201=TRUE),'HB-D2 Besondere Lstg Bund'!H201+'HB-D2 Besondere Lstg Bund'!J201,"")))</f>
        <v/>
      </c>
      <c r="F250" s="1246" t="str">
        <f>IF(AND(Projektgrundlagen!$I$21,'StB-D1 Besondere Lstg'!M201=TRUE),'StB-D1 Besondere Lstg'!K201,IF(AND(Projektgrundlagen!$I$22,'HB-D1 Besondere Lstg Land'!M201=TRUE),'HB-D1 Besondere Lstg Land'!K201,IF(AND(Projektgrundlagen!$I$23,'HB-D2 Besondere Lstg Bund'!M201=TRUE),'HB-D2 Besondere Lstg Bund'!K201,"")))</f>
        <v/>
      </c>
      <c r="G250" s="1253"/>
      <c r="H250" s="1254"/>
    </row>
    <row r="251" spans="2:8" ht="14.4">
      <c r="B251" t="str">
        <f>IF(AND(Projektgrundlagen!$I$21,'StB-D1 Besondere Lstg'!M202=TRUE),'StB-D1 Besondere Lstg'!C202&amp;" "&amp;'StB-D1 Besondere Lstg'!F202&amp;" "&amp;'StB-D1 Besondere Lstg'!F203,IF(AND(Projektgrundlagen!$I$22,'HB-D1 Besondere Lstg Land'!M202=TRUE),'HB-D1 Besondere Lstg Land'!C202&amp;" "&amp;'HB-D1 Besondere Lstg Land'!F202&amp;" "&amp;'HB-D1 Besondere Lstg Land'!F203,IF(AND(Projektgrundlagen!$I$23,'HB-D2 Besondere Lstg Bund'!M202=TRUE),'HB-D2 Besondere Lstg Bund'!C202&amp;" "&amp;'HB-D2 Besondere Lstg Bund'!F202&amp;" "&amp;'HB-D2 Besondere Lstg Bund'!F203,"")))</f>
        <v/>
      </c>
      <c r="C251" s="1246" t="str">
        <f>IF(AND(Projektgrundlagen!$I$21,'StB-D1 Besondere Lstg'!M202=TRUE),'StB-D1 Besondere Lstg'!H202,"")</f>
        <v/>
      </c>
      <c r="D251" s="1246" t="str">
        <f>IF(AND(Projektgrundlagen!$I$21,'StB-D1 Besondere Lstg'!M202=TRUE),'StB-D1 Besondere Lstg'!I202,IF(AND(Projektgrundlagen!$I$22,'HB-D1 Besondere Lstg Land'!M202=TRUE),(IF('HB-D1 Besondere Lstg Land'!H202&gt;0,"v.H.","pauschal")),IF(AND(Projektgrundlagen!$I$23,'HB-D2 Besondere Lstg Bund'!M202=TRUE),(IF('HB-D2 Besondere Lstg Bund'!H202&gt;0,"v.H.","pauschal")),"")))</f>
        <v/>
      </c>
      <c r="E251" s="1246" t="str">
        <f>IF(AND(Projektgrundlagen!$I$21,'StB-D1 Besondere Lstg'!M202=TRUE),'StB-D1 Besondere Lstg'!J202,IF(AND(Projektgrundlagen!$I$22,'HB-D1 Besondere Lstg Land'!M202=TRUE),'HB-D1 Besondere Lstg Land'!H202+'HB-D1 Besondere Lstg Land'!J202,IF(AND(Projektgrundlagen!$I$23,'HB-D2 Besondere Lstg Bund'!M202=TRUE),'HB-D2 Besondere Lstg Bund'!H202+'HB-D2 Besondere Lstg Bund'!J202,"")))</f>
        <v/>
      </c>
      <c r="F251" s="1246" t="str">
        <f>IF(AND(Projektgrundlagen!$I$21,'StB-D1 Besondere Lstg'!M202=TRUE),'StB-D1 Besondere Lstg'!K202,IF(AND(Projektgrundlagen!$I$22,'HB-D1 Besondere Lstg Land'!M202=TRUE),'HB-D1 Besondere Lstg Land'!K202,IF(AND(Projektgrundlagen!$I$23,'HB-D2 Besondere Lstg Bund'!M202=TRUE),'HB-D2 Besondere Lstg Bund'!K202,"")))</f>
        <v/>
      </c>
      <c r="G251" s="1253"/>
      <c r="H251" s="1254"/>
    </row>
    <row r="252" spans="2:8" ht="14.4">
      <c r="B252" t="str">
        <f>IF(AND(Projektgrundlagen!$I$21,'StB-D1 Besondere Lstg'!M203=TRUE),'StB-D1 Besondere Lstg'!C203&amp;" "&amp;'StB-D1 Besondere Lstg'!F203&amp;" "&amp;'StB-D1 Besondere Lstg'!F204,IF(AND(Projektgrundlagen!$I$22,'HB-D1 Besondere Lstg Land'!M203=TRUE),'HB-D1 Besondere Lstg Land'!C203&amp;" "&amp;'HB-D1 Besondere Lstg Land'!F203&amp;" "&amp;'HB-D1 Besondere Lstg Land'!F204,IF(AND(Projektgrundlagen!$I$23,'HB-D2 Besondere Lstg Bund'!M203=TRUE),'HB-D2 Besondere Lstg Bund'!C203&amp;" "&amp;'HB-D2 Besondere Lstg Bund'!F203&amp;" "&amp;'HB-D2 Besondere Lstg Bund'!F204,"")))</f>
        <v/>
      </c>
      <c r="C252" s="1246" t="str">
        <f>IF(AND(Projektgrundlagen!$I$21,'StB-D1 Besondere Lstg'!M203=TRUE),'StB-D1 Besondere Lstg'!H203,"")</f>
        <v/>
      </c>
      <c r="D252" s="1246" t="str">
        <f>IF(AND(Projektgrundlagen!$I$21,'StB-D1 Besondere Lstg'!M203=TRUE),'StB-D1 Besondere Lstg'!I203,IF(AND(Projektgrundlagen!$I$22,'HB-D1 Besondere Lstg Land'!M203=TRUE),(IF('HB-D1 Besondere Lstg Land'!H203&gt;0,"v.H.","pauschal")),IF(AND(Projektgrundlagen!$I$23,'HB-D2 Besondere Lstg Bund'!M203=TRUE),(IF('HB-D2 Besondere Lstg Bund'!H203&gt;0,"v.H.","pauschal")),"")))</f>
        <v/>
      </c>
      <c r="E252" s="1246" t="str">
        <f>IF(AND(Projektgrundlagen!$I$21,'StB-D1 Besondere Lstg'!M203=TRUE),'StB-D1 Besondere Lstg'!J203,IF(AND(Projektgrundlagen!$I$22,'HB-D1 Besondere Lstg Land'!M203=TRUE),'HB-D1 Besondere Lstg Land'!H203+'HB-D1 Besondere Lstg Land'!J203,IF(AND(Projektgrundlagen!$I$23,'HB-D2 Besondere Lstg Bund'!M203=TRUE),'HB-D2 Besondere Lstg Bund'!H203+'HB-D2 Besondere Lstg Bund'!J203,"")))</f>
        <v/>
      </c>
      <c r="F252" s="1246" t="str">
        <f>IF(AND(Projektgrundlagen!$I$21,'StB-D1 Besondere Lstg'!M203=TRUE),'StB-D1 Besondere Lstg'!K203,IF(AND(Projektgrundlagen!$I$22,'HB-D1 Besondere Lstg Land'!M203=TRUE),'HB-D1 Besondere Lstg Land'!K203,IF(AND(Projektgrundlagen!$I$23,'HB-D2 Besondere Lstg Bund'!M203=TRUE),'HB-D2 Besondere Lstg Bund'!K203,"")))</f>
        <v/>
      </c>
      <c r="G252" s="1253"/>
      <c r="H252" s="1254"/>
    </row>
    <row r="253" spans="2:8" ht="14.4">
      <c r="B253" t="str">
        <f>IF(AND(Projektgrundlagen!$I$21,'StB-D1 Besondere Lstg'!M204=TRUE),'StB-D1 Besondere Lstg'!C204&amp;" "&amp;'StB-D1 Besondere Lstg'!F204&amp;" "&amp;'StB-D1 Besondere Lstg'!F205,IF(AND(Projektgrundlagen!$I$22,'HB-D1 Besondere Lstg Land'!M204=TRUE),'HB-D1 Besondere Lstg Land'!C204&amp;" "&amp;'HB-D1 Besondere Lstg Land'!F204&amp;" "&amp;'HB-D1 Besondere Lstg Land'!F205,IF(AND(Projektgrundlagen!$I$23,'HB-D2 Besondere Lstg Bund'!M204=TRUE),'HB-D2 Besondere Lstg Bund'!C204&amp;" "&amp;'HB-D2 Besondere Lstg Bund'!F204&amp;" "&amp;'HB-D2 Besondere Lstg Bund'!F205,"")))</f>
        <v/>
      </c>
      <c r="C253" s="1246" t="str">
        <f>IF(AND(Projektgrundlagen!$I$21,'StB-D1 Besondere Lstg'!M204=TRUE),'StB-D1 Besondere Lstg'!H204,"")</f>
        <v/>
      </c>
      <c r="D253" s="1246" t="str">
        <f>IF(AND(Projektgrundlagen!$I$21,'StB-D1 Besondere Lstg'!M204=TRUE),'StB-D1 Besondere Lstg'!I204,IF(AND(Projektgrundlagen!$I$22,'HB-D1 Besondere Lstg Land'!M204=TRUE),(IF('HB-D1 Besondere Lstg Land'!H204&gt;0,"v.H.","pauschal")),IF(AND(Projektgrundlagen!$I$23,'HB-D2 Besondere Lstg Bund'!M204=TRUE),(IF('HB-D2 Besondere Lstg Bund'!H204&gt;0,"v.H.","pauschal")),"")))</f>
        <v/>
      </c>
      <c r="E253" s="1246" t="str">
        <f>IF(AND(Projektgrundlagen!$I$21,'StB-D1 Besondere Lstg'!M204=TRUE),'StB-D1 Besondere Lstg'!J204,IF(AND(Projektgrundlagen!$I$22,'HB-D1 Besondere Lstg Land'!M204=TRUE),'HB-D1 Besondere Lstg Land'!H204+'HB-D1 Besondere Lstg Land'!J204,IF(AND(Projektgrundlagen!$I$23,'HB-D2 Besondere Lstg Bund'!M204=TRUE),'HB-D2 Besondere Lstg Bund'!H204+'HB-D2 Besondere Lstg Bund'!J204,"")))</f>
        <v/>
      </c>
      <c r="F253" s="1246" t="str">
        <f>IF(AND(Projektgrundlagen!$I$21,'StB-D1 Besondere Lstg'!M204=TRUE),'StB-D1 Besondere Lstg'!K204,IF(AND(Projektgrundlagen!$I$22,'HB-D1 Besondere Lstg Land'!M204=TRUE),'HB-D1 Besondere Lstg Land'!K204,IF(AND(Projektgrundlagen!$I$23,'HB-D2 Besondere Lstg Bund'!M204=TRUE),'HB-D2 Besondere Lstg Bund'!K204,"")))</f>
        <v/>
      </c>
      <c r="G253" s="1253"/>
      <c r="H253" s="1254"/>
    </row>
    <row r="254" spans="2:8" ht="14.4">
      <c r="B254" t="str">
        <f>IF(AND(Projektgrundlagen!$I$21,'StB-D1 Besondere Lstg'!M205=TRUE),'StB-D1 Besondere Lstg'!C205&amp;" "&amp;'StB-D1 Besondere Lstg'!F205&amp;" "&amp;'StB-D1 Besondere Lstg'!F206,IF(AND(Projektgrundlagen!$I$22,'HB-D1 Besondere Lstg Land'!M205=TRUE),'HB-D1 Besondere Lstg Land'!C205&amp;" "&amp;'HB-D1 Besondere Lstg Land'!F205&amp;" "&amp;'HB-D1 Besondere Lstg Land'!F206,IF(AND(Projektgrundlagen!$I$23,'HB-D2 Besondere Lstg Bund'!M205=TRUE),'HB-D2 Besondere Lstg Bund'!C205&amp;" "&amp;'HB-D2 Besondere Lstg Bund'!F205&amp;" "&amp;'HB-D2 Besondere Lstg Bund'!F206,"")))</f>
        <v/>
      </c>
      <c r="C254" s="1246" t="str">
        <f>IF(AND(Projektgrundlagen!$I$21,'StB-D1 Besondere Lstg'!M205=TRUE),'StB-D1 Besondere Lstg'!H205,"")</f>
        <v/>
      </c>
      <c r="D254" s="1246" t="str">
        <f>IF(AND(Projektgrundlagen!$I$21,'StB-D1 Besondere Lstg'!M205=TRUE),'StB-D1 Besondere Lstg'!I205,IF(AND(Projektgrundlagen!$I$22,'HB-D1 Besondere Lstg Land'!M205=TRUE),(IF('HB-D1 Besondere Lstg Land'!H205&gt;0,"v.H.","pauschal")),IF(AND(Projektgrundlagen!$I$23,'HB-D2 Besondere Lstg Bund'!M205=TRUE),(IF('HB-D2 Besondere Lstg Bund'!H205&gt;0,"v.H.","pauschal")),"")))</f>
        <v/>
      </c>
      <c r="E254" s="1246" t="str">
        <f>IF(AND(Projektgrundlagen!$I$21,'StB-D1 Besondere Lstg'!M205=TRUE),'StB-D1 Besondere Lstg'!J205,IF(AND(Projektgrundlagen!$I$22,'HB-D1 Besondere Lstg Land'!M205=TRUE),'HB-D1 Besondere Lstg Land'!H205+'HB-D1 Besondere Lstg Land'!J205,IF(AND(Projektgrundlagen!$I$23,'HB-D2 Besondere Lstg Bund'!M205=TRUE),'HB-D2 Besondere Lstg Bund'!H205+'HB-D2 Besondere Lstg Bund'!J205,"")))</f>
        <v/>
      </c>
      <c r="F254" s="1246" t="str">
        <f>IF(AND(Projektgrundlagen!$I$21,'StB-D1 Besondere Lstg'!M205=TRUE),'StB-D1 Besondere Lstg'!K205,IF(AND(Projektgrundlagen!$I$22,'HB-D1 Besondere Lstg Land'!M205=TRUE),'HB-D1 Besondere Lstg Land'!K205,IF(AND(Projektgrundlagen!$I$23,'HB-D2 Besondere Lstg Bund'!M205=TRUE),'HB-D2 Besondere Lstg Bund'!K205,"")))</f>
        <v/>
      </c>
      <c r="G254" s="1253"/>
      <c r="H254" s="1254"/>
    </row>
    <row r="255" spans="2:8" ht="14.4">
      <c r="B255" t="str">
        <f>IF(AND(Projektgrundlagen!$I$21,'StB-D1 Besondere Lstg'!M206=TRUE),'StB-D1 Besondere Lstg'!C206&amp;" "&amp;'StB-D1 Besondere Lstg'!F206&amp;" "&amp;'StB-D1 Besondere Lstg'!F207,IF(AND(Projektgrundlagen!$I$22,'HB-D1 Besondere Lstg Land'!M206=TRUE),'HB-D1 Besondere Lstg Land'!C206&amp;" "&amp;'HB-D1 Besondere Lstg Land'!F206&amp;" "&amp;'HB-D1 Besondere Lstg Land'!F207,IF(AND(Projektgrundlagen!$I$23,'HB-D2 Besondere Lstg Bund'!M206=TRUE),'HB-D2 Besondere Lstg Bund'!C206&amp;" "&amp;'HB-D2 Besondere Lstg Bund'!F206&amp;" "&amp;'HB-D2 Besondere Lstg Bund'!F207,"")))</f>
        <v/>
      </c>
      <c r="C255" s="1246" t="str">
        <f>IF(AND(Projektgrundlagen!$I$21,'StB-D1 Besondere Lstg'!M206=TRUE),'StB-D1 Besondere Lstg'!H206,"")</f>
        <v/>
      </c>
      <c r="D255" s="1246" t="str">
        <f>IF(AND(Projektgrundlagen!$I$21,'StB-D1 Besondere Lstg'!M206=TRUE),'StB-D1 Besondere Lstg'!I206,IF(AND(Projektgrundlagen!$I$22,'HB-D1 Besondere Lstg Land'!M206=TRUE),(IF('HB-D1 Besondere Lstg Land'!H206&gt;0,"v.H.","pauschal")),IF(AND(Projektgrundlagen!$I$23,'HB-D2 Besondere Lstg Bund'!M206=TRUE),(IF('HB-D2 Besondere Lstg Bund'!H206&gt;0,"v.H.","pauschal")),"")))</f>
        <v/>
      </c>
      <c r="E255" s="1246" t="str">
        <f>IF(AND(Projektgrundlagen!$I$21,'StB-D1 Besondere Lstg'!M206=TRUE),'StB-D1 Besondere Lstg'!J206,IF(AND(Projektgrundlagen!$I$22,'HB-D1 Besondere Lstg Land'!M206=TRUE),'HB-D1 Besondere Lstg Land'!H206+'HB-D1 Besondere Lstg Land'!J206,IF(AND(Projektgrundlagen!$I$23,'HB-D2 Besondere Lstg Bund'!M206=TRUE),'HB-D2 Besondere Lstg Bund'!H206+'HB-D2 Besondere Lstg Bund'!J206,"")))</f>
        <v/>
      </c>
      <c r="F255" s="1246" t="str">
        <f>IF(AND(Projektgrundlagen!$I$21,'StB-D1 Besondere Lstg'!M206=TRUE),'StB-D1 Besondere Lstg'!K206,IF(AND(Projektgrundlagen!$I$22,'HB-D1 Besondere Lstg Land'!M206=TRUE),'HB-D1 Besondere Lstg Land'!K206,IF(AND(Projektgrundlagen!$I$23,'HB-D2 Besondere Lstg Bund'!M206=TRUE),'HB-D2 Besondere Lstg Bund'!K206,"")))</f>
        <v/>
      </c>
      <c r="G255" s="1253"/>
      <c r="H255" s="1254"/>
    </row>
    <row r="256" spans="2:8" ht="14.4">
      <c r="B256" t="str">
        <f>IF(AND(Projektgrundlagen!$I$21,'StB-D1 Besondere Lstg'!M207=TRUE),'StB-D1 Besondere Lstg'!C207&amp;" "&amp;'StB-D1 Besondere Lstg'!F207&amp;" "&amp;'StB-D1 Besondere Lstg'!F208,IF(AND(Projektgrundlagen!$I$22,'HB-D1 Besondere Lstg Land'!M207=TRUE),'HB-D1 Besondere Lstg Land'!C207&amp;" "&amp;'HB-D1 Besondere Lstg Land'!F207&amp;" "&amp;'HB-D1 Besondere Lstg Land'!F208,IF(AND(Projektgrundlagen!$I$23,'HB-D2 Besondere Lstg Bund'!M207=TRUE),'HB-D2 Besondere Lstg Bund'!C207&amp;" "&amp;'HB-D2 Besondere Lstg Bund'!F207&amp;" "&amp;'HB-D2 Besondere Lstg Bund'!F208,"")))</f>
        <v/>
      </c>
      <c r="C256" s="1246" t="str">
        <f>IF(AND(Projektgrundlagen!$I$21,'StB-D1 Besondere Lstg'!M207=TRUE),'StB-D1 Besondere Lstg'!H207,"")</f>
        <v/>
      </c>
      <c r="D256" s="1246" t="str">
        <f>IF(AND(Projektgrundlagen!$I$21,'StB-D1 Besondere Lstg'!M207=TRUE),'StB-D1 Besondere Lstg'!I207,IF(AND(Projektgrundlagen!$I$22,'HB-D1 Besondere Lstg Land'!M207=TRUE),(IF('HB-D1 Besondere Lstg Land'!H207&gt;0,"v.H.","pauschal")),IF(AND(Projektgrundlagen!$I$23,'HB-D2 Besondere Lstg Bund'!M207=TRUE),(IF('HB-D2 Besondere Lstg Bund'!H207&gt;0,"v.H.","pauschal")),"")))</f>
        <v/>
      </c>
      <c r="E256" s="1246" t="str">
        <f>IF(AND(Projektgrundlagen!$I$21,'StB-D1 Besondere Lstg'!M207=TRUE),'StB-D1 Besondere Lstg'!J207,IF(AND(Projektgrundlagen!$I$22,'HB-D1 Besondere Lstg Land'!M207=TRUE),'HB-D1 Besondere Lstg Land'!H207+'HB-D1 Besondere Lstg Land'!J207,IF(AND(Projektgrundlagen!$I$23,'HB-D2 Besondere Lstg Bund'!M207=TRUE),'HB-D2 Besondere Lstg Bund'!H207+'HB-D2 Besondere Lstg Bund'!J207,"")))</f>
        <v/>
      </c>
      <c r="F256" s="1246" t="str">
        <f>IF(AND(Projektgrundlagen!$I$21,'StB-D1 Besondere Lstg'!M207=TRUE),'StB-D1 Besondere Lstg'!K207,IF(AND(Projektgrundlagen!$I$22,'HB-D1 Besondere Lstg Land'!M207=TRUE),'HB-D1 Besondere Lstg Land'!K207,IF(AND(Projektgrundlagen!$I$23,'HB-D2 Besondere Lstg Bund'!M207=TRUE),'HB-D2 Besondere Lstg Bund'!K207,"")))</f>
        <v/>
      </c>
      <c r="G256" s="1253"/>
      <c r="H256" s="1254"/>
    </row>
    <row r="257" spans="2:8" ht="14.4">
      <c r="B257" t="str">
        <f>IF(AND(Projektgrundlagen!$I$21,'StB-D1 Besondere Lstg'!M208=TRUE),'StB-D1 Besondere Lstg'!C208&amp;" "&amp;'StB-D1 Besondere Lstg'!F208&amp;" "&amp;'StB-D1 Besondere Lstg'!F209,IF(AND(Projektgrundlagen!$I$22,'HB-D1 Besondere Lstg Land'!M208=TRUE),'HB-D1 Besondere Lstg Land'!C208&amp;" "&amp;'HB-D1 Besondere Lstg Land'!F208&amp;" "&amp;'HB-D1 Besondere Lstg Land'!F209,IF(AND(Projektgrundlagen!$I$23,'HB-D2 Besondere Lstg Bund'!M208=TRUE),'HB-D2 Besondere Lstg Bund'!C208&amp;" "&amp;'HB-D2 Besondere Lstg Bund'!F208&amp;" "&amp;'HB-D2 Besondere Lstg Bund'!F209,"")))</f>
        <v/>
      </c>
      <c r="C257" s="1246" t="str">
        <f>IF(AND(Projektgrundlagen!$I$21,'StB-D1 Besondere Lstg'!M208=TRUE),'StB-D1 Besondere Lstg'!H208,"")</f>
        <v/>
      </c>
      <c r="D257" s="1246" t="str">
        <f>IF(AND(Projektgrundlagen!$I$21,'StB-D1 Besondere Lstg'!M208=TRUE),'StB-D1 Besondere Lstg'!I208,IF(AND(Projektgrundlagen!$I$22,'HB-D1 Besondere Lstg Land'!M208=TRUE),(IF('HB-D1 Besondere Lstg Land'!H208&gt;0,"v.H.","pauschal")),IF(AND(Projektgrundlagen!$I$23,'HB-D2 Besondere Lstg Bund'!M208=TRUE),(IF('HB-D2 Besondere Lstg Bund'!H208&gt;0,"v.H.","pauschal")),"")))</f>
        <v/>
      </c>
      <c r="E257" s="1246" t="str">
        <f>IF(AND(Projektgrundlagen!$I$21,'StB-D1 Besondere Lstg'!M208=TRUE),'StB-D1 Besondere Lstg'!J208,IF(AND(Projektgrundlagen!$I$22,'HB-D1 Besondere Lstg Land'!M208=TRUE),'HB-D1 Besondere Lstg Land'!H208+'HB-D1 Besondere Lstg Land'!J208,IF(AND(Projektgrundlagen!$I$23,'HB-D2 Besondere Lstg Bund'!M208=TRUE),'HB-D2 Besondere Lstg Bund'!H208+'HB-D2 Besondere Lstg Bund'!J208,"")))</f>
        <v/>
      </c>
      <c r="F257" s="1246" t="str">
        <f>IF(AND(Projektgrundlagen!$I$21,'StB-D1 Besondere Lstg'!M208=TRUE),'StB-D1 Besondere Lstg'!K208,IF(AND(Projektgrundlagen!$I$22,'HB-D1 Besondere Lstg Land'!M208=TRUE),'HB-D1 Besondere Lstg Land'!K208,IF(AND(Projektgrundlagen!$I$23,'HB-D2 Besondere Lstg Bund'!M208=TRUE),'HB-D2 Besondere Lstg Bund'!K208,"")))</f>
        <v/>
      </c>
      <c r="G257" s="1253"/>
      <c r="H257" s="1254"/>
    </row>
    <row r="258" spans="2:8" ht="14.4">
      <c r="B258" t="str">
        <f>IF(AND(Projektgrundlagen!$I$21,'StB-D1 Besondere Lstg'!M209=TRUE),'StB-D1 Besondere Lstg'!C209&amp;" "&amp;'StB-D1 Besondere Lstg'!F209&amp;" "&amp;'StB-D1 Besondere Lstg'!F210,IF(AND(Projektgrundlagen!$I$22,'HB-D1 Besondere Lstg Land'!M209=TRUE),'HB-D1 Besondere Lstg Land'!C209&amp;" "&amp;'HB-D1 Besondere Lstg Land'!F209&amp;" "&amp;'HB-D1 Besondere Lstg Land'!F210,IF(AND(Projektgrundlagen!$I$23,'HB-D2 Besondere Lstg Bund'!M209=TRUE),'HB-D2 Besondere Lstg Bund'!C209&amp;" "&amp;'HB-D2 Besondere Lstg Bund'!F209&amp;" "&amp;'HB-D2 Besondere Lstg Bund'!F210,"")))</f>
        <v/>
      </c>
      <c r="C258" s="1246" t="str">
        <f>IF(AND(Projektgrundlagen!$I$21,'StB-D1 Besondere Lstg'!M209=TRUE),'StB-D1 Besondere Lstg'!H209,"")</f>
        <v/>
      </c>
      <c r="D258" s="1246" t="str">
        <f>IF(AND(Projektgrundlagen!$I$21,'StB-D1 Besondere Lstg'!M209=TRUE),'StB-D1 Besondere Lstg'!I209,IF(AND(Projektgrundlagen!$I$22,'HB-D1 Besondere Lstg Land'!M209=TRUE),(IF('HB-D1 Besondere Lstg Land'!H209&gt;0,"v.H.","pauschal")),IF(AND(Projektgrundlagen!$I$23,'HB-D2 Besondere Lstg Bund'!M209=TRUE),(IF('HB-D2 Besondere Lstg Bund'!H209&gt;0,"v.H.","pauschal")),"")))</f>
        <v/>
      </c>
      <c r="E258" s="1246" t="str">
        <f>IF(AND(Projektgrundlagen!$I$21,'StB-D1 Besondere Lstg'!M209=TRUE),'StB-D1 Besondere Lstg'!J209,IF(AND(Projektgrundlagen!$I$22,'HB-D1 Besondere Lstg Land'!M209=TRUE),'HB-D1 Besondere Lstg Land'!H209+'HB-D1 Besondere Lstg Land'!J209,IF(AND(Projektgrundlagen!$I$23,'HB-D2 Besondere Lstg Bund'!M209=TRUE),'HB-D2 Besondere Lstg Bund'!H209+'HB-D2 Besondere Lstg Bund'!J209,"")))</f>
        <v/>
      </c>
      <c r="F258" s="1246" t="str">
        <f>IF(AND(Projektgrundlagen!$I$21,'StB-D1 Besondere Lstg'!M209=TRUE),'StB-D1 Besondere Lstg'!K209,IF(AND(Projektgrundlagen!$I$22,'HB-D1 Besondere Lstg Land'!M209=TRUE),'HB-D1 Besondere Lstg Land'!K209,IF(AND(Projektgrundlagen!$I$23,'HB-D2 Besondere Lstg Bund'!M209=TRUE),'HB-D2 Besondere Lstg Bund'!K209,"")))</f>
        <v/>
      </c>
      <c r="G258" s="1253"/>
      <c r="H258" s="1254"/>
    </row>
    <row r="259" spans="2:8" ht="14.4">
      <c r="B259" t="str">
        <f>IF(AND(Projektgrundlagen!$I$21,'StB-D1 Besondere Lstg'!M210=TRUE),'StB-D1 Besondere Lstg'!C210&amp;" "&amp;'StB-D1 Besondere Lstg'!F210&amp;" "&amp;'StB-D1 Besondere Lstg'!F211,IF(AND(Projektgrundlagen!$I$22,'HB-D1 Besondere Lstg Land'!M210=TRUE),'HB-D1 Besondere Lstg Land'!C210&amp;" "&amp;'HB-D1 Besondere Lstg Land'!F210&amp;" "&amp;'HB-D1 Besondere Lstg Land'!F211,IF(AND(Projektgrundlagen!$I$23,'HB-D2 Besondere Lstg Bund'!M210=TRUE),'HB-D2 Besondere Lstg Bund'!C210&amp;" "&amp;'HB-D2 Besondere Lstg Bund'!F210&amp;" "&amp;'HB-D2 Besondere Lstg Bund'!F211,"")))</f>
        <v/>
      </c>
      <c r="C259" s="1246" t="str">
        <f>IF(AND(Projektgrundlagen!$I$21,'StB-D1 Besondere Lstg'!M210=TRUE),'StB-D1 Besondere Lstg'!H210,"")</f>
        <v/>
      </c>
      <c r="D259" s="1246" t="str">
        <f>IF(AND(Projektgrundlagen!$I$21,'StB-D1 Besondere Lstg'!M210=TRUE),'StB-D1 Besondere Lstg'!I210,IF(AND(Projektgrundlagen!$I$22,'HB-D1 Besondere Lstg Land'!M210=TRUE),(IF('HB-D1 Besondere Lstg Land'!H210&gt;0,"v.H.","pauschal")),IF(AND(Projektgrundlagen!$I$23,'HB-D2 Besondere Lstg Bund'!M210=TRUE),(IF('HB-D2 Besondere Lstg Bund'!H210&gt;0,"v.H.","pauschal")),"")))</f>
        <v/>
      </c>
      <c r="E259" s="1246" t="str">
        <f>IF(AND(Projektgrundlagen!$I$21,'StB-D1 Besondere Lstg'!M210=TRUE),'StB-D1 Besondere Lstg'!J210,IF(AND(Projektgrundlagen!$I$22,'HB-D1 Besondere Lstg Land'!M210=TRUE),'HB-D1 Besondere Lstg Land'!H210+'HB-D1 Besondere Lstg Land'!J210,IF(AND(Projektgrundlagen!$I$23,'HB-D2 Besondere Lstg Bund'!M210=TRUE),'HB-D2 Besondere Lstg Bund'!H210+'HB-D2 Besondere Lstg Bund'!J210,"")))</f>
        <v/>
      </c>
      <c r="F259" s="1246" t="str">
        <f>IF(AND(Projektgrundlagen!$I$21,'StB-D1 Besondere Lstg'!M210=TRUE),'StB-D1 Besondere Lstg'!K210,IF(AND(Projektgrundlagen!$I$22,'HB-D1 Besondere Lstg Land'!M210=TRUE),'HB-D1 Besondere Lstg Land'!K210,IF(AND(Projektgrundlagen!$I$23,'HB-D2 Besondere Lstg Bund'!M210=TRUE),'HB-D2 Besondere Lstg Bund'!K210,"")))</f>
        <v/>
      </c>
      <c r="G259" s="1253"/>
      <c r="H259" s="1254"/>
    </row>
    <row r="260" spans="2:8" ht="14.4">
      <c r="B260" t="str">
        <f>IF(AND(Projektgrundlagen!$I$21,'StB-D1 Besondere Lstg'!M211=TRUE),'StB-D1 Besondere Lstg'!C211&amp;" "&amp;'StB-D1 Besondere Lstg'!F211&amp;" "&amp;'StB-D1 Besondere Lstg'!F212,IF(AND(Projektgrundlagen!$I$22,'HB-D1 Besondere Lstg Land'!M211=TRUE),'HB-D1 Besondere Lstg Land'!C211&amp;" "&amp;'HB-D1 Besondere Lstg Land'!F211&amp;" "&amp;'HB-D1 Besondere Lstg Land'!F212,IF(AND(Projektgrundlagen!$I$23,'HB-D2 Besondere Lstg Bund'!M211=TRUE),'HB-D2 Besondere Lstg Bund'!C211&amp;" "&amp;'HB-D2 Besondere Lstg Bund'!F211&amp;" "&amp;'HB-D2 Besondere Lstg Bund'!F212,"")))</f>
        <v/>
      </c>
      <c r="C260" s="1246" t="str">
        <f>IF(AND(Projektgrundlagen!$I$21,'StB-D1 Besondere Lstg'!M211=TRUE),'StB-D1 Besondere Lstg'!H211,"")</f>
        <v/>
      </c>
      <c r="D260" s="1246" t="str">
        <f>IF(AND(Projektgrundlagen!$I$21,'StB-D1 Besondere Lstg'!M211=TRUE),'StB-D1 Besondere Lstg'!I211,IF(AND(Projektgrundlagen!$I$22,'HB-D1 Besondere Lstg Land'!M211=TRUE),(IF('HB-D1 Besondere Lstg Land'!H211&gt;0,"v.H.","pauschal")),IF(AND(Projektgrundlagen!$I$23,'HB-D2 Besondere Lstg Bund'!M211=TRUE),(IF('HB-D2 Besondere Lstg Bund'!H211&gt;0,"v.H.","pauschal")),"")))</f>
        <v/>
      </c>
      <c r="E260" s="1246" t="str">
        <f>IF(AND(Projektgrundlagen!$I$21,'StB-D1 Besondere Lstg'!M211=TRUE),'StB-D1 Besondere Lstg'!J211,IF(AND(Projektgrundlagen!$I$22,'HB-D1 Besondere Lstg Land'!M211=TRUE),'HB-D1 Besondere Lstg Land'!H211+'HB-D1 Besondere Lstg Land'!J211,IF(AND(Projektgrundlagen!$I$23,'HB-D2 Besondere Lstg Bund'!M211=TRUE),'HB-D2 Besondere Lstg Bund'!H211+'HB-D2 Besondere Lstg Bund'!J211,"")))</f>
        <v/>
      </c>
      <c r="F260" s="1246" t="str">
        <f>IF(AND(Projektgrundlagen!$I$21,'StB-D1 Besondere Lstg'!M211=TRUE),'StB-D1 Besondere Lstg'!K211,IF(AND(Projektgrundlagen!$I$22,'HB-D1 Besondere Lstg Land'!M211=TRUE),'HB-D1 Besondere Lstg Land'!K211,IF(AND(Projektgrundlagen!$I$23,'HB-D2 Besondere Lstg Bund'!M211=TRUE),'HB-D2 Besondere Lstg Bund'!K211,"")))</f>
        <v/>
      </c>
      <c r="G260" s="1253"/>
      <c r="H260" s="1254"/>
    </row>
    <row r="261" spans="2:8" ht="14.4">
      <c r="B261" t="str">
        <f>IF(AND(Projektgrundlagen!$I$21,'StB-D1 Besondere Lstg'!M212=TRUE),'StB-D1 Besondere Lstg'!C212&amp;" "&amp;'StB-D1 Besondere Lstg'!F212&amp;" "&amp;'StB-D1 Besondere Lstg'!F213,IF(AND(Projektgrundlagen!$I$22,'HB-D1 Besondere Lstg Land'!M212=TRUE),'HB-D1 Besondere Lstg Land'!C212&amp;" "&amp;'HB-D1 Besondere Lstg Land'!F212&amp;" "&amp;'HB-D1 Besondere Lstg Land'!F213,IF(AND(Projektgrundlagen!$I$23,'HB-D2 Besondere Lstg Bund'!M212=TRUE),'HB-D2 Besondere Lstg Bund'!C212&amp;" "&amp;'HB-D2 Besondere Lstg Bund'!F212&amp;" "&amp;'HB-D2 Besondere Lstg Bund'!F213,"")))</f>
        <v/>
      </c>
      <c r="C261" s="1246" t="str">
        <f>IF(AND(Projektgrundlagen!$I$21,'StB-D1 Besondere Lstg'!M212=TRUE),'StB-D1 Besondere Lstg'!H212,"")</f>
        <v/>
      </c>
      <c r="D261" s="1246" t="str">
        <f>IF(AND(Projektgrundlagen!$I$21,'StB-D1 Besondere Lstg'!M212=TRUE),'StB-D1 Besondere Lstg'!I212,IF(AND(Projektgrundlagen!$I$22,'HB-D1 Besondere Lstg Land'!M212=TRUE),(IF('HB-D1 Besondere Lstg Land'!H212&gt;0,"v.H.","pauschal")),IF(AND(Projektgrundlagen!$I$23,'HB-D2 Besondere Lstg Bund'!M212=TRUE),(IF('HB-D2 Besondere Lstg Bund'!H212&gt;0,"v.H.","pauschal")),"")))</f>
        <v/>
      </c>
      <c r="E261" s="1246" t="str">
        <f>IF(AND(Projektgrundlagen!$I$21,'StB-D1 Besondere Lstg'!M212=TRUE),'StB-D1 Besondere Lstg'!J212,IF(AND(Projektgrundlagen!$I$22,'HB-D1 Besondere Lstg Land'!M212=TRUE),'HB-D1 Besondere Lstg Land'!H212+'HB-D1 Besondere Lstg Land'!J212,IF(AND(Projektgrundlagen!$I$23,'HB-D2 Besondere Lstg Bund'!M212=TRUE),'HB-D2 Besondere Lstg Bund'!H212+'HB-D2 Besondere Lstg Bund'!J212,"")))</f>
        <v/>
      </c>
      <c r="F261" s="1246" t="str">
        <f>IF(AND(Projektgrundlagen!$I$21,'StB-D1 Besondere Lstg'!M212=TRUE),'StB-D1 Besondere Lstg'!K212,IF(AND(Projektgrundlagen!$I$22,'HB-D1 Besondere Lstg Land'!M212=TRUE),'HB-D1 Besondere Lstg Land'!K212,IF(AND(Projektgrundlagen!$I$23,'HB-D2 Besondere Lstg Bund'!M212=TRUE),'HB-D2 Besondere Lstg Bund'!K212,"")))</f>
        <v/>
      </c>
      <c r="G261" s="1253"/>
      <c r="H261" s="1254"/>
    </row>
    <row r="262" spans="2:8" ht="14.4">
      <c r="B262" t="str">
        <f>IF(AND(Projektgrundlagen!$I$21,'StB-D1 Besondere Lstg'!M213=TRUE),'StB-D1 Besondere Lstg'!C213&amp;" "&amp;'StB-D1 Besondere Lstg'!F213&amp;" "&amp;'StB-D1 Besondere Lstg'!F214,IF(AND(Projektgrundlagen!$I$22,'HB-D1 Besondere Lstg Land'!M213=TRUE),'HB-D1 Besondere Lstg Land'!C213&amp;" "&amp;'HB-D1 Besondere Lstg Land'!F213&amp;" "&amp;'HB-D1 Besondere Lstg Land'!F214,IF(AND(Projektgrundlagen!$I$23,'HB-D2 Besondere Lstg Bund'!M213=TRUE),'HB-D2 Besondere Lstg Bund'!C213&amp;" "&amp;'HB-D2 Besondere Lstg Bund'!F213&amp;" "&amp;'HB-D2 Besondere Lstg Bund'!F214,"")))</f>
        <v/>
      </c>
      <c r="C262" s="1246" t="str">
        <f>IF(AND(Projektgrundlagen!$I$21,'StB-D1 Besondere Lstg'!M213=TRUE),'StB-D1 Besondere Lstg'!H213,"")</f>
        <v/>
      </c>
      <c r="D262" s="1246" t="str">
        <f>IF(AND(Projektgrundlagen!$I$21,'StB-D1 Besondere Lstg'!M213=TRUE),'StB-D1 Besondere Lstg'!I213,IF(AND(Projektgrundlagen!$I$22,'HB-D1 Besondere Lstg Land'!M213=TRUE),(IF('HB-D1 Besondere Lstg Land'!H213&gt;0,"v.H.","pauschal")),IF(AND(Projektgrundlagen!$I$23,'HB-D2 Besondere Lstg Bund'!M213=TRUE),(IF('HB-D2 Besondere Lstg Bund'!H213&gt;0,"v.H.","pauschal")),"")))</f>
        <v/>
      </c>
      <c r="E262" s="1246" t="str">
        <f>IF(AND(Projektgrundlagen!$I$21,'StB-D1 Besondere Lstg'!M213=TRUE),'StB-D1 Besondere Lstg'!J213,IF(AND(Projektgrundlagen!$I$22,'HB-D1 Besondere Lstg Land'!M213=TRUE),'HB-D1 Besondere Lstg Land'!H213+'HB-D1 Besondere Lstg Land'!J213,IF(AND(Projektgrundlagen!$I$23,'HB-D2 Besondere Lstg Bund'!M213=TRUE),'HB-D2 Besondere Lstg Bund'!H213+'HB-D2 Besondere Lstg Bund'!J213,"")))</f>
        <v/>
      </c>
      <c r="F262" s="1246" t="str">
        <f>IF(AND(Projektgrundlagen!$I$21,'StB-D1 Besondere Lstg'!M213=TRUE),'StB-D1 Besondere Lstg'!K213,IF(AND(Projektgrundlagen!$I$22,'HB-D1 Besondere Lstg Land'!M213=TRUE),'HB-D1 Besondere Lstg Land'!K213,IF(AND(Projektgrundlagen!$I$23,'HB-D2 Besondere Lstg Bund'!M213=TRUE),'HB-D2 Besondere Lstg Bund'!K213,"")))</f>
        <v/>
      </c>
      <c r="G262" s="1253"/>
      <c r="H262" s="1254"/>
    </row>
    <row r="263" spans="2:8" ht="14.4">
      <c r="B263" t="str">
        <f>IF(AND(Projektgrundlagen!$I$21,'StB-D1 Besondere Lstg'!M214=TRUE),'StB-D1 Besondere Lstg'!C214&amp;" "&amp;'StB-D1 Besondere Lstg'!F214&amp;" "&amp;'StB-D1 Besondere Lstg'!F215,IF(AND(Projektgrundlagen!$I$22,'HB-D1 Besondere Lstg Land'!M214=TRUE),'HB-D1 Besondere Lstg Land'!C214&amp;" "&amp;'HB-D1 Besondere Lstg Land'!F214&amp;" "&amp;'HB-D1 Besondere Lstg Land'!F215,IF(AND(Projektgrundlagen!$I$23,'HB-D2 Besondere Lstg Bund'!M214=TRUE),'HB-D2 Besondere Lstg Bund'!C214&amp;" "&amp;'HB-D2 Besondere Lstg Bund'!F214&amp;" "&amp;'HB-D2 Besondere Lstg Bund'!F215,"")))</f>
        <v/>
      </c>
      <c r="C263" s="1246" t="str">
        <f>IF(AND(Projektgrundlagen!$I$21,'StB-D1 Besondere Lstg'!M214=TRUE),'StB-D1 Besondere Lstg'!H214,"")</f>
        <v/>
      </c>
      <c r="D263" s="1246" t="str">
        <f>IF(AND(Projektgrundlagen!$I$21,'StB-D1 Besondere Lstg'!M214=TRUE),'StB-D1 Besondere Lstg'!I214,IF(AND(Projektgrundlagen!$I$22,'HB-D1 Besondere Lstg Land'!M214=TRUE),(IF('HB-D1 Besondere Lstg Land'!H214&gt;0,"v.H.","pauschal")),IF(AND(Projektgrundlagen!$I$23,'HB-D2 Besondere Lstg Bund'!M214=TRUE),(IF('HB-D2 Besondere Lstg Bund'!H214&gt;0,"v.H.","pauschal")),"")))</f>
        <v/>
      </c>
      <c r="E263" s="1246" t="str">
        <f>IF(AND(Projektgrundlagen!$I$21,'StB-D1 Besondere Lstg'!M214=TRUE),'StB-D1 Besondere Lstg'!J214,IF(AND(Projektgrundlagen!$I$22,'HB-D1 Besondere Lstg Land'!M214=TRUE),'HB-D1 Besondere Lstg Land'!H214+'HB-D1 Besondere Lstg Land'!J214,IF(AND(Projektgrundlagen!$I$23,'HB-D2 Besondere Lstg Bund'!M214=TRUE),'HB-D2 Besondere Lstg Bund'!H214+'HB-D2 Besondere Lstg Bund'!J214,"")))</f>
        <v/>
      </c>
      <c r="F263" s="1246" t="str">
        <f>IF(AND(Projektgrundlagen!$I$21,'StB-D1 Besondere Lstg'!M214=TRUE),'StB-D1 Besondere Lstg'!K214,IF(AND(Projektgrundlagen!$I$22,'HB-D1 Besondere Lstg Land'!M214=TRUE),'HB-D1 Besondere Lstg Land'!K214,IF(AND(Projektgrundlagen!$I$23,'HB-D2 Besondere Lstg Bund'!M214=TRUE),'HB-D2 Besondere Lstg Bund'!K214,"")))</f>
        <v/>
      </c>
      <c r="G263" s="1253"/>
      <c r="H263" s="1254"/>
    </row>
    <row r="264" spans="2:8" ht="14.4">
      <c r="B264" t="str">
        <f>IF(AND(Projektgrundlagen!$I$21,'StB-D1 Besondere Lstg'!M215=TRUE),'StB-D1 Besondere Lstg'!C215&amp;" "&amp;'StB-D1 Besondere Lstg'!F215&amp;" "&amp;'StB-D1 Besondere Lstg'!F216,IF(AND(Projektgrundlagen!$I$22,'HB-D1 Besondere Lstg Land'!M215=TRUE),'HB-D1 Besondere Lstg Land'!C215&amp;" "&amp;'HB-D1 Besondere Lstg Land'!F215&amp;" "&amp;'HB-D1 Besondere Lstg Land'!F216,IF(AND(Projektgrundlagen!$I$23,'HB-D2 Besondere Lstg Bund'!M215=TRUE),'HB-D2 Besondere Lstg Bund'!C215&amp;" "&amp;'HB-D2 Besondere Lstg Bund'!F215&amp;" "&amp;'HB-D2 Besondere Lstg Bund'!F216,"")))</f>
        <v/>
      </c>
      <c r="C264" s="1246" t="str">
        <f>IF(AND(Projektgrundlagen!$I$21,'StB-D1 Besondere Lstg'!M215=TRUE),'StB-D1 Besondere Lstg'!H215,"")</f>
        <v/>
      </c>
      <c r="D264" s="1246" t="str">
        <f>IF(AND(Projektgrundlagen!$I$21,'StB-D1 Besondere Lstg'!M215=TRUE),'StB-D1 Besondere Lstg'!I215,IF(AND(Projektgrundlagen!$I$22,'HB-D1 Besondere Lstg Land'!M215=TRUE),(IF('HB-D1 Besondere Lstg Land'!H215&gt;0,"v.H.","pauschal")),IF(AND(Projektgrundlagen!$I$23,'HB-D2 Besondere Lstg Bund'!M215=TRUE),(IF('HB-D2 Besondere Lstg Bund'!H215&gt;0,"v.H.","pauschal")),"")))</f>
        <v/>
      </c>
      <c r="E264" s="1246" t="str">
        <f>IF(AND(Projektgrundlagen!$I$21,'StB-D1 Besondere Lstg'!M215=TRUE),'StB-D1 Besondere Lstg'!J215,IF(AND(Projektgrundlagen!$I$22,'HB-D1 Besondere Lstg Land'!M215=TRUE),'HB-D1 Besondere Lstg Land'!H215+'HB-D1 Besondere Lstg Land'!J215,IF(AND(Projektgrundlagen!$I$23,'HB-D2 Besondere Lstg Bund'!M215=TRUE),'HB-D2 Besondere Lstg Bund'!H215+'HB-D2 Besondere Lstg Bund'!J215,"")))</f>
        <v/>
      </c>
      <c r="F264" s="1246" t="str">
        <f>IF(AND(Projektgrundlagen!$I$21,'StB-D1 Besondere Lstg'!M215=TRUE),'StB-D1 Besondere Lstg'!K215,IF(AND(Projektgrundlagen!$I$22,'HB-D1 Besondere Lstg Land'!M215=TRUE),'HB-D1 Besondere Lstg Land'!K215,IF(AND(Projektgrundlagen!$I$23,'HB-D2 Besondere Lstg Bund'!M215=TRUE),'HB-D2 Besondere Lstg Bund'!K215,"")))</f>
        <v/>
      </c>
      <c r="G264" s="1253"/>
      <c r="H264" s="1254"/>
    </row>
    <row r="265" spans="2:8" ht="14.4">
      <c r="B265" t="str">
        <f>IF(AND(Projektgrundlagen!$I$21,'StB-D1 Besondere Lstg'!M216=TRUE),'StB-D1 Besondere Lstg'!C216&amp;" "&amp;'StB-D1 Besondere Lstg'!F216&amp;" "&amp;'StB-D1 Besondere Lstg'!F217,IF(AND(Projektgrundlagen!$I$22,'HB-D1 Besondere Lstg Land'!M216=TRUE),'HB-D1 Besondere Lstg Land'!C216&amp;" "&amp;'HB-D1 Besondere Lstg Land'!F216&amp;" "&amp;'HB-D1 Besondere Lstg Land'!F217,IF(AND(Projektgrundlagen!$I$23,'HB-D2 Besondere Lstg Bund'!M216=TRUE),'HB-D2 Besondere Lstg Bund'!C216&amp;" "&amp;'HB-D2 Besondere Lstg Bund'!F216&amp;" "&amp;'HB-D2 Besondere Lstg Bund'!F217,"")))</f>
        <v/>
      </c>
      <c r="C265" s="1246" t="str">
        <f>IF(AND(Projektgrundlagen!$I$21,'StB-D1 Besondere Lstg'!M216=TRUE),'StB-D1 Besondere Lstg'!H216,"")</f>
        <v/>
      </c>
      <c r="D265" s="1246" t="str">
        <f>IF(AND(Projektgrundlagen!$I$21,'StB-D1 Besondere Lstg'!M216=TRUE),'StB-D1 Besondere Lstg'!I216,IF(AND(Projektgrundlagen!$I$22,'HB-D1 Besondere Lstg Land'!M216=TRUE),(IF('HB-D1 Besondere Lstg Land'!H216&gt;0,"v.H.","pauschal")),IF(AND(Projektgrundlagen!$I$23,'HB-D2 Besondere Lstg Bund'!M216=TRUE),(IF('HB-D2 Besondere Lstg Bund'!H216&gt;0,"v.H.","pauschal")),"")))</f>
        <v/>
      </c>
      <c r="E265" s="1246" t="str">
        <f>IF(AND(Projektgrundlagen!$I$21,'StB-D1 Besondere Lstg'!M216=TRUE),'StB-D1 Besondere Lstg'!J216,IF(AND(Projektgrundlagen!$I$22,'HB-D1 Besondere Lstg Land'!M216=TRUE),'HB-D1 Besondere Lstg Land'!H216+'HB-D1 Besondere Lstg Land'!J216,IF(AND(Projektgrundlagen!$I$23,'HB-D2 Besondere Lstg Bund'!M216=TRUE),'HB-D2 Besondere Lstg Bund'!H216+'HB-D2 Besondere Lstg Bund'!J216,"")))</f>
        <v/>
      </c>
      <c r="F265" s="1246" t="str">
        <f>IF(AND(Projektgrundlagen!$I$21,'StB-D1 Besondere Lstg'!M216=TRUE),'StB-D1 Besondere Lstg'!K216,IF(AND(Projektgrundlagen!$I$22,'HB-D1 Besondere Lstg Land'!M216=TRUE),'HB-D1 Besondere Lstg Land'!K216,IF(AND(Projektgrundlagen!$I$23,'HB-D2 Besondere Lstg Bund'!M216=TRUE),'HB-D2 Besondere Lstg Bund'!K216,"")))</f>
        <v/>
      </c>
      <c r="G265" s="1253"/>
      <c r="H265" s="1254"/>
    </row>
    <row r="266" spans="2:8" ht="14.4">
      <c r="B266" t="str">
        <f>IF(AND(Projektgrundlagen!$I$21,'StB-D1 Besondere Lstg'!M217=TRUE),'StB-D1 Besondere Lstg'!C217&amp;" "&amp;'StB-D1 Besondere Lstg'!F217&amp;" "&amp;'StB-D1 Besondere Lstg'!F218,IF(AND(Projektgrundlagen!$I$22,'HB-D1 Besondere Lstg Land'!M217=TRUE),'HB-D1 Besondere Lstg Land'!C217&amp;" "&amp;'HB-D1 Besondere Lstg Land'!F217&amp;" "&amp;'HB-D1 Besondere Lstg Land'!F218,IF(AND(Projektgrundlagen!$I$23,'HB-D2 Besondere Lstg Bund'!M217=TRUE),'HB-D2 Besondere Lstg Bund'!C217&amp;" "&amp;'HB-D2 Besondere Lstg Bund'!F217&amp;" "&amp;'HB-D2 Besondere Lstg Bund'!F218,"")))</f>
        <v/>
      </c>
      <c r="C266" s="1246" t="str">
        <f>IF(AND(Projektgrundlagen!$I$21,'StB-D1 Besondere Lstg'!M217=TRUE),'StB-D1 Besondere Lstg'!H217,"")</f>
        <v/>
      </c>
      <c r="D266" s="1246" t="str">
        <f>IF(AND(Projektgrundlagen!$I$21,'StB-D1 Besondere Lstg'!M217=TRUE),'StB-D1 Besondere Lstg'!I217,IF(AND(Projektgrundlagen!$I$22,'HB-D1 Besondere Lstg Land'!M217=TRUE),(IF('HB-D1 Besondere Lstg Land'!H217&gt;0,"v.H.","pauschal")),IF(AND(Projektgrundlagen!$I$23,'HB-D2 Besondere Lstg Bund'!M217=TRUE),(IF('HB-D2 Besondere Lstg Bund'!H217&gt;0,"v.H.","pauschal")),"")))</f>
        <v/>
      </c>
      <c r="E266" s="1246" t="str">
        <f>IF(AND(Projektgrundlagen!$I$21,'StB-D1 Besondere Lstg'!M217=TRUE),'StB-D1 Besondere Lstg'!J217,IF(AND(Projektgrundlagen!$I$22,'HB-D1 Besondere Lstg Land'!M217=TRUE),'HB-D1 Besondere Lstg Land'!H217+'HB-D1 Besondere Lstg Land'!J217,IF(AND(Projektgrundlagen!$I$23,'HB-D2 Besondere Lstg Bund'!M217=TRUE),'HB-D2 Besondere Lstg Bund'!H217+'HB-D2 Besondere Lstg Bund'!J217,"")))</f>
        <v/>
      </c>
      <c r="F266" s="1246" t="str">
        <f>IF(AND(Projektgrundlagen!$I$21,'StB-D1 Besondere Lstg'!M217=TRUE),'StB-D1 Besondere Lstg'!K217,IF(AND(Projektgrundlagen!$I$22,'HB-D1 Besondere Lstg Land'!M217=TRUE),'HB-D1 Besondere Lstg Land'!K217,IF(AND(Projektgrundlagen!$I$23,'HB-D2 Besondere Lstg Bund'!M217=TRUE),'HB-D2 Besondere Lstg Bund'!K217,"")))</f>
        <v/>
      </c>
      <c r="G266" s="1253"/>
      <c r="H266" s="1254"/>
    </row>
    <row r="267" spans="2:8" ht="14.4">
      <c r="B267" t="str">
        <f>IF(AND(Projektgrundlagen!$I$21,'StB-D1 Besondere Lstg'!M218=TRUE),'StB-D1 Besondere Lstg'!C218&amp;" "&amp;'StB-D1 Besondere Lstg'!F218&amp;" "&amp;'StB-D1 Besondere Lstg'!F219,IF(AND(Projektgrundlagen!$I$22,'HB-D1 Besondere Lstg Land'!M218=TRUE),'HB-D1 Besondere Lstg Land'!C218&amp;" "&amp;'HB-D1 Besondere Lstg Land'!F218&amp;" "&amp;'HB-D1 Besondere Lstg Land'!F219,IF(AND(Projektgrundlagen!$I$23,'HB-D2 Besondere Lstg Bund'!M218=TRUE),'HB-D2 Besondere Lstg Bund'!C218&amp;" "&amp;'HB-D2 Besondere Lstg Bund'!F218&amp;" "&amp;'HB-D2 Besondere Lstg Bund'!F219,"")))</f>
        <v/>
      </c>
      <c r="C267" s="1246" t="str">
        <f>IF(AND(Projektgrundlagen!$I$21,'StB-D1 Besondere Lstg'!M218=TRUE),'StB-D1 Besondere Lstg'!H218,"")</f>
        <v/>
      </c>
      <c r="D267" s="1246" t="str">
        <f>IF(AND(Projektgrundlagen!$I$21,'StB-D1 Besondere Lstg'!M218=TRUE),'StB-D1 Besondere Lstg'!I218,IF(AND(Projektgrundlagen!$I$22,'HB-D1 Besondere Lstg Land'!M218=TRUE),(IF('HB-D1 Besondere Lstg Land'!H218&gt;0,"v.H.","pauschal")),IF(AND(Projektgrundlagen!$I$23,'HB-D2 Besondere Lstg Bund'!M218=TRUE),(IF('HB-D2 Besondere Lstg Bund'!H218&gt;0,"v.H.","pauschal")),"")))</f>
        <v/>
      </c>
      <c r="E267" s="1246" t="str">
        <f>IF(AND(Projektgrundlagen!$I$21,'StB-D1 Besondere Lstg'!M218=TRUE),'StB-D1 Besondere Lstg'!J218,IF(AND(Projektgrundlagen!$I$22,'HB-D1 Besondere Lstg Land'!M218=TRUE),'HB-D1 Besondere Lstg Land'!H218+'HB-D1 Besondere Lstg Land'!J218,IF(AND(Projektgrundlagen!$I$23,'HB-D2 Besondere Lstg Bund'!M218=TRUE),'HB-D2 Besondere Lstg Bund'!H218+'HB-D2 Besondere Lstg Bund'!J218,"")))</f>
        <v/>
      </c>
      <c r="F267" s="1246" t="str">
        <f>IF(AND(Projektgrundlagen!$I$21,'StB-D1 Besondere Lstg'!M218=TRUE),'StB-D1 Besondere Lstg'!K218,IF(AND(Projektgrundlagen!$I$22,'HB-D1 Besondere Lstg Land'!M218=TRUE),'HB-D1 Besondere Lstg Land'!K218,IF(AND(Projektgrundlagen!$I$23,'HB-D2 Besondere Lstg Bund'!M218=TRUE),'HB-D2 Besondere Lstg Bund'!K218,"")))</f>
        <v/>
      </c>
      <c r="G267" s="1253"/>
      <c r="H267" s="1254"/>
    </row>
    <row r="268" spans="2:8" ht="14.4">
      <c r="B268" t="str">
        <f>IF(AND(Projektgrundlagen!$I$21,'StB-D1 Besondere Lstg'!M219=TRUE),'StB-D1 Besondere Lstg'!C219&amp;" "&amp;'StB-D1 Besondere Lstg'!F219&amp;" "&amp;'StB-D1 Besondere Lstg'!F220,IF(AND(Projektgrundlagen!$I$22,'HB-D1 Besondere Lstg Land'!M219=TRUE),'HB-D1 Besondere Lstg Land'!C219&amp;" "&amp;'HB-D1 Besondere Lstg Land'!F219&amp;" "&amp;'HB-D1 Besondere Lstg Land'!F220,IF(AND(Projektgrundlagen!$I$23,'HB-D2 Besondere Lstg Bund'!M219=TRUE),'HB-D2 Besondere Lstg Bund'!C219&amp;" "&amp;'HB-D2 Besondere Lstg Bund'!F219&amp;" "&amp;'HB-D2 Besondere Lstg Bund'!F220,"")))</f>
        <v/>
      </c>
      <c r="C268" s="1246" t="str">
        <f>IF(AND(Projektgrundlagen!$I$21,'StB-D1 Besondere Lstg'!M219=TRUE),'StB-D1 Besondere Lstg'!H219,"")</f>
        <v/>
      </c>
      <c r="D268" s="1246" t="str">
        <f>IF(AND(Projektgrundlagen!$I$21,'StB-D1 Besondere Lstg'!M219=TRUE),'StB-D1 Besondere Lstg'!I219,IF(AND(Projektgrundlagen!$I$22,'HB-D1 Besondere Lstg Land'!M219=TRUE),(IF('HB-D1 Besondere Lstg Land'!H219&gt;0,"v.H.","pauschal")),IF(AND(Projektgrundlagen!$I$23,'HB-D2 Besondere Lstg Bund'!M219=TRUE),(IF('HB-D2 Besondere Lstg Bund'!H219&gt;0,"v.H.","pauschal")),"")))</f>
        <v/>
      </c>
      <c r="E268" s="1246" t="str">
        <f>IF(AND(Projektgrundlagen!$I$21,'StB-D1 Besondere Lstg'!M219=TRUE),'StB-D1 Besondere Lstg'!J219,IF(AND(Projektgrundlagen!$I$22,'HB-D1 Besondere Lstg Land'!M219=TRUE),'HB-D1 Besondere Lstg Land'!H219+'HB-D1 Besondere Lstg Land'!J219,IF(AND(Projektgrundlagen!$I$23,'HB-D2 Besondere Lstg Bund'!M219=TRUE),'HB-D2 Besondere Lstg Bund'!H219+'HB-D2 Besondere Lstg Bund'!J219,"")))</f>
        <v/>
      </c>
      <c r="F268" s="1246" t="str">
        <f>IF(AND(Projektgrundlagen!$I$21,'StB-D1 Besondere Lstg'!M219=TRUE),'StB-D1 Besondere Lstg'!K219,IF(AND(Projektgrundlagen!$I$22,'HB-D1 Besondere Lstg Land'!M219=TRUE),'HB-D1 Besondere Lstg Land'!K219,IF(AND(Projektgrundlagen!$I$23,'HB-D2 Besondere Lstg Bund'!M219=TRUE),'HB-D2 Besondere Lstg Bund'!K219,"")))</f>
        <v/>
      </c>
      <c r="G268" s="1253"/>
      <c r="H268" s="1254"/>
    </row>
    <row r="269" spans="2:8" ht="14.4">
      <c r="B269" t="str">
        <f>IF(AND(Projektgrundlagen!$I$21,'StB-D1 Besondere Lstg'!M220=TRUE),'StB-D1 Besondere Lstg'!C220&amp;" "&amp;'StB-D1 Besondere Lstg'!F220&amp;" "&amp;'StB-D1 Besondere Lstg'!F221,IF(AND(Projektgrundlagen!$I$22,'HB-D1 Besondere Lstg Land'!M220=TRUE),'HB-D1 Besondere Lstg Land'!C220&amp;" "&amp;'HB-D1 Besondere Lstg Land'!F220&amp;" "&amp;'HB-D1 Besondere Lstg Land'!F221,IF(AND(Projektgrundlagen!$I$23,'HB-D2 Besondere Lstg Bund'!M220=TRUE),'HB-D2 Besondere Lstg Bund'!C220&amp;" "&amp;'HB-D2 Besondere Lstg Bund'!F220&amp;" "&amp;'HB-D2 Besondere Lstg Bund'!F221,"")))</f>
        <v/>
      </c>
      <c r="C269" s="1246" t="str">
        <f>IF(AND(Projektgrundlagen!$I$21,'StB-D1 Besondere Lstg'!M220=TRUE),'StB-D1 Besondere Lstg'!H220,"")</f>
        <v/>
      </c>
      <c r="D269" s="1246" t="str">
        <f>IF(AND(Projektgrundlagen!$I$21,'StB-D1 Besondere Lstg'!M220=TRUE),'StB-D1 Besondere Lstg'!I220,IF(AND(Projektgrundlagen!$I$22,'HB-D1 Besondere Lstg Land'!M220=TRUE),(IF('HB-D1 Besondere Lstg Land'!H220&gt;0,"v.H.","pauschal")),IF(AND(Projektgrundlagen!$I$23,'HB-D2 Besondere Lstg Bund'!M220=TRUE),(IF('HB-D2 Besondere Lstg Bund'!H220&gt;0,"v.H.","pauschal")),"")))</f>
        <v/>
      </c>
      <c r="E269" s="1246" t="str">
        <f>IF(AND(Projektgrundlagen!$I$21,'StB-D1 Besondere Lstg'!M220=TRUE),'StB-D1 Besondere Lstg'!J220,IF(AND(Projektgrundlagen!$I$22,'HB-D1 Besondere Lstg Land'!M220=TRUE),'HB-D1 Besondere Lstg Land'!H220+'HB-D1 Besondere Lstg Land'!J220,IF(AND(Projektgrundlagen!$I$23,'HB-D2 Besondere Lstg Bund'!M220=TRUE),'HB-D2 Besondere Lstg Bund'!H220+'HB-D2 Besondere Lstg Bund'!J220,"")))</f>
        <v/>
      </c>
      <c r="F269" s="1246" t="str">
        <f>IF(AND(Projektgrundlagen!$I$21,'StB-D1 Besondere Lstg'!M220=TRUE),'StB-D1 Besondere Lstg'!K220,IF(AND(Projektgrundlagen!$I$22,'HB-D1 Besondere Lstg Land'!M220=TRUE),'HB-D1 Besondere Lstg Land'!K220,IF(AND(Projektgrundlagen!$I$23,'HB-D2 Besondere Lstg Bund'!M220=TRUE),'HB-D2 Besondere Lstg Bund'!K220,"")))</f>
        <v/>
      </c>
      <c r="G269" s="1253"/>
      <c r="H269" s="1254"/>
    </row>
    <row r="270" spans="2:8" ht="14.4">
      <c r="B270" t="str">
        <f>IF(AND(Projektgrundlagen!$I$21,'StB-D1 Besondere Lstg'!M221=TRUE),'StB-D1 Besondere Lstg'!C221&amp;" "&amp;'StB-D1 Besondere Lstg'!F221&amp;" "&amp;'StB-D1 Besondere Lstg'!F222,IF(AND(Projektgrundlagen!$I$22,'HB-D1 Besondere Lstg Land'!M221=TRUE),'HB-D1 Besondere Lstg Land'!C221&amp;" "&amp;'HB-D1 Besondere Lstg Land'!F221&amp;" "&amp;'HB-D1 Besondere Lstg Land'!F222,IF(AND(Projektgrundlagen!$I$23,'HB-D2 Besondere Lstg Bund'!M221=TRUE),'HB-D2 Besondere Lstg Bund'!C221&amp;" "&amp;'HB-D2 Besondere Lstg Bund'!F221&amp;" "&amp;'HB-D2 Besondere Lstg Bund'!F222,"")))</f>
        <v/>
      </c>
      <c r="C270" s="1246" t="str">
        <f>IF(AND(Projektgrundlagen!$I$21,'StB-D1 Besondere Lstg'!M221=TRUE),'StB-D1 Besondere Lstg'!H221,"")</f>
        <v/>
      </c>
      <c r="D270" s="1246" t="str">
        <f>IF(AND(Projektgrundlagen!$I$21,'StB-D1 Besondere Lstg'!M221=TRUE),'StB-D1 Besondere Lstg'!I221,IF(AND(Projektgrundlagen!$I$22,'HB-D1 Besondere Lstg Land'!M221=TRUE),(IF('HB-D1 Besondere Lstg Land'!H221&gt;0,"v.H.","pauschal")),IF(AND(Projektgrundlagen!$I$23,'HB-D2 Besondere Lstg Bund'!M221=TRUE),(IF('HB-D2 Besondere Lstg Bund'!H221&gt;0,"v.H.","pauschal")),"")))</f>
        <v/>
      </c>
      <c r="E270" s="1246" t="str">
        <f>IF(AND(Projektgrundlagen!$I$21,'StB-D1 Besondere Lstg'!M221=TRUE),'StB-D1 Besondere Lstg'!J221,IF(AND(Projektgrundlagen!$I$22,'HB-D1 Besondere Lstg Land'!M221=TRUE),'HB-D1 Besondere Lstg Land'!H221+'HB-D1 Besondere Lstg Land'!J221,IF(AND(Projektgrundlagen!$I$23,'HB-D2 Besondere Lstg Bund'!M221=TRUE),'HB-D2 Besondere Lstg Bund'!H221+'HB-D2 Besondere Lstg Bund'!J221,"")))</f>
        <v/>
      </c>
      <c r="F270" s="1246" t="str">
        <f>IF(AND(Projektgrundlagen!$I$21,'StB-D1 Besondere Lstg'!M221=TRUE),'StB-D1 Besondere Lstg'!K221,IF(AND(Projektgrundlagen!$I$22,'HB-D1 Besondere Lstg Land'!M221=TRUE),'HB-D1 Besondere Lstg Land'!K221,IF(AND(Projektgrundlagen!$I$23,'HB-D2 Besondere Lstg Bund'!M221=TRUE),'HB-D2 Besondere Lstg Bund'!K221,"")))</f>
        <v/>
      </c>
      <c r="G270" s="1253"/>
      <c r="H270" s="1254"/>
    </row>
    <row r="271" spans="2:8" ht="14.4">
      <c r="B271" t="str">
        <f>IF(AND(Projektgrundlagen!$I$21,'StB-D1 Besondere Lstg'!M222=TRUE),'StB-D1 Besondere Lstg'!C222&amp;" "&amp;'StB-D1 Besondere Lstg'!F222&amp;" "&amp;'StB-D1 Besondere Lstg'!F223,IF(AND(Projektgrundlagen!$I$22,'HB-D1 Besondere Lstg Land'!M222=TRUE),'HB-D1 Besondere Lstg Land'!C222&amp;" "&amp;'HB-D1 Besondere Lstg Land'!F222&amp;" "&amp;'HB-D1 Besondere Lstg Land'!F223,IF(AND(Projektgrundlagen!$I$23,'HB-D2 Besondere Lstg Bund'!M222=TRUE),'HB-D2 Besondere Lstg Bund'!C222&amp;" "&amp;'HB-D2 Besondere Lstg Bund'!F222&amp;" "&amp;'HB-D2 Besondere Lstg Bund'!F223,"")))</f>
        <v/>
      </c>
      <c r="C271" s="1246" t="str">
        <f>IF(AND(Projektgrundlagen!$I$21,'StB-D1 Besondere Lstg'!M222=TRUE),'StB-D1 Besondere Lstg'!H222,"")</f>
        <v/>
      </c>
      <c r="D271" s="1246" t="str">
        <f>IF(AND(Projektgrundlagen!$I$21,'StB-D1 Besondere Lstg'!M222=TRUE),'StB-D1 Besondere Lstg'!I222,IF(AND(Projektgrundlagen!$I$22,'HB-D1 Besondere Lstg Land'!M222=TRUE),(IF('HB-D1 Besondere Lstg Land'!H222&gt;0,"v.H.","pauschal")),IF(AND(Projektgrundlagen!$I$23,'HB-D2 Besondere Lstg Bund'!M222=TRUE),(IF('HB-D2 Besondere Lstg Bund'!H222&gt;0,"v.H.","pauschal")),"")))</f>
        <v/>
      </c>
      <c r="E271" s="1246" t="str">
        <f>IF(AND(Projektgrundlagen!$I$21,'StB-D1 Besondere Lstg'!M222=TRUE),'StB-D1 Besondere Lstg'!J222,IF(AND(Projektgrundlagen!$I$22,'HB-D1 Besondere Lstg Land'!M222=TRUE),'HB-D1 Besondere Lstg Land'!H222+'HB-D1 Besondere Lstg Land'!J222,IF(AND(Projektgrundlagen!$I$23,'HB-D2 Besondere Lstg Bund'!M222=TRUE),'HB-D2 Besondere Lstg Bund'!H222+'HB-D2 Besondere Lstg Bund'!J222,"")))</f>
        <v/>
      </c>
      <c r="F271" s="1246" t="str">
        <f>IF(AND(Projektgrundlagen!$I$21,'StB-D1 Besondere Lstg'!M222=TRUE),'StB-D1 Besondere Lstg'!K222,IF(AND(Projektgrundlagen!$I$22,'HB-D1 Besondere Lstg Land'!M222=TRUE),'HB-D1 Besondere Lstg Land'!K222,IF(AND(Projektgrundlagen!$I$23,'HB-D2 Besondere Lstg Bund'!M222=TRUE),'HB-D2 Besondere Lstg Bund'!K222,"")))</f>
        <v/>
      </c>
      <c r="G271" s="1253"/>
      <c r="H271" s="1254"/>
    </row>
    <row r="272" spans="2:8" ht="14.4">
      <c r="B272" t="str">
        <f>IF(AND(Projektgrundlagen!$I$21,'StB-D1 Besondere Lstg'!M223=TRUE),'StB-D1 Besondere Lstg'!C223&amp;" "&amp;'StB-D1 Besondere Lstg'!F223&amp;" "&amp;'StB-D1 Besondere Lstg'!F224,IF(AND(Projektgrundlagen!$I$22,'HB-D1 Besondere Lstg Land'!M223=TRUE),'HB-D1 Besondere Lstg Land'!C223&amp;" "&amp;'HB-D1 Besondere Lstg Land'!F223&amp;" "&amp;'HB-D1 Besondere Lstg Land'!F224,IF(AND(Projektgrundlagen!$I$23,'HB-D2 Besondere Lstg Bund'!M223=TRUE),'HB-D2 Besondere Lstg Bund'!C223&amp;" "&amp;'HB-D2 Besondere Lstg Bund'!F223&amp;" "&amp;'HB-D2 Besondere Lstg Bund'!F224,"")))</f>
        <v/>
      </c>
      <c r="C272" s="1246" t="str">
        <f>IF(AND(Projektgrundlagen!$I$21,'StB-D1 Besondere Lstg'!M223=TRUE),'StB-D1 Besondere Lstg'!H223,"")</f>
        <v/>
      </c>
      <c r="D272" s="1246" t="str">
        <f>IF(AND(Projektgrundlagen!$I$21,'StB-D1 Besondere Lstg'!M223=TRUE),'StB-D1 Besondere Lstg'!I223,IF(AND(Projektgrundlagen!$I$22,'HB-D1 Besondere Lstg Land'!M223=TRUE),(IF('HB-D1 Besondere Lstg Land'!H223&gt;0,"v.H.","pauschal")),IF(AND(Projektgrundlagen!$I$23,'HB-D2 Besondere Lstg Bund'!M223=TRUE),(IF('HB-D2 Besondere Lstg Bund'!H223&gt;0,"v.H.","pauschal")),"")))</f>
        <v/>
      </c>
      <c r="E272" s="1246" t="str">
        <f>IF(AND(Projektgrundlagen!$I$21,'StB-D1 Besondere Lstg'!M223=TRUE),'StB-D1 Besondere Lstg'!J223,IF(AND(Projektgrundlagen!$I$22,'HB-D1 Besondere Lstg Land'!M223=TRUE),'HB-D1 Besondere Lstg Land'!H223+'HB-D1 Besondere Lstg Land'!J223,IF(AND(Projektgrundlagen!$I$23,'HB-D2 Besondere Lstg Bund'!M223=TRUE),'HB-D2 Besondere Lstg Bund'!H223+'HB-D2 Besondere Lstg Bund'!J223,"")))</f>
        <v/>
      </c>
      <c r="F272" s="1246" t="str">
        <f>IF(AND(Projektgrundlagen!$I$21,'StB-D1 Besondere Lstg'!M223=TRUE),'StB-D1 Besondere Lstg'!K223,IF(AND(Projektgrundlagen!$I$22,'HB-D1 Besondere Lstg Land'!M223=TRUE),'HB-D1 Besondere Lstg Land'!K223,IF(AND(Projektgrundlagen!$I$23,'HB-D2 Besondere Lstg Bund'!M223=TRUE),'HB-D2 Besondere Lstg Bund'!K223,"")))</f>
        <v/>
      </c>
      <c r="G272" s="1253"/>
      <c r="H272" s="1254"/>
    </row>
    <row r="273" spans="2:8" ht="14.4">
      <c r="B273" t="str">
        <f>IF(AND(Projektgrundlagen!$I$21,'StB-D1 Besondere Lstg'!M224=TRUE),'StB-D1 Besondere Lstg'!C224&amp;" "&amp;'StB-D1 Besondere Lstg'!F224&amp;" "&amp;'StB-D1 Besondere Lstg'!F225,IF(AND(Projektgrundlagen!$I$22,'HB-D1 Besondere Lstg Land'!M224=TRUE),'HB-D1 Besondere Lstg Land'!C224&amp;" "&amp;'HB-D1 Besondere Lstg Land'!F224&amp;" "&amp;'HB-D1 Besondere Lstg Land'!F225,IF(AND(Projektgrundlagen!$I$23,'HB-D2 Besondere Lstg Bund'!M224=TRUE),'HB-D2 Besondere Lstg Bund'!C224&amp;" "&amp;'HB-D2 Besondere Lstg Bund'!F224&amp;" "&amp;'HB-D2 Besondere Lstg Bund'!F225,"")))</f>
        <v/>
      </c>
      <c r="C273" s="1246" t="str">
        <f>IF(AND(Projektgrundlagen!$I$21,'StB-D1 Besondere Lstg'!M224=TRUE),'StB-D1 Besondere Lstg'!H224,"")</f>
        <v/>
      </c>
      <c r="D273" s="1246" t="str">
        <f>IF(AND(Projektgrundlagen!$I$21,'StB-D1 Besondere Lstg'!M224=TRUE),'StB-D1 Besondere Lstg'!I224,IF(AND(Projektgrundlagen!$I$22,'HB-D1 Besondere Lstg Land'!M224=TRUE),(IF('HB-D1 Besondere Lstg Land'!H224&gt;0,"v.H.","pauschal")),IF(AND(Projektgrundlagen!$I$23,'HB-D2 Besondere Lstg Bund'!M224=TRUE),(IF('HB-D2 Besondere Lstg Bund'!H224&gt;0,"v.H.","pauschal")),"")))</f>
        <v/>
      </c>
      <c r="E273" s="1246" t="str">
        <f>IF(AND(Projektgrundlagen!$I$21,'StB-D1 Besondere Lstg'!M224=TRUE),'StB-D1 Besondere Lstg'!J224,IF(AND(Projektgrundlagen!$I$22,'HB-D1 Besondere Lstg Land'!M224=TRUE),'HB-D1 Besondere Lstg Land'!H224+'HB-D1 Besondere Lstg Land'!J224,IF(AND(Projektgrundlagen!$I$23,'HB-D2 Besondere Lstg Bund'!M224=TRUE),'HB-D2 Besondere Lstg Bund'!H224+'HB-D2 Besondere Lstg Bund'!J224,"")))</f>
        <v/>
      </c>
      <c r="F273" s="1246" t="str">
        <f>IF(AND(Projektgrundlagen!$I$21,'StB-D1 Besondere Lstg'!M224=TRUE),'StB-D1 Besondere Lstg'!K224,IF(AND(Projektgrundlagen!$I$22,'HB-D1 Besondere Lstg Land'!M224=TRUE),'HB-D1 Besondere Lstg Land'!K224,IF(AND(Projektgrundlagen!$I$23,'HB-D2 Besondere Lstg Bund'!M224=TRUE),'HB-D2 Besondere Lstg Bund'!K224,"")))</f>
        <v/>
      </c>
      <c r="G273" s="1253"/>
      <c r="H273" s="1254"/>
    </row>
    <row r="274" spans="2:8" ht="14.4">
      <c r="B274" t="str">
        <f>IF(AND(Projektgrundlagen!$I$21,'StB-D1 Besondere Lstg'!M225=TRUE),'StB-D1 Besondere Lstg'!C225&amp;" "&amp;'StB-D1 Besondere Lstg'!F225&amp;" "&amp;'StB-D1 Besondere Lstg'!F226,IF(AND(Projektgrundlagen!$I$22,'HB-D1 Besondere Lstg Land'!M225=TRUE),'HB-D1 Besondere Lstg Land'!C225&amp;" "&amp;'HB-D1 Besondere Lstg Land'!F225&amp;" "&amp;'HB-D1 Besondere Lstg Land'!F226,IF(AND(Projektgrundlagen!$I$23,'HB-D2 Besondere Lstg Bund'!M225=TRUE),'HB-D2 Besondere Lstg Bund'!C225&amp;" "&amp;'HB-D2 Besondere Lstg Bund'!F225&amp;" "&amp;'HB-D2 Besondere Lstg Bund'!F226,"")))</f>
        <v/>
      </c>
      <c r="C274" s="1246" t="str">
        <f>IF(AND(Projektgrundlagen!$I$21,'StB-D1 Besondere Lstg'!M225=TRUE),'StB-D1 Besondere Lstg'!H225,"")</f>
        <v/>
      </c>
      <c r="D274" s="1246" t="str">
        <f>IF(AND(Projektgrundlagen!$I$21,'StB-D1 Besondere Lstg'!M225=TRUE),'StB-D1 Besondere Lstg'!I225,IF(AND(Projektgrundlagen!$I$22,'HB-D1 Besondere Lstg Land'!M225=TRUE),(IF('HB-D1 Besondere Lstg Land'!H225&gt;0,"v.H.","pauschal")),IF(AND(Projektgrundlagen!$I$23,'HB-D2 Besondere Lstg Bund'!M225=TRUE),(IF('HB-D2 Besondere Lstg Bund'!H225&gt;0,"v.H.","pauschal")),"")))</f>
        <v/>
      </c>
      <c r="E274" s="1246" t="str">
        <f>IF(AND(Projektgrundlagen!$I$21,'StB-D1 Besondere Lstg'!M225=TRUE),'StB-D1 Besondere Lstg'!J225,IF(AND(Projektgrundlagen!$I$22,'HB-D1 Besondere Lstg Land'!M225=TRUE),'HB-D1 Besondere Lstg Land'!H225+'HB-D1 Besondere Lstg Land'!J225,IF(AND(Projektgrundlagen!$I$23,'HB-D2 Besondere Lstg Bund'!M225=TRUE),'HB-D2 Besondere Lstg Bund'!H225+'HB-D2 Besondere Lstg Bund'!J225,"")))</f>
        <v/>
      </c>
      <c r="F274" s="1246" t="str">
        <f>IF(AND(Projektgrundlagen!$I$21,'StB-D1 Besondere Lstg'!M225=TRUE),'StB-D1 Besondere Lstg'!K225,IF(AND(Projektgrundlagen!$I$22,'HB-D1 Besondere Lstg Land'!M225=TRUE),'HB-D1 Besondere Lstg Land'!K225,IF(AND(Projektgrundlagen!$I$23,'HB-D2 Besondere Lstg Bund'!M225=TRUE),'HB-D2 Besondere Lstg Bund'!K225,"")))</f>
        <v/>
      </c>
      <c r="G274" s="1253"/>
      <c r="H274" s="1254"/>
    </row>
    <row r="275" spans="2:8" ht="14.4">
      <c r="B275" t="str">
        <f>IF(AND(Projektgrundlagen!$I$21,'StB-D1 Besondere Lstg'!M226=TRUE),'StB-D1 Besondere Lstg'!C226&amp;" "&amp;'StB-D1 Besondere Lstg'!F226&amp;" "&amp;'StB-D1 Besondere Lstg'!F227,IF(AND(Projektgrundlagen!$I$22,'HB-D1 Besondere Lstg Land'!M226=TRUE),'HB-D1 Besondere Lstg Land'!C226&amp;" "&amp;'HB-D1 Besondere Lstg Land'!F226&amp;" "&amp;'HB-D1 Besondere Lstg Land'!F227,IF(AND(Projektgrundlagen!$I$23,'HB-D2 Besondere Lstg Bund'!M226=TRUE),'HB-D2 Besondere Lstg Bund'!C226&amp;" "&amp;'HB-D2 Besondere Lstg Bund'!F226&amp;" "&amp;'HB-D2 Besondere Lstg Bund'!F227,"")))</f>
        <v/>
      </c>
      <c r="C275" s="1246" t="str">
        <f>IF(AND(Projektgrundlagen!$I$21,'StB-D1 Besondere Lstg'!M226=TRUE),'StB-D1 Besondere Lstg'!H226,"")</f>
        <v/>
      </c>
      <c r="D275" s="1246" t="str">
        <f>IF(AND(Projektgrundlagen!$I$21,'StB-D1 Besondere Lstg'!M226=TRUE),'StB-D1 Besondere Lstg'!I226,IF(AND(Projektgrundlagen!$I$22,'HB-D1 Besondere Lstg Land'!M226=TRUE),(IF('HB-D1 Besondere Lstg Land'!H226&gt;0,"v.H.","pauschal")),IF(AND(Projektgrundlagen!$I$23,'HB-D2 Besondere Lstg Bund'!M226=TRUE),(IF('HB-D2 Besondere Lstg Bund'!H226&gt;0,"v.H.","pauschal")),"")))</f>
        <v/>
      </c>
      <c r="E275" s="1246" t="str">
        <f>IF(AND(Projektgrundlagen!$I$21,'StB-D1 Besondere Lstg'!M226=TRUE),'StB-D1 Besondere Lstg'!J226,IF(AND(Projektgrundlagen!$I$22,'HB-D1 Besondere Lstg Land'!M226=TRUE),'HB-D1 Besondere Lstg Land'!H226+'HB-D1 Besondere Lstg Land'!J226,IF(AND(Projektgrundlagen!$I$23,'HB-D2 Besondere Lstg Bund'!M226=TRUE),'HB-D2 Besondere Lstg Bund'!H226+'HB-D2 Besondere Lstg Bund'!J226,"")))</f>
        <v/>
      </c>
      <c r="F275" s="1246" t="str">
        <f>IF(AND(Projektgrundlagen!$I$21,'StB-D1 Besondere Lstg'!M226=TRUE),'StB-D1 Besondere Lstg'!K226,IF(AND(Projektgrundlagen!$I$22,'HB-D1 Besondere Lstg Land'!M226=TRUE),'HB-D1 Besondere Lstg Land'!K226,IF(AND(Projektgrundlagen!$I$23,'HB-D2 Besondere Lstg Bund'!M226=TRUE),'HB-D2 Besondere Lstg Bund'!K226,"")))</f>
        <v/>
      </c>
      <c r="G275" s="1253"/>
      <c r="H275" s="1254"/>
    </row>
    <row r="276" spans="2:8" ht="14.4">
      <c r="B276" t="str">
        <f>IF(AND(Projektgrundlagen!$I$21,'StB-D1 Besondere Lstg'!M227=TRUE),'StB-D1 Besondere Lstg'!C227&amp;" "&amp;'StB-D1 Besondere Lstg'!F227&amp;" "&amp;'StB-D1 Besondere Lstg'!F228,IF(AND(Projektgrundlagen!$I$22,'HB-D1 Besondere Lstg Land'!M227=TRUE),'HB-D1 Besondere Lstg Land'!C227&amp;" "&amp;'HB-D1 Besondere Lstg Land'!F227&amp;" "&amp;'HB-D1 Besondere Lstg Land'!F228,IF(AND(Projektgrundlagen!$I$23,'HB-D2 Besondere Lstg Bund'!M227=TRUE),'HB-D2 Besondere Lstg Bund'!C227&amp;" "&amp;'HB-D2 Besondere Lstg Bund'!F227&amp;" "&amp;'HB-D2 Besondere Lstg Bund'!F228,"")))</f>
        <v/>
      </c>
      <c r="C276" s="1246" t="str">
        <f>IF(AND(Projektgrundlagen!$I$21,'StB-D1 Besondere Lstg'!M227=TRUE),'StB-D1 Besondere Lstg'!H227,"")</f>
        <v/>
      </c>
      <c r="D276" s="1246" t="str">
        <f>IF(AND(Projektgrundlagen!$I$21,'StB-D1 Besondere Lstg'!M227=TRUE),'StB-D1 Besondere Lstg'!I227,IF(AND(Projektgrundlagen!$I$22,'HB-D1 Besondere Lstg Land'!M227=TRUE),(IF('HB-D1 Besondere Lstg Land'!H227&gt;0,"v.H.","pauschal")),IF(AND(Projektgrundlagen!$I$23,'HB-D2 Besondere Lstg Bund'!M227=TRUE),(IF('HB-D2 Besondere Lstg Bund'!H227&gt;0,"v.H.","pauschal")),"")))</f>
        <v/>
      </c>
      <c r="E276" s="1246" t="str">
        <f>IF(AND(Projektgrundlagen!$I$21,'StB-D1 Besondere Lstg'!M227=TRUE),'StB-D1 Besondere Lstg'!J227,IF(AND(Projektgrundlagen!$I$22,'HB-D1 Besondere Lstg Land'!M227=TRUE),'HB-D1 Besondere Lstg Land'!H227+'HB-D1 Besondere Lstg Land'!J227,IF(AND(Projektgrundlagen!$I$23,'HB-D2 Besondere Lstg Bund'!M227=TRUE),'HB-D2 Besondere Lstg Bund'!H227+'HB-D2 Besondere Lstg Bund'!J227,"")))</f>
        <v/>
      </c>
      <c r="F276" s="1246" t="str">
        <f>IF(AND(Projektgrundlagen!$I$21,'StB-D1 Besondere Lstg'!M227=TRUE),'StB-D1 Besondere Lstg'!K227,IF(AND(Projektgrundlagen!$I$22,'HB-D1 Besondere Lstg Land'!M227=TRUE),'HB-D1 Besondere Lstg Land'!K227,IF(AND(Projektgrundlagen!$I$23,'HB-D2 Besondere Lstg Bund'!M227=TRUE),'HB-D2 Besondere Lstg Bund'!K227,"")))</f>
        <v/>
      </c>
      <c r="G276" s="1253"/>
      <c r="H276" s="1254"/>
    </row>
    <row r="277" spans="2:8" ht="14.4">
      <c r="B277" t="str">
        <f>IF(AND(Projektgrundlagen!$I$21,'StB-D1 Besondere Lstg'!M228=TRUE),'StB-D1 Besondere Lstg'!C228&amp;" "&amp;'StB-D1 Besondere Lstg'!F228&amp;" "&amp;'StB-D1 Besondere Lstg'!F229,IF(AND(Projektgrundlagen!$I$22,'HB-D1 Besondere Lstg Land'!M228=TRUE),'HB-D1 Besondere Lstg Land'!C228&amp;" "&amp;'HB-D1 Besondere Lstg Land'!F228&amp;" "&amp;'HB-D1 Besondere Lstg Land'!F229,IF(AND(Projektgrundlagen!$I$23,'HB-D2 Besondere Lstg Bund'!M228=TRUE),'HB-D2 Besondere Lstg Bund'!C228&amp;" "&amp;'HB-D2 Besondere Lstg Bund'!F228&amp;" "&amp;'HB-D2 Besondere Lstg Bund'!F229,"")))</f>
        <v/>
      </c>
      <c r="C277" s="1246" t="str">
        <f>IF(AND(Projektgrundlagen!$I$21,'StB-D1 Besondere Lstg'!M228=TRUE),'StB-D1 Besondere Lstg'!H228,"")</f>
        <v/>
      </c>
      <c r="D277" s="1246" t="str">
        <f>IF(AND(Projektgrundlagen!$I$21,'StB-D1 Besondere Lstg'!M228=TRUE),'StB-D1 Besondere Lstg'!I228,IF(AND(Projektgrundlagen!$I$22,'HB-D1 Besondere Lstg Land'!M228=TRUE),(IF('HB-D1 Besondere Lstg Land'!H228&gt;0,"v.H.","pauschal")),IF(AND(Projektgrundlagen!$I$23,'HB-D2 Besondere Lstg Bund'!M228=TRUE),(IF('HB-D2 Besondere Lstg Bund'!H228&gt;0,"v.H.","pauschal")),"")))</f>
        <v/>
      </c>
      <c r="E277" s="1246" t="str">
        <f>IF(AND(Projektgrundlagen!$I$21,'StB-D1 Besondere Lstg'!M228=TRUE),'StB-D1 Besondere Lstg'!J228,IF(AND(Projektgrundlagen!$I$22,'HB-D1 Besondere Lstg Land'!M228=TRUE),'HB-D1 Besondere Lstg Land'!H228+'HB-D1 Besondere Lstg Land'!J228,IF(AND(Projektgrundlagen!$I$23,'HB-D2 Besondere Lstg Bund'!M228=TRUE),'HB-D2 Besondere Lstg Bund'!H228+'HB-D2 Besondere Lstg Bund'!J228,"")))</f>
        <v/>
      </c>
      <c r="F277" s="1246" t="str">
        <f>IF(AND(Projektgrundlagen!$I$21,'StB-D1 Besondere Lstg'!M228=TRUE),'StB-D1 Besondere Lstg'!K228,IF(AND(Projektgrundlagen!$I$22,'HB-D1 Besondere Lstg Land'!M228=TRUE),'HB-D1 Besondere Lstg Land'!K228,IF(AND(Projektgrundlagen!$I$23,'HB-D2 Besondere Lstg Bund'!M228=TRUE),'HB-D2 Besondere Lstg Bund'!K228,"")))</f>
        <v/>
      </c>
      <c r="G277" s="1253"/>
      <c r="H277" s="1254"/>
    </row>
    <row r="278" spans="2:8" ht="14.4">
      <c r="B278" t="str">
        <f>IF(AND(Projektgrundlagen!$I$21,'StB-D1 Besondere Lstg'!M229=TRUE),'StB-D1 Besondere Lstg'!C229&amp;" "&amp;'StB-D1 Besondere Lstg'!F229&amp;" "&amp;'StB-D1 Besondere Lstg'!F230,IF(AND(Projektgrundlagen!$I$22,'HB-D1 Besondere Lstg Land'!M229=TRUE),'HB-D1 Besondere Lstg Land'!C229&amp;" "&amp;'HB-D1 Besondere Lstg Land'!F229&amp;" "&amp;'HB-D1 Besondere Lstg Land'!F230,IF(AND(Projektgrundlagen!$I$23,'HB-D2 Besondere Lstg Bund'!M229=TRUE),'HB-D2 Besondere Lstg Bund'!C229&amp;" "&amp;'HB-D2 Besondere Lstg Bund'!F229&amp;" "&amp;'HB-D2 Besondere Lstg Bund'!F230,"")))</f>
        <v/>
      </c>
      <c r="C278" s="1246" t="str">
        <f>IF(AND(Projektgrundlagen!$I$21,'StB-D1 Besondere Lstg'!M229=TRUE),'StB-D1 Besondere Lstg'!H229,"")</f>
        <v/>
      </c>
      <c r="D278" s="1246" t="str">
        <f>IF(AND(Projektgrundlagen!$I$21,'StB-D1 Besondere Lstg'!M229=TRUE),'StB-D1 Besondere Lstg'!I229,IF(AND(Projektgrundlagen!$I$22,'HB-D1 Besondere Lstg Land'!M229=TRUE),(IF('HB-D1 Besondere Lstg Land'!H229&gt;0,"v.H.","pauschal")),IF(AND(Projektgrundlagen!$I$23,'HB-D2 Besondere Lstg Bund'!M229=TRUE),(IF('HB-D2 Besondere Lstg Bund'!H229&gt;0,"v.H.","pauschal")),"")))</f>
        <v/>
      </c>
      <c r="E278" s="1246" t="str">
        <f>IF(AND(Projektgrundlagen!$I$21,'StB-D1 Besondere Lstg'!M229=TRUE),'StB-D1 Besondere Lstg'!J229,IF(AND(Projektgrundlagen!$I$22,'HB-D1 Besondere Lstg Land'!M229=TRUE),'HB-D1 Besondere Lstg Land'!H229+'HB-D1 Besondere Lstg Land'!J229,IF(AND(Projektgrundlagen!$I$23,'HB-D2 Besondere Lstg Bund'!M229=TRUE),'HB-D2 Besondere Lstg Bund'!H229+'HB-D2 Besondere Lstg Bund'!J229,"")))</f>
        <v/>
      </c>
      <c r="F278" s="1246" t="str">
        <f>IF(AND(Projektgrundlagen!$I$21,'StB-D1 Besondere Lstg'!M229=TRUE),'StB-D1 Besondere Lstg'!K229,IF(AND(Projektgrundlagen!$I$22,'HB-D1 Besondere Lstg Land'!M229=TRUE),'HB-D1 Besondere Lstg Land'!K229,IF(AND(Projektgrundlagen!$I$23,'HB-D2 Besondere Lstg Bund'!M229=TRUE),'HB-D2 Besondere Lstg Bund'!K229,"")))</f>
        <v/>
      </c>
      <c r="G278" s="1253"/>
      <c r="H278" s="1254"/>
    </row>
    <row r="279" spans="2:8" ht="14.4">
      <c r="B279" t="str">
        <f>IF(AND(Projektgrundlagen!$I$21,'StB-D1 Besondere Lstg'!M230=TRUE),'StB-D1 Besondere Lstg'!C230&amp;" "&amp;'StB-D1 Besondere Lstg'!F230&amp;" "&amp;'StB-D1 Besondere Lstg'!F231,IF(AND(Projektgrundlagen!$I$22,'HB-D1 Besondere Lstg Land'!M230=TRUE),'HB-D1 Besondere Lstg Land'!C230&amp;" "&amp;'HB-D1 Besondere Lstg Land'!F230&amp;" "&amp;'HB-D1 Besondere Lstg Land'!F231,IF(AND(Projektgrundlagen!$I$23,'HB-D2 Besondere Lstg Bund'!M230=TRUE),'HB-D2 Besondere Lstg Bund'!C230&amp;" "&amp;'HB-D2 Besondere Lstg Bund'!F230&amp;" "&amp;'HB-D2 Besondere Lstg Bund'!F231,"")))</f>
        <v/>
      </c>
      <c r="C279" s="1246" t="str">
        <f>IF(AND(Projektgrundlagen!$I$21,'StB-D1 Besondere Lstg'!M230=TRUE),'StB-D1 Besondere Lstg'!H230,"")</f>
        <v/>
      </c>
      <c r="D279" s="1246" t="str">
        <f>IF(AND(Projektgrundlagen!$I$21,'StB-D1 Besondere Lstg'!M230=TRUE),'StB-D1 Besondere Lstg'!I230,IF(AND(Projektgrundlagen!$I$22,'HB-D1 Besondere Lstg Land'!M230=TRUE),(IF('HB-D1 Besondere Lstg Land'!H230&gt;0,"v.H.","pauschal")),IF(AND(Projektgrundlagen!$I$23,'HB-D2 Besondere Lstg Bund'!M230=TRUE),(IF('HB-D2 Besondere Lstg Bund'!H230&gt;0,"v.H.","pauschal")),"")))</f>
        <v/>
      </c>
      <c r="E279" s="1246" t="str">
        <f>IF(AND(Projektgrundlagen!$I$21,'StB-D1 Besondere Lstg'!M230=TRUE),'StB-D1 Besondere Lstg'!J230,IF(AND(Projektgrundlagen!$I$22,'HB-D1 Besondere Lstg Land'!M230=TRUE),'HB-D1 Besondere Lstg Land'!H230+'HB-D1 Besondere Lstg Land'!J230,IF(AND(Projektgrundlagen!$I$23,'HB-D2 Besondere Lstg Bund'!M230=TRUE),'HB-D2 Besondere Lstg Bund'!H230+'HB-D2 Besondere Lstg Bund'!J230,"")))</f>
        <v/>
      </c>
      <c r="F279" s="1246" t="str">
        <f>IF(AND(Projektgrundlagen!$I$21,'StB-D1 Besondere Lstg'!M230=TRUE),'StB-D1 Besondere Lstg'!K230,IF(AND(Projektgrundlagen!$I$22,'HB-D1 Besondere Lstg Land'!M230=TRUE),'HB-D1 Besondere Lstg Land'!K230,IF(AND(Projektgrundlagen!$I$23,'HB-D2 Besondere Lstg Bund'!M230=TRUE),'HB-D2 Besondere Lstg Bund'!K230,"")))</f>
        <v/>
      </c>
      <c r="G279" s="1253"/>
      <c r="H279" s="1254"/>
    </row>
    <row r="280" spans="2:8" ht="14.4">
      <c r="B280" t="str">
        <f>IF(AND(Projektgrundlagen!$I$21,'StB-D1 Besondere Lstg'!M231=TRUE),'StB-D1 Besondere Lstg'!C231&amp;" "&amp;'StB-D1 Besondere Lstg'!F231&amp;" "&amp;'StB-D1 Besondere Lstg'!F232,IF(AND(Projektgrundlagen!$I$22,'HB-D1 Besondere Lstg Land'!M231=TRUE),'HB-D1 Besondere Lstg Land'!C231&amp;" "&amp;'HB-D1 Besondere Lstg Land'!F231&amp;" "&amp;'HB-D1 Besondere Lstg Land'!F232,IF(AND(Projektgrundlagen!$I$23,'HB-D2 Besondere Lstg Bund'!M231=TRUE),'HB-D2 Besondere Lstg Bund'!C231&amp;" "&amp;'HB-D2 Besondere Lstg Bund'!F231&amp;" "&amp;'HB-D2 Besondere Lstg Bund'!F232,"")))</f>
        <v/>
      </c>
      <c r="C280" s="1246" t="str">
        <f>IF(AND(Projektgrundlagen!$I$21,'StB-D1 Besondere Lstg'!M231=TRUE),'StB-D1 Besondere Lstg'!H231,"")</f>
        <v/>
      </c>
      <c r="D280" s="1246" t="str">
        <f>IF(AND(Projektgrundlagen!$I$21,'StB-D1 Besondere Lstg'!M231=TRUE),'StB-D1 Besondere Lstg'!I231,IF(AND(Projektgrundlagen!$I$22,'HB-D1 Besondere Lstg Land'!M231=TRUE),(IF('HB-D1 Besondere Lstg Land'!H231&gt;0,"v.H.","pauschal")),IF(AND(Projektgrundlagen!$I$23,'HB-D2 Besondere Lstg Bund'!M231=TRUE),(IF('HB-D2 Besondere Lstg Bund'!H231&gt;0,"v.H.","pauschal")),"")))</f>
        <v/>
      </c>
      <c r="E280" s="1246" t="str">
        <f>IF(AND(Projektgrundlagen!$I$21,'StB-D1 Besondere Lstg'!M231=TRUE),'StB-D1 Besondere Lstg'!J231,IF(AND(Projektgrundlagen!$I$22,'HB-D1 Besondere Lstg Land'!M231=TRUE),'HB-D1 Besondere Lstg Land'!H231+'HB-D1 Besondere Lstg Land'!J231,IF(AND(Projektgrundlagen!$I$23,'HB-D2 Besondere Lstg Bund'!M231=TRUE),'HB-D2 Besondere Lstg Bund'!H231+'HB-D2 Besondere Lstg Bund'!J231,"")))</f>
        <v/>
      </c>
      <c r="F280" s="1246" t="str">
        <f>IF(AND(Projektgrundlagen!$I$21,'StB-D1 Besondere Lstg'!M231=TRUE),'StB-D1 Besondere Lstg'!K231,IF(AND(Projektgrundlagen!$I$22,'HB-D1 Besondere Lstg Land'!M231=TRUE),'HB-D1 Besondere Lstg Land'!K231,IF(AND(Projektgrundlagen!$I$23,'HB-D2 Besondere Lstg Bund'!M231=TRUE),'HB-D2 Besondere Lstg Bund'!K231,"")))</f>
        <v/>
      </c>
      <c r="G280" s="1253"/>
      <c r="H280" s="1254"/>
    </row>
    <row r="281" spans="2:8" ht="14.4">
      <c r="B281" t="str">
        <f>IF(AND(Projektgrundlagen!$I$21,'StB-D1 Besondere Lstg'!M232=TRUE),'StB-D1 Besondere Lstg'!C232&amp;" "&amp;'StB-D1 Besondere Lstg'!F232&amp;" "&amp;'StB-D1 Besondere Lstg'!F233,IF(AND(Projektgrundlagen!$I$22,'HB-D1 Besondere Lstg Land'!M232=TRUE),'HB-D1 Besondere Lstg Land'!C232&amp;" "&amp;'HB-D1 Besondere Lstg Land'!F232&amp;" "&amp;'HB-D1 Besondere Lstg Land'!F233,IF(AND(Projektgrundlagen!$I$23,'HB-D2 Besondere Lstg Bund'!M232=TRUE),'HB-D2 Besondere Lstg Bund'!C232&amp;" "&amp;'HB-D2 Besondere Lstg Bund'!F232&amp;" "&amp;'HB-D2 Besondere Lstg Bund'!F233,"")))</f>
        <v/>
      </c>
      <c r="C281" s="1246" t="str">
        <f>IF(AND(Projektgrundlagen!$I$21,'StB-D1 Besondere Lstg'!M232=TRUE),'StB-D1 Besondere Lstg'!H232,"")</f>
        <v/>
      </c>
      <c r="D281" s="1246" t="str">
        <f>IF(AND(Projektgrundlagen!$I$21,'StB-D1 Besondere Lstg'!M232=TRUE),'StB-D1 Besondere Lstg'!I232,IF(AND(Projektgrundlagen!$I$22,'HB-D1 Besondere Lstg Land'!M232=TRUE),(IF('HB-D1 Besondere Lstg Land'!H232&gt;0,"v.H.","pauschal")),IF(AND(Projektgrundlagen!$I$23,'HB-D2 Besondere Lstg Bund'!M232=TRUE),(IF('HB-D2 Besondere Lstg Bund'!H232&gt;0,"v.H.","pauschal")),"")))</f>
        <v/>
      </c>
      <c r="E281" s="1246" t="str">
        <f>IF(AND(Projektgrundlagen!$I$21,'StB-D1 Besondere Lstg'!M232=TRUE),'StB-D1 Besondere Lstg'!J232,IF(AND(Projektgrundlagen!$I$22,'HB-D1 Besondere Lstg Land'!M232=TRUE),'HB-D1 Besondere Lstg Land'!H232+'HB-D1 Besondere Lstg Land'!J232,IF(AND(Projektgrundlagen!$I$23,'HB-D2 Besondere Lstg Bund'!M232=TRUE),'HB-D2 Besondere Lstg Bund'!H232+'HB-D2 Besondere Lstg Bund'!J232,"")))</f>
        <v/>
      </c>
      <c r="F281" s="1246" t="str">
        <f>IF(AND(Projektgrundlagen!$I$21,'StB-D1 Besondere Lstg'!M232=TRUE),'StB-D1 Besondere Lstg'!K232,IF(AND(Projektgrundlagen!$I$22,'HB-D1 Besondere Lstg Land'!M232=TRUE),'HB-D1 Besondere Lstg Land'!K232,IF(AND(Projektgrundlagen!$I$23,'HB-D2 Besondere Lstg Bund'!M232=TRUE),'HB-D2 Besondere Lstg Bund'!K232,"")))</f>
        <v/>
      </c>
      <c r="G281" s="1253"/>
      <c r="H281" s="1254"/>
    </row>
    <row r="282" spans="2:8" ht="14.4">
      <c r="B282" t="str">
        <f>IF(AND(Projektgrundlagen!$I$21,'StB-D1 Besondere Lstg'!M233=TRUE),'StB-D1 Besondere Lstg'!C233&amp;" "&amp;'StB-D1 Besondere Lstg'!F233&amp;" "&amp;'StB-D1 Besondere Lstg'!F234,IF(AND(Projektgrundlagen!$I$22,'HB-D1 Besondere Lstg Land'!M233=TRUE),'HB-D1 Besondere Lstg Land'!C233&amp;" "&amp;'HB-D1 Besondere Lstg Land'!F233&amp;" "&amp;'HB-D1 Besondere Lstg Land'!F234,IF(AND(Projektgrundlagen!$I$23,'HB-D2 Besondere Lstg Bund'!M233=TRUE),'HB-D2 Besondere Lstg Bund'!C233&amp;" "&amp;'HB-D2 Besondere Lstg Bund'!F233&amp;" "&amp;'HB-D2 Besondere Lstg Bund'!F234,"")))</f>
        <v/>
      </c>
      <c r="C282" s="1246" t="str">
        <f>IF(AND(Projektgrundlagen!$I$21,'StB-D1 Besondere Lstg'!M233=TRUE),'StB-D1 Besondere Lstg'!H233,"")</f>
        <v/>
      </c>
      <c r="D282" s="1246" t="str">
        <f>IF(AND(Projektgrundlagen!$I$21,'StB-D1 Besondere Lstg'!M233=TRUE),'StB-D1 Besondere Lstg'!I233,IF(AND(Projektgrundlagen!$I$22,'HB-D1 Besondere Lstg Land'!M233=TRUE),(IF('HB-D1 Besondere Lstg Land'!H233&gt;0,"v.H.","pauschal")),IF(AND(Projektgrundlagen!$I$23,'HB-D2 Besondere Lstg Bund'!M233=TRUE),(IF('HB-D2 Besondere Lstg Bund'!H233&gt;0,"v.H.","pauschal")),"")))</f>
        <v/>
      </c>
      <c r="E282" s="1246" t="str">
        <f>IF(AND(Projektgrundlagen!$I$21,'StB-D1 Besondere Lstg'!M233=TRUE),'StB-D1 Besondere Lstg'!J233,IF(AND(Projektgrundlagen!$I$22,'HB-D1 Besondere Lstg Land'!M233=TRUE),'HB-D1 Besondere Lstg Land'!H233+'HB-D1 Besondere Lstg Land'!J233,IF(AND(Projektgrundlagen!$I$23,'HB-D2 Besondere Lstg Bund'!M233=TRUE),'HB-D2 Besondere Lstg Bund'!H233+'HB-D2 Besondere Lstg Bund'!J233,"")))</f>
        <v/>
      </c>
      <c r="F282" s="1246" t="str">
        <f>IF(AND(Projektgrundlagen!$I$21,'StB-D1 Besondere Lstg'!M233=TRUE),'StB-D1 Besondere Lstg'!K233,IF(AND(Projektgrundlagen!$I$22,'HB-D1 Besondere Lstg Land'!M233=TRUE),'HB-D1 Besondere Lstg Land'!K233,IF(AND(Projektgrundlagen!$I$23,'HB-D2 Besondere Lstg Bund'!M233=TRUE),'HB-D2 Besondere Lstg Bund'!K233,"")))</f>
        <v/>
      </c>
      <c r="G282" s="1253"/>
      <c r="H282" s="1254"/>
    </row>
    <row r="283" spans="2:8" ht="14.4">
      <c r="B283" t="str">
        <f>IF(AND(Projektgrundlagen!$I$21,'StB-D1 Besondere Lstg'!M234=TRUE),'StB-D1 Besondere Lstg'!C234&amp;" "&amp;'StB-D1 Besondere Lstg'!F234&amp;" "&amp;'StB-D1 Besondere Lstg'!F235,IF(AND(Projektgrundlagen!$I$22,'HB-D1 Besondere Lstg Land'!M234=TRUE),'HB-D1 Besondere Lstg Land'!C234&amp;" "&amp;'HB-D1 Besondere Lstg Land'!F234&amp;" "&amp;'HB-D1 Besondere Lstg Land'!F235,IF(AND(Projektgrundlagen!$I$23,'HB-D2 Besondere Lstg Bund'!M234=TRUE),'HB-D2 Besondere Lstg Bund'!C234&amp;" "&amp;'HB-D2 Besondere Lstg Bund'!F234&amp;" "&amp;'HB-D2 Besondere Lstg Bund'!F235,"")))</f>
        <v/>
      </c>
      <c r="C283" s="1246" t="str">
        <f>IF(AND(Projektgrundlagen!$I$21,'StB-D1 Besondere Lstg'!M234=TRUE),'StB-D1 Besondere Lstg'!H234,"")</f>
        <v/>
      </c>
      <c r="D283" s="1246" t="str">
        <f>IF(AND(Projektgrundlagen!$I$21,'StB-D1 Besondere Lstg'!M234=TRUE),'StB-D1 Besondere Lstg'!I234,IF(AND(Projektgrundlagen!$I$22,'HB-D1 Besondere Lstg Land'!M234=TRUE),(IF('HB-D1 Besondere Lstg Land'!H234&gt;0,"v.H.","pauschal")),IF(AND(Projektgrundlagen!$I$23,'HB-D2 Besondere Lstg Bund'!M234=TRUE),(IF('HB-D2 Besondere Lstg Bund'!H234&gt;0,"v.H.","pauschal")),"")))</f>
        <v/>
      </c>
      <c r="E283" s="1246" t="str">
        <f>IF(AND(Projektgrundlagen!$I$21,'StB-D1 Besondere Lstg'!M234=TRUE),'StB-D1 Besondere Lstg'!J234,IF(AND(Projektgrundlagen!$I$22,'HB-D1 Besondere Lstg Land'!M234=TRUE),'HB-D1 Besondere Lstg Land'!H234+'HB-D1 Besondere Lstg Land'!J234,IF(AND(Projektgrundlagen!$I$23,'HB-D2 Besondere Lstg Bund'!M234=TRUE),'HB-D2 Besondere Lstg Bund'!H234+'HB-D2 Besondere Lstg Bund'!J234,"")))</f>
        <v/>
      </c>
      <c r="F283" s="1246" t="str">
        <f>IF(AND(Projektgrundlagen!$I$21,'StB-D1 Besondere Lstg'!M234=TRUE),'StB-D1 Besondere Lstg'!K234,IF(AND(Projektgrundlagen!$I$22,'HB-D1 Besondere Lstg Land'!M234=TRUE),'HB-D1 Besondere Lstg Land'!K234,IF(AND(Projektgrundlagen!$I$23,'HB-D2 Besondere Lstg Bund'!M234=TRUE),'HB-D2 Besondere Lstg Bund'!K234,"")))</f>
        <v/>
      </c>
      <c r="G283" s="1253"/>
      <c r="H283" s="1254"/>
    </row>
    <row r="284" spans="2:8" ht="14.4">
      <c r="B284" t="str">
        <f>IF(AND(Projektgrundlagen!$I$21,'StB-D1 Besondere Lstg'!M235=TRUE),'StB-D1 Besondere Lstg'!C235&amp;" "&amp;'StB-D1 Besondere Lstg'!F235&amp;" "&amp;'StB-D1 Besondere Lstg'!F236,IF(AND(Projektgrundlagen!$I$22,'HB-D1 Besondere Lstg Land'!M235=TRUE),'HB-D1 Besondere Lstg Land'!C235&amp;" "&amp;'HB-D1 Besondere Lstg Land'!F235&amp;" "&amp;'HB-D1 Besondere Lstg Land'!F236,IF(AND(Projektgrundlagen!$I$23,'HB-D2 Besondere Lstg Bund'!M235=TRUE),'HB-D2 Besondere Lstg Bund'!C235&amp;" "&amp;'HB-D2 Besondere Lstg Bund'!F235&amp;" "&amp;'HB-D2 Besondere Lstg Bund'!F236,"")))</f>
        <v/>
      </c>
      <c r="C284" s="1246" t="str">
        <f>IF(AND(Projektgrundlagen!$I$21,'StB-D1 Besondere Lstg'!M235=TRUE),'StB-D1 Besondere Lstg'!H235,"")</f>
        <v/>
      </c>
      <c r="D284" s="1246" t="str">
        <f>IF(AND(Projektgrundlagen!$I$21,'StB-D1 Besondere Lstg'!M235=TRUE),'StB-D1 Besondere Lstg'!I235,IF(AND(Projektgrundlagen!$I$22,'HB-D1 Besondere Lstg Land'!M235=TRUE),(IF('HB-D1 Besondere Lstg Land'!H235&gt;0,"v.H.","pauschal")),IF(AND(Projektgrundlagen!$I$23,'HB-D2 Besondere Lstg Bund'!M235=TRUE),(IF('HB-D2 Besondere Lstg Bund'!H235&gt;0,"v.H.","pauschal")),"")))</f>
        <v/>
      </c>
      <c r="E284" s="1246" t="str">
        <f>IF(AND(Projektgrundlagen!$I$21,'StB-D1 Besondere Lstg'!M235=TRUE),'StB-D1 Besondere Lstg'!J235,IF(AND(Projektgrundlagen!$I$22,'HB-D1 Besondere Lstg Land'!M235=TRUE),'HB-D1 Besondere Lstg Land'!H235+'HB-D1 Besondere Lstg Land'!J235,IF(AND(Projektgrundlagen!$I$23,'HB-D2 Besondere Lstg Bund'!M235=TRUE),'HB-D2 Besondere Lstg Bund'!H235+'HB-D2 Besondere Lstg Bund'!J235,"")))</f>
        <v/>
      </c>
      <c r="F284" s="1246" t="str">
        <f>IF(AND(Projektgrundlagen!$I$21,'StB-D1 Besondere Lstg'!M235=TRUE),'StB-D1 Besondere Lstg'!K235,IF(AND(Projektgrundlagen!$I$22,'HB-D1 Besondere Lstg Land'!M235=TRUE),'HB-D1 Besondere Lstg Land'!K235,IF(AND(Projektgrundlagen!$I$23,'HB-D2 Besondere Lstg Bund'!M235=TRUE),'HB-D2 Besondere Lstg Bund'!K235,"")))</f>
        <v/>
      </c>
      <c r="G284" s="1253"/>
      <c r="H284" s="1254"/>
    </row>
    <row r="285" spans="2:8" ht="14.4">
      <c r="B285" t="str">
        <f>IF(AND(Projektgrundlagen!$I$21,'StB-D1 Besondere Lstg'!M236=TRUE),'StB-D1 Besondere Lstg'!C236&amp;" "&amp;'StB-D1 Besondere Lstg'!F236&amp;" "&amp;'StB-D1 Besondere Lstg'!F237,IF(AND(Projektgrundlagen!$I$22,'HB-D1 Besondere Lstg Land'!M236=TRUE),'HB-D1 Besondere Lstg Land'!C236&amp;" "&amp;'HB-D1 Besondere Lstg Land'!F236&amp;" "&amp;'HB-D1 Besondere Lstg Land'!F237,IF(AND(Projektgrundlagen!$I$23,'HB-D2 Besondere Lstg Bund'!M236=TRUE),'HB-D2 Besondere Lstg Bund'!C236&amp;" "&amp;'HB-D2 Besondere Lstg Bund'!F236&amp;" "&amp;'HB-D2 Besondere Lstg Bund'!F237,"")))</f>
        <v/>
      </c>
      <c r="C285" s="1246" t="str">
        <f>IF(AND(Projektgrundlagen!$I$21,'StB-D1 Besondere Lstg'!M236=TRUE),'StB-D1 Besondere Lstg'!H236,"")</f>
        <v/>
      </c>
      <c r="D285" s="1246" t="str">
        <f>IF(AND(Projektgrundlagen!$I$21,'StB-D1 Besondere Lstg'!M236=TRUE),'StB-D1 Besondere Lstg'!I236,IF(AND(Projektgrundlagen!$I$22,'HB-D1 Besondere Lstg Land'!M236=TRUE),(IF('HB-D1 Besondere Lstg Land'!H236&gt;0,"v.H.","pauschal")),IF(AND(Projektgrundlagen!$I$23,'HB-D2 Besondere Lstg Bund'!M236=TRUE),(IF('HB-D2 Besondere Lstg Bund'!H236&gt;0,"v.H.","pauschal")),"")))</f>
        <v/>
      </c>
      <c r="E285" s="1246" t="str">
        <f>IF(AND(Projektgrundlagen!$I$21,'StB-D1 Besondere Lstg'!M236=TRUE),'StB-D1 Besondere Lstg'!J236,IF(AND(Projektgrundlagen!$I$22,'HB-D1 Besondere Lstg Land'!M236=TRUE),'HB-D1 Besondere Lstg Land'!H236+'HB-D1 Besondere Lstg Land'!J236,IF(AND(Projektgrundlagen!$I$23,'HB-D2 Besondere Lstg Bund'!M236=TRUE),'HB-D2 Besondere Lstg Bund'!H236+'HB-D2 Besondere Lstg Bund'!J236,"")))</f>
        <v/>
      </c>
      <c r="F285" s="1246" t="str">
        <f>IF(AND(Projektgrundlagen!$I$21,'StB-D1 Besondere Lstg'!M236=TRUE),'StB-D1 Besondere Lstg'!K236,IF(AND(Projektgrundlagen!$I$22,'HB-D1 Besondere Lstg Land'!M236=TRUE),'HB-D1 Besondere Lstg Land'!K236,IF(AND(Projektgrundlagen!$I$23,'HB-D2 Besondere Lstg Bund'!M236=TRUE),'HB-D2 Besondere Lstg Bund'!K236,"")))</f>
        <v/>
      </c>
      <c r="G285" s="1253"/>
      <c r="H285" s="1254"/>
    </row>
    <row r="286" spans="2:8" ht="14.4">
      <c r="B286" t="str">
        <f>IF(AND(Projektgrundlagen!$I$21,'StB-D1 Besondere Lstg'!M237=TRUE),'StB-D1 Besondere Lstg'!C237&amp;" "&amp;'StB-D1 Besondere Lstg'!F237&amp;" "&amp;'StB-D1 Besondere Lstg'!F238,IF(AND(Projektgrundlagen!$I$22,'HB-D1 Besondere Lstg Land'!M237=TRUE),'HB-D1 Besondere Lstg Land'!C237&amp;" "&amp;'HB-D1 Besondere Lstg Land'!F237&amp;" "&amp;'HB-D1 Besondere Lstg Land'!F238,IF(AND(Projektgrundlagen!$I$23,'HB-D2 Besondere Lstg Bund'!M237=TRUE),'HB-D2 Besondere Lstg Bund'!C237&amp;" "&amp;'HB-D2 Besondere Lstg Bund'!F237&amp;" "&amp;'HB-D2 Besondere Lstg Bund'!F238,"")))</f>
        <v/>
      </c>
      <c r="C286" s="1246" t="str">
        <f>IF(AND(Projektgrundlagen!$I$21,'StB-D1 Besondere Lstg'!M237=TRUE),'StB-D1 Besondere Lstg'!H237,"")</f>
        <v/>
      </c>
      <c r="D286" s="1246" t="str">
        <f>IF(AND(Projektgrundlagen!$I$21,'StB-D1 Besondere Lstg'!M237=TRUE),'StB-D1 Besondere Lstg'!I237,IF(AND(Projektgrundlagen!$I$22,'HB-D1 Besondere Lstg Land'!M237=TRUE),(IF('HB-D1 Besondere Lstg Land'!H237&gt;0,"v.H.","pauschal")),IF(AND(Projektgrundlagen!$I$23,'HB-D2 Besondere Lstg Bund'!M237=TRUE),(IF('HB-D2 Besondere Lstg Bund'!H237&gt;0,"v.H.","pauschal")),"")))</f>
        <v/>
      </c>
      <c r="E286" s="1246" t="str">
        <f>IF(AND(Projektgrundlagen!$I$21,'StB-D1 Besondere Lstg'!M237=TRUE),'StB-D1 Besondere Lstg'!J237,IF(AND(Projektgrundlagen!$I$22,'HB-D1 Besondere Lstg Land'!M237=TRUE),'HB-D1 Besondere Lstg Land'!H237+'HB-D1 Besondere Lstg Land'!J237,IF(AND(Projektgrundlagen!$I$23,'HB-D2 Besondere Lstg Bund'!M237=TRUE),'HB-D2 Besondere Lstg Bund'!H237+'HB-D2 Besondere Lstg Bund'!J237,"")))</f>
        <v/>
      </c>
      <c r="F286" s="1246" t="str">
        <f>IF(AND(Projektgrundlagen!$I$21,'StB-D1 Besondere Lstg'!M237=TRUE),'StB-D1 Besondere Lstg'!K237,IF(AND(Projektgrundlagen!$I$22,'HB-D1 Besondere Lstg Land'!M237=TRUE),'HB-D1 Besondere Lstg Land'!K237,IF(AND(Projektgrundlagen!$I$23,'HB-D2 Besondere Lstg Bund'!M237=TRUE),'HB-D2 Besondere Lstg Bund'!K237,"")))</f>
        <v/>
      </c>
      <c r="G286" s="1253"/>
      <c r="H286" s="1254"/>
    </row>
    <row r="287" spans="2:8" ht="14.4">
      <c r="B287" t="str">
        <f>IF(AND(Projektgrundlagen!$I$21,'StB-D1 Besondere Lstg'!M238=TRUE),'StB-D1 Besondere Lstg'!C238&amp;" "&amp;'StB-D1 Besondere Lstg'!F238&amp;" "&amp;'StB-D1 Besondere Lstg'!F239,IF(AND(Projektgrundlagen!$I$22,'HB-D1 Besondere Lstg Land'!M238=TRUE),'HB-D1 Besondere Lstg Land'!C238&amp;" "&amp;'HB-D1 Besondere Lstg Land'!F238&amp;" "&amp;'HB-D1 Besondere Lstg Land'!F239,IF(AND(Projektgrundlagen!$I$23,'HB-D2 Besondere Lstg Bund'!M238=TRUE),'HB-D2 Besondere Lstg Bund'!C238&amp;" "&amp;'HB-D2 Besondere Lstg Bund'!F238&amp;" "&amp;'HB-D2 Besondere Lstg Bund'!F239,"")))</f>
        <v/>
      </c>
      <c r="C287" s="1246" t="str">
        <f>IF(AND(Projektgrundlagen!$I$21,'StB-D1 Besondere Lstg'!M238=TRUE),'StB-D1 Besondere Lstg'!H238,"")</f>
        <v/>
      </c>
      <c r="D287" s="1246" t="str">
        <f>IF(AND(Projektgrundlagen!$I$21,'StB-D1 Besondere Lstg'!M238=TRUE),'StB-D1 Besondere Lstg'!I238,IF(AND(Projektgrundlagen!$I$22,'HB-D1 Besondere Lstg Land'!M238=TRUE),(IF('HB-D1 Besondere Lstg Land'!H238&gt;0,"v.H.","pauschal")),IF(AND(Projektgrundlagen!$I$23,'HB-D2 Besondere Lstg Bund'!M238=TRUE),(IF('HB-D2 Besondere Lstg Bund'!H238&gt;0,"v.H.","pauschal")),"")))</f>
        <v/>
      </c>
      <c r="E287" s="1246" t="str">
        <f>IF(AND(Projektgrundlagen!$I$21,'StB-D1 Besondere Lstg'!M238=TRUE),'StB-D1 Besondere Lstg'!J238,IF(AND(Projektgrundlagen!$I$22,'HB-D1 Besondere Lstg Land'!M238=TRUE),'HB-D1 Besondere Lstg Land'!H238+'HB-D1 Besondere Lstg Land'!J238,IF(AND(Projektgrundlagen!$I$23,'HB-D2 Besondere Lstg Bund'!M238=TRUE),'HB-D2 Besondere Lstg Bund'!H238+'HB-D2 Besondere Lstg Bund'!J238,"")))</f>
        <v/>
      </c>
      <c r="F287" s="1246" t="str">
        <f>IF(AND(Projektgrundlagen!$I$21,'StB-D1 Besondere Lstg'!M238=TRUE),'StB-D1 Besondere Lstg'!K238,IF(AND(Projektgrundlagen!$I$22,'HB-D1 Besondere Lstg Land'!M238=TRUE),'HB-D1 Besondere Lstg Land'!K238,IF(AND(Projektgrundlagen!$I$23,'HB-D2 Besondere Lstg Bund'!M238=TRUE),'HB-D2 Besondere Lstg Bund'!K238,"")))</f>
        <v/>
      </c>
      <c r="G287" s="1253"/>
      <c r="H287" s="1254"/>
    </row>
    <row r="288" spans="2:8" ht="14.4">
      <c r="B288" t="str">
        <f>IF(AND(Projektgrundlagen!$I$21,'StB-D1 Besondere Lstg'!M239=TRUE),'StB-D1 Besondere Lstg'!C239&amp;" "&amp;'StB-D1 Besondere Lstg'!F239&amp;" "&amp;'StB-D1 Besondere Lstg'!F240,IF(AND(Projektgrundlagen!$I$22,'HB-D1 Besondere Lstg Land'!M239=TRUE),'HB-D1 Besondere Lstg Land'!C239&amp;" "&amp;'HB-D1 Besondere Lstg Land'!F239&amp;" "&amp;'HB-D1 Besondere Lstg Land'!F240,IF(AND(Projektgrundlagen!$I$23,'HB-D2 Besondere Lstg Bund'!M239=TRUE),'HB-D2 Besondere Lstg Bund'!C239&amp;" "&amp;'HB-D2 Besondere Lstg Bund'!F239&amp;" "&amp;'HB-D2 Besondere Lstg Bund'!F240,"")))</f>
        <v/>
      </c>
      <c r="C288" s="1246" t="str">
        <f>IF(AND(Projektgrundlagen!$I$21,'StB-D1 Besondere Lstg'!M239=TRUE),'StB-D1 Besondere Lstg'!H239,"")</f>
        <v/>
      </c>
      <c r="D288" s="1246" t="str">
        <f>IF(AND(Projektgrundlagen!$I$21,'StB-D1 Besondere Lstg'!M239=TRUE),'StB-D1 Besondere Lstg'!I239,IF(AND(Projektgrundlagen!$I$22,'HB-D1 Besondere Lstg Land'!M239=TRUE),(IF('HB-D1 Besondere Lstg Land'!H239&gt;0,"v.H.","pauschal")),IF(AND(Projektgrundlagen!$I$23,'HB-D2 Besondere Lstg Bund'!M239=TRUE),(IF('HB-D2 Besondere Lstg Bund'!H239&gt;0,"v.H.","pauschal")),"")))</f>
        <v/>
      </c>
      <c r="E288" s="1246" t="str">
        <f>IF(AND(Projektgrundlagen!$I$21,'StB-D1 Besondere Lstg'!M239=TRUE),'StB-D1 Besondere Lstg'!J239,IF(AND(Projektgrundlagen!$I$22,'HB-D1 Besondere Lstg Land'!M239=TRUE),'HB-D1 Besondere Lstg Land'!H239+'HB-D1 Besondere Lstg Land'!J239,IF(AND(Projektgrundlagen!$I$23,'HB-D2 Besondere Lstg Bund'!M239=TRUE),'HB-D2 Besondere Lstg Bund'!H239+'HB-D2 Besondere Lstg Bund'!J239,"")))</f>
        <v/>
      </c>
      <c r="F288" s="1246" t="str">
        <f>IF(AND(Projektgrundlagen!$I$21,'StB-D1 Besondere Lstg'!M239=TRUE),'StB-D1 Besondere Lstg'!K239,IF(AND(Projektgrundlagen!$I$22,'HB-D1 Besondere Lstg Land'!M239=TRUE),'HB-D1 Besondere Lstg Land'!K239,IF(AND(Projektgrundlagen!$I$23,'HB-D2 Besondere Lstg Bund'!M239=TRUE),'HB-D2 Besondere Lstg Bund'!K239,"")))</f>
        <v/>
      </c>
      <c r="G288" s="1253"/>
      <c r="H288" s="1254"/>
    </row>
    <row r="289" spans="2:8" ht="14.4">
      <c r="B289" t="str">
        <f>IF(AND(Projektgrundlagen!$I$21,'StB-D1 Besondere Lstg'!M240=TRUE),'StB-D1 Besondere Lstg'!C240&amp;" "&amp;'StB-D1 Besondere Lstg'!F240&amp;" "&amp;'StB-D1 Besondere Lstg'!F241,IF(AND(Projektgrundlagen!$I$22,'HB-D1 Besondere Lstg Land'!M240=TRUE),'HB-D1 Besondere Lstg Land'!C240&amp;" "&amp;'HB-D1 Besondere Lstg Land'!F240&amp;" "&amp;'HB-D1 Besondere Lstg Land'!F241,IF(AND(Projektgrundlagen!$I$23,'HB-D2 Besondere Lstg Bund'!M240=TRUE),'HB-D2 Besondere Lstg Bund'!C240&amp;" "&amp;'HB-D2 Besondere Lstg Bund'!F240&amp;" "&amp;'HB-D2 Besondere Lstg Bund'!F241,"")))</f>
        <v/>
      </c>
      <c r="C289" s="1246" t="str">
        <f>IF(AND(Projektgrundlagen!$I$21,'StB-D1 Besondere Lstg'!M240=TRUE),'StB-D1 Besondere Lstg'!H240,"")</f>
        <v/>
      </c>
      <c r="D289" s="1246" t="str">
        <f>IF(AND(Projektgrundlagen!$I$21,'StB-D1 Besondere Lstg'!M240=TRUE),'StB-D1 Besondere Lstg'!I240,IF(AND(Projektgrundlagen!$I$22,'HB-D1 Besondere Lstg Land'!M240=TRUE),(IF('HB-D1 Besondere Lstg Land'!H240&gt;0,"v.H.","pauschal")),IF(AND(Projektgrundlagen!$I$23,'HB-D2 Besondere Lstg Bund'!M240=TRUE),(IF('HB-D2 Besondere Lstg Bund'!H240&gt;0,"v.H.","pauschal")),"")))</f>
        <v/>
      </c>
      <c r="E289" s="1246" t="str">
        <f>IF(AND(Projektgrundlagen!$I$21,'StB-D1 Besondere Lstg'!M240=TRUE),'StB-D1 Besondere Lstg'!J240,IF(AND(Projektgrundlagen!$I$22,'HB-D1 Besondere Lstg Land'!M240=TRUE),'HB-D1 Besondere Lstg Land'!H240+'HB-D1 Besondere Lstg Land'!J240,IF(AND(Projektgrundlagen!$I$23,'HB-D2 Besondere Lstg Bund'!M240=TRUE),'HB-D2 Besondere Lstg Bund'!H240+'HB-D2 Besondere Lstg Bund'!J240,"")))</f>
        <v/>
      </c>
      <c r="F289" s="1246" t="str">
        <f>IF(AND(Projektgrundlagen!$I$21,'StB-D1 Besondere Lstg'!M240=TRUE),'StB-D1 Besondere Lstg'!K240,IF(AND(Projektgrundlagen!$I$22,'HB-D1 Besondere Lstg Land'!M240=TRUE),'HB-D1 Besondere Lstg Land'!K240,IF(AND(Projektgrundlagen!$I$23,'HB-D2 Besondere Lstg Bund'!M240=TRUE),'HB-D2 Besondere Lstg Bund'!K240,"")))</f>
        <v/>
      </c>
      <c r="G289" s="1253"/>
      <c r="H289" s="1254"/>
    </row>
    <row r="290" spans="2:8" ht="14.4">
      <c r="B290" t="str">
        <f>IF(AND(Projektgrundlagen!$I$21,'StB-D1 Besondere Lstg'!M241=TRUE),'StB-D1 Besondere Lstg'!C241&amp;" "&amp;'StB-D1 Besondere Lstg'!F241&amp;" "&amp;'StB-D1 Besondere Lstg'!F242,IF(AND(Projektgrundlagen!$I$22,'HB-D1 Besondere Lstg Land'!M241=TRUE),'HB-D1 Besondere Lstg Land'!C241&amp;" "&amp;'HB-D1 Besondere Lstg Land'!F241&amp;" "&amp;'HB-D1 Besondere Lstg Land'!F242,IF(AND(Projektgrundlagen!$I$23,'HB-D2 Besondere Lstg Bund'!M241=TRUE),'HB-D2 Besondere Lstg Bund'!C241&amp;" "&amp;'HB-D2 Besondere Lstg Bund'!F241&amp;" "&amp;'HB-D2 Besondere Lstg Bund'!F242,"")))</f>
        <v/>
      </c>
      <c r="C290" s="1246" t="str">
        <f>IF(AND(Projektgrundlagen!$I$21,'StB-D1 Besondere Lstg'!M241=TRUE),'StB-D1 Besondere Lstg'!H241,"")</f>
        <v/>
      </c>
      <c r="D290" s="1246" t="str">
        <f>IF(AND(Projektgrundlagen!$I$21,'StB-D1 Besondere Lstg'!M241=TRUE),'StB-D1 Besondere Lstg'!I241,IF(AND(Projektgrundlagen!$I$22,'HB-D1 Besondere Lstg Land'!M241=TRUE),(IF('HB-D1 Besondere Lstg Land'!H241&gt;0,"v.H.","pauschal")),IF(AND(Projektgrundlagen!$I$23,'HB-D2 Besondere Lstg Bund'!M241=TRUE),(IF('HB-D2 Besondere Lstg Bund'!H241&gt;0,"v.H.","pauschal")),"")))</f>
        <v/>
      </c>
      <c r="E290" s="1246" t="str">
        <f>IF(AND(Projektgrundlagen!$I$21,'StB-D1 Besondere Lstg'!M241=TRUE),'StB-D1 Besondere Lstg'!J241,IF(AND(Projektgrundlagen!$I$22,'HB-D1 Besondere Lstg Land'!M241=TRUE),'HB-D1 Besondere Lstg Land'!H241+'HB-D1 Besondere Lstg Land'!J241,IF(AND(Projektgrundlagen!$I$23,'HB-D2 Besondere Lstg Bund'!M241=TRUE),'HB-D2 Besondere Lstg Bund'!H241+'HB-D2 Besondere Lstg Bund'!J241,"")))</f>
        <v/>
      </c>
      <c r="F290" s="1246" t="str">
        <f>IF(AND(Projektgrundlagen!$I$21,'StB-D1 Besondere Lstg'!M241=TRUE),'StB-D1 Besondere Lstg'!K241,IF(AND(Projektgrundlagen!$I$22,'HB-D1 Besondere Lstg Land'!M241=TRUE),'HB-D1 Besondere Lstg Land'!K241,IF(AND(Projektgrundlagen!$I$23,'HB-D2 Besondere Lstg Bund'!M241=TRUE),'HB-D2 Besondere Lstg Bund'!K241,"")))</f>
        <v/>
      </c>
      <c r="G290" s="1253"/>
      <c r="H290" s="1254"/>
    </row>
    <row r="291" spans="2:8" ht="14.4">
      <c r="B291" t="str">
        <f>IF(AND(Projektgrundlagen!$I$21,'StB-D1 Besondere Lstg'!M242=TRUE),'StB-D1 Besondere Lstg'!C242&amp;" "&amp;'StB-D1 Besondere Lstg'!F242&amp;" "&amp;'StB-D1 Besondere Lstg'!F243,IF(AND(Projektgrundlagen!$I$22,'HB-D1 Besondere Lstg Land'!M242=TRUE),'HB-D1 Besondere Lstg Land'!C242&amp;" "&amp;'HB-D1 Besondere Lstg Land'!F242&amp;" "&amp;'HB-D1 Besondere Lstg Land'!F243,IF(AND(Projektgrundlagen!$I$23,'HB-D2 Besondere Lstg Bund'!M242=TRUE),'HB-D2 Besondere Lstg Bund'!C242&amp;" "&amp;'HB-D2 Besondere Lstg Bund'!F242&amp;" "&amp;'HB-D2 Besondere Lstg Bund'!F243,"")))</f>
        <v/>
      </c>
      <c r="C291" s="1246" t="str">
        <f>IF(AND(Projektgrundlagen!$I$21,'StB-D1 Besondere Lstg'!M242=TRUE),'StB-D1 Besondere Lstg'!H242,"")</f>
        <v/>
      </c>
      <c r="D291" s="1246" t="str">
        <f>IF(AND(Projektgrundlagen!$I$21,'StB-D1 Besondere Lstg'!M242=TRUE),'StB-D1 Besondere Lstg'!I242,IF(AND(Projektgrundlagen!$I$22,'HB-D1 Besondere Lstg Land'!M242=TRUE),(IF('HB-D1 Besondere Lstg Land'!H242&gt;0,"v.H.","pauschal")),IF(AND(Projektgrundlagen!$I$23,'HB-D2 Besondere Lstg Bund'!M242=TRUE),(IF('HB-D2 Besondere Lstg Bund'!H242&gt;0,"v.H.","pauschal")),"")))</f>
        <v/>
      </c>
      <c r="E291" s="1246" t="str">
        <f>IF(AND(Projektgrundlagen!$I$21,'StB-D1 Besondere Lstg'!M242=TRUE),'StB-D1 Besondere Lstg'!J242,IF(AND(Projektgrundlagen!$I$22,'HB-D1 Besondere Lstg Land'!M242=TRUE),'HB-D1 Besondere Lstg Land'!H242+'HB-D1 Besondere Lstg Land'!J242,IF(AND(Projektgrundlagen!$I$23,'HB-D2 Besondere Lstg Bund'!M242=TRUE),'HB-D2 Besondere Lstg Bund'!H242+'HB-D2 Besondere Lstg Bund'!J242,"")))</f>
        <v/>
      </c>
      <c r="F291" s="1246" t="str">
        <f>IF(AND(Projektgrundlagen!$I$21,'StB-D1 Besondere Lstg'!M242=TRUE),'StB-D1 Besondere Lstg'!K242,IF(AND(Projektgrundlagen!$I$22,'HB-D1 Besondere Lstg Land'!M242=TRUE),'HB-D1 Besondere Lstg Land'!K242,IF(AND(Projektgrundlagen!$I$23,'HB-D2 Besondere Lstg Bund'!M242=TRUE),'HB-D2 Besondere Lstg Bund'!K242,"")))</f>
        <v/>
      </c>
      <c r="G291" s="1253"/>
      <c r="H291" s="1254"/>
    </row>
    <row r="292" spans="2:8" ht="14.4">
      <c r="B292" t="str">
        <f>IF(AND(Projektgrundlagen!$I$21,'StB-D1 Besondere Lstg'!M243=TRUE),'StB-D1 Besondere Lstg'!C243&amp;" "&amp;'StB-D1 Besondere Lstg'!F243&amp;" "&amp;'StB-D1 Besondere Lstg'!F244,IF(AND(Projektgrundlagen!$I$22,'HB-D1 Besondere Lstg Land'!M243=TRUE),'HB-D1 Besondere Lstg Land'!C243&amp;" "&amp;'HB-D1 Besondere Lstg Land'!F243&amp;" "&amp;'HB-D1 Besondere Lstg Land'!F244,IF(AND(Projektgrundlagen!$I$23,'HB-D2 Besondere Lstg Bund'!M243=TRUE),'HB-D2 Besondere Lstg Bund'!C243&amp;" "&amp;'HB-D2 Besondere Lstg Bund'!F243&amp;" "&amp;'HB-D2 Besondere Lstg Bund'!F244,"")))</f>
        <v/>
      </c>
      <c r="C292" s="1246" t="str">
        <f>IF(AND(Projektgrundlagen!$I$21,'StB-D1 Besondere Lstg'!M243=TRUE),'StB-D1 Besondere Lstg'!H243,"")</f>
        <v/>
      </c>
      <c r="D292" s="1246" t="str">
        <f>IF(AND(Projektgrundlagen!$I$21,'StB-D1 Besondere Lstg'!M243=TRUE),'StB-D1 Besondere Lstg'!I243,IF(AND(Projektgrundlagen!$I$22,'HB-D1 Besondere Lstg Land'!M243=TRUE),(IF('HB-D1 Besondere Lstg Land'!H243&gt;0,"v.H.","pauschal")),IF(AND(Projektgrundlagen!$I$23,'HB-D2 Besondere Lstg Bund'!M243=TRUE),(IF('HB-D2 Besondere Lstg Bund'!H243&gt;0,"v.H.","pauschal")),"")))</f>
        <v/>
      </c>
      <c r="E292" s="1246" t="str">
        <f>IF(AND(Projektgrundlagen!$I$21,'StB-D1 Besondere Lstg'!M243=TRUE),'StB-D1 Besondere Lstg'!J243,IF(AND(Projektgrundlagen!$I$22,'HB-D1 Besondere Lstg Land'!M243=TRUE),'HB-D1 Besondere Lstg Land'!H243+'HB-D1 Besondere Lstg Land'!J243,IF(AND(Projektgrundlagen!$I$23,'HB-D2 Besondere Lstg Bund'!M243=TRUE),'HB-D2 Besondere Lstg Bund'!H243+'HB-D2 Besondere Lstg Bund'!J243,"")))</f>
        <v/>
      </c>
      <c r="F292" s="1246" t="str">
        <f>IF(AND(Projektgrundlagen!$I$21,'StB-D1 Besondere Lstg'!M243=TRUE),'StB-D1 Besondere Lstg'!K243,IF(AND(Projektgrundlagen!$I$22,'HB-D1 Besondere Lstg Land'!M243=TRUE),'HB-D1 Besondere Lstg Land'!K243,IF(AND(Projektgrundlagen!$I$23,'HB-D2 Besondere Lstg Bund'!M243=TRUE),'HB-D2 Besondere Lstg Bund'!K243,"")))</f>
        <v/>
      </c>
      <c r="G292" s="1253"/>
      <c r="H292" s="1254"/>
    </row>
    <row r="293" spans="2:8" ht="14.4">
      <c r="B293" t="str">
        <f>IF(AND(Projektgrundlagen!$I$21,'StB-D1 Besondere Lstg'!M244=TRUE),'StB-D1 Besondere Lstg'!C244&amp;" "&amp;'StB-D1 Besondere Lstg'!F244&amp;" "&amp;'StB-D1 Besondere Lstg'!F245,IF(AND(Projektgrundlagen!$I$22,'HB-D1 Besondere Lstg Land'!M244=TRUE),'HB-D1 Besondere Lstg Land'!C244&amp;" "&amp;'HB-D1 Besondere Lstg Land'!F244&amp;" "&amp;'HB-D1 Besondere Lstg Land'!F245,IF(AND(Projektgrundlagen!$I$23,'HB-D2 Besondere Lstg Bund'!M244=TRUE),'HB-D2 Besondere Lstg Bund'!C244&amp;" "&amp;'HB-D2 Besondere Lstg Bund'!F244&amp;" "&amp;'HB-D2 Besondere Lstg Bund'!F245,"")))</f>
        <v/>
      </c>
      <c r="C293" s="1246" t="str">
        <f>IF(AND(Projektgrundlagen!$I$21,'StB-D1 Besondere Lstg'!M244=TRUE),'StB-D1 Besondere Lstg'!H244,"")</f>
        <v/>
      </c>
      <c r="D293" s="1246" t="str">
        <f>IF(AND(Projektgrundlagen!$I$21,'StB-D1 Besondere Lstg'!M244=TRUE),'StB-D1 Besondere Lstg'!I244,IF(AND(Projektgrundlagen!$I$22,'HB-D1 Besondere Lstg Land'!M244=TRUE),(IF('HB-D1 Besondere Lstg Land'!H244&gt;0,"v.H.","pauschal")),IF(AND(Projektgrundlagen!$I$23,'HB-D2 Besondere Lstg Bund'!M244=TRUE),(IF('HB-D2 Besondere Lstg Bund'!H244&gt;0,"v.H.","pauschal")),"")))</f>
        <v/>
      </c>
      <c r="E293" s="1246" t="str">
        <f>IF(AND(Projektgrundlagen!$I$21,'StB-D1 Besondere Lstg'!M244=TRUE),'StB-D1 Besondere Lstg'!J244,IF(AND(Projektgrundlagen!$I$22,'HB-D1 Besondere Lstg Land'!M244=TRUE),'HB-D1 Besondere Lstg Land'!H244+'HB-D1 Besondere Lstg Land'!J244,IF(AND(Projektgrundlagen!$I$23,'HB-D2 Besondere Lstg Bund'!M244=TRUE),'HB-D2 Besondere Lstg Bund'!H244+'HB-D2 Besondere Lstg Bund'!J244,"")))</f>
        <v/>
      </c>
      <c r="F293" s="1246" t="str">
        <f>IF(AND(Projektgrundlagen!$I$21,'StB-D1 Besondere Lstg'!M244=TRUE),'StB-D1 Besondere Lstg'!K244,IF(AND(Projektgrundlagen!$I$22,'HB-D1 Besondere Lstg Land'!M244=TRUE),'HB-D1 Besondere Lstg Land'!K244,IF(AND(Projektgrundlagen!$I$23,'HB-D2 Besondere Lstg Bund'!M244=TRUE),'HB-D2 Besondere Lstg Bund'!K244,"")))</f>
        <v/>
      </c>
      <c r="G293" s="1253"/>
      <c r="H293" s="1254"/>
    </row>
    <row r="294" spans="2:8" ht="14.4">
      <c r="B294" t="str">
        <f>IF(AND(Projektgrundlagen!$I$21,'StB-D1 Besondere Lstg'!M245=TRUE),'StB-D1 Besondere Lstg'!C245&amp;" "&amp;'StB-D1 Besondere Lstg'!F245&amp;" "&amp;'StB-D1 Besondere Lstg'!F246,IF(AND(Projektgrundlagen!$I$22,'HB-D1 Besondere Lstg Land'!M245=TRUE),'HB-D1 Besondere Lstg Land'!C245&amp;" "&amp;'HB-D1 Besondere Lstg Land'!F245&amp;" "&amp;'HB-D1 Besondere Lstg Land'!F246,IF(AND(Projektgrundlagen!$I$23,'HB-D2 Besondere Lstg Bund'!M245=TRUE),'HB-D2 Besondere Lstg Bund'!C245&amp;" "&amp;'HB-D2 Besondere Lstg Bund'!F245&amp;" "&amp;'HB-D2 Besondere Lstg Bund'!F246,"")))</f>
        <v/>
      </c>
      <c r="C294" s="1246" t="str">
        <f>IF(AND(Projektgrundlagen!$I$21,'StB-D1 Besondere Lstg'!M245=TRUE),'StB-D1 Besondere Lstg'!H245,"")</f>
        <v/>
      </c>
      <c r="D294" s="1246" t="str">
        <f>IF(AND(Projektgrundlagen!$I$21,'StB-D1 Besondere Lstg'!M245=TRUE),'StB-D1 Besondere Lstg'!I245,IF(AND(Projektgrundlagen!$I$22,'HB-D1 Besondere Lstg Land'!M245=TRUE),(IF('HB-D1 Besondere Lstg Land'!H245&gt;0,"v.H.","pauschal")),IF(AND(Projektgrundlagen!$I$23,'HB-D2 Besondere Lstg Bund'!M245=TRUE),(IF('HB-D2 Besondere Lstg Bund'!H245&gt;0,"v.H.","pauschal")),"")))</f>
        <v/>
      </c>
      <c r="E294" s="1246" t="str">
        <f>IF(AND(Projektgrundlagen!$I$21,'StB-D1 Besondere Lstg'!M245=TRUE),'StB-D1 Besondere Lstg'!J245,IF(AND(Projektgrundlagen!$I$22,'HB-D1 Besondere Lstg Land'!M245=TRUE),'HB-D1 Besondere Lstg Land'!H245+'HB-D1 Besondere Lstg Land'!J245,IF(AND(Projektgrundlagen!$I$23,'HB-D2 Besondere Lstg Bund'!M245=TRUE),'HB-D2 Besondere Lstg Bund'!H245+'HB-D2 Besondere Lstg Bund'!J245,"")))</f>
        <v/>
      </c>
      <c r="F294" s="1246" t="str">
        <f>IF(AND(Projektgrundlagen!$I$21,'StB-D1 Besondere Lstg'!M245=TRUE),'StB-D1 Besondere Lstg'!K245,IF(AND(Projektgrundlagen!$I$22,'HB-D1 Besondere Lstg Land'!M245=TRUE),'HB-D1 Besondere Lstg Land'!K245,IF(AND(Projektgrundlagen!$I$23,'HB-D2 Besondere Lstg Bund'!M245=TRUE),'HB-D2 Besondere Lstg Bund'!K245,"")))</f>
        <v/>
      </c>
      <c r="G294" s="1253"/>
      <c r="H294" s="1254"/>
    </row>
    <row r="295" spans="2:8" ht="14.4">
      <c r="B295" t="str">
        <f>IF(AND(Projektgrundlagen!$I$21,'StB-D1 Besondere Lstg'!M246=TRUE),'StB-D1 Besondere Lstg'!C246&amp;" "&amp;'StB-D1 Besondere Lstg'!F246&amp;" "&amp;'StB-D1 Besondere Lstg'!F247,IF(AND(Projektgrundlagen!$I$22,'HB-D1 Besondere Lstg Land'!M246=TRUE),'HB-D1 Besondere Lstg Land'!C246&amp;" "&amp;'HB-D1 Besondere Lstg Land'!F246&amp;" "&amp;'HB-D1 Besondere Lstg Land'!F247,IF(AND(Projektgrundlagen!$I$23,'HB-D2 Besondere Lstg Bund'!M246=TRUE),'HB-D2 Besondere Lstg Bund'!C246&amp;" "&amp;'HB-D2 Besondere Lstg Bund'!F246&amp;" "&amp;'HB-D2 Besondere Lstg Bund'!F247,"")))</f>
        <v/>
      </c>
      <c r="C295" s="1246" t="str">
        <f>IF(AND(Projektgrundlagen!$I$21,'StB-D1 Besondere Lstg'!M246=TRUE),'StB-D1 Besondere Lstg'!H246,"")</f>
        <v/>
      </c>
      <c r="D295" s="1246" t="str">
        <f>IF(AND(Projektgrundlagen!$I$21,'StB-D1 Besondere Lstg'!M246=TRUE),'StB-D1 Besondere Lstg'!I246,IF(AND(Projektgrundlagen!$I$22,'HB-D1 Besondere Lstg Land'!M246=TRUE),(IF('HB-D1 Besondere Lstg Land'!H246&gt;0,"v.H.","pauschal")),IF(AND(Projektgrundlagen!$I$23,'HB-D2 Besondere Lstg Bund'!M246=TRUE),(IF('HB-D2 Besondere Lstg Bund'!H246&gt;0,"v.H.","pauschal")),"")))</f>
        <v/>
      </c>
      <c r="E295" s="1246" t="str">
        <f>IF(AND(Projektgrundlagen!$I$21,'StB-D1 Besondere Lstg'!M246=TRUE),'StB-D1 Besondere Lstg'!J246,IF(AND(Projektgrundlagen!$I$22,'HB-D1 Besondere Lstg Land'!M246=TRUE),'HB-D1 Besondere Lstg Land'!H246+'HB-D1 Besondere Lstg Land'!J246,IF(AND(Projektgrundlagen!$I$23,'HB-D2 Besondere Lstg Bund'!M246=TRUE),'HB-D2 Besondere Lstg Bund'!H246+'HB-D2 Besondere Lstg Bund'!J246,"")))</f>
        <v/>
      </c>
      <c r="F295" s="1246" t="str">
        <f>IF(AND(Projektgrundlagen!$I$21,'StB-D1 Besondere Lstg'!M246=TRUE),'StB-D1 Besondere Lstg'!K246,IF(AND(Projektgrundlagen!$I$22,'HB-D1 Besondere Lstg Land'!M246=TRUE),'HB-D1 Besondere Lstg Land'!K246,IF(AND(Projektgrundlagen!$I$23,'HB-D2 Besondere Lstg Bund'!M246=TRUE),'HB-D2 Besondere Lstg Bund'!K246,"")))</f>
        <v/>
      </c>
      <c r="G295" s="1253"/>
      <c r="H295" s="1254"/>
    </row>
    <row r="296" spans="2:8" ht="14.4">
      <c r="B296" t="str">
        <f>IF(AND(Projektgrundlagen!$I$21,'StB-D1 Besondere Lstg'!M247=TRUE),'StB-D1 Besondere Lstg'!C247&amp;" "&amp;'StB-D1 Besondere Lstg'!F247&amp;" "&amp;'StB-D1 Besondere Lstg'!F248,IF(AND(Projektgrundlagen!$I$22,'HB-D1 Besondere Lstg Land'!M247=TRUE),'HB-D1 Besondere Lstg Land'!C247&amp;" "&amp;'HB-D1 Besondere Lstg Land'!F247&amp;" "&amp;'HB-D1 Besondere Lstg Land'!F248,IF(AND(Projektgrundlagen!$I$23,'HB-D2 Besondere Lstg Bund'!M247=TRUE),'HB-D2 Besondere Lstg Bund'!C247&amp;" "&amp;'HB-D2 Besondere Lstg Bund'!F247&amp;" "&amp;'HB-D2 Besondere Lstg Bund'!F248,"")))</f>
        <v/>
      </c>
      <c r="C296" s="1246" t="str">
        <f>IF(AND(Projektgrundlagen!$I$21,'StB-D1 Besondere Lstg'!M247=TRUE),'StB-D1 Besondere Lstg'!H247,"")</f>
        <v/>
      </c>
      <c r="D296" s="1246" t="str">
        <f>IF(AND(Projektgrundlagen!$I$21,'StB-D1 Besondere Lstg'!M247=TRUE),'StB-D1 Besondere Lstg'!I247,IF(AND(Projektgrundlagen!$I$22,'HB-D1 Besondere Lstg Land'!M247=TRUE),(IF('HB-D1 Besondere Lstg Land'!H247&gt;0,"v.H.","pauschal")),IF(AND(Projektgrundlagen!$I$23,'HB-D2 Besondere Lstg Bund'!M247=TRUE),(IF('HB-D2 Besondere Lstg Bund'!H247&gt;0,"v.H.","pauschal")),"")))</f>
        <v/>
      </c>
      <c r="E296" s="1246" t="str">
        <f>IF(AND(Projektgrundlagen!$I$21,'StB-D1 Besondere Lstg'!M247=TRUE),'StB-D1 Besondere Lstg'!J247,IF(AND(Projektgrundlagen!$I$22,'HB-D1 Besondere Lstg Land'!M247=TRUE),'HB-D1 Besondere Lstg Land'!H247+'HB-D1 Besondere Lstg Land'!J247,IF(AND(Projektgrundlagen!$I$23,'HB-D2 Besondere Lstg Bund'!M247=TRUE),'HB-D2 Besondere Lstg Bund'!H247+'HB-D2 Besondere Lstg Bund'!J247,"")))</f>
        <v/>
      </c>
      <c r="F296" s="1246" t="str">
        <f>IF(AND(Projektgrundlagen!$I$21,'StB-D1 Besondere Lstg'!M247=TRUE),'StB-D1 Besondere Lstg'!K247,IF(AND(Projektgrundlagen!$I$22,'HB-D1 Besondere Lstg Land'!M247=TRUE),'HB-D1 Besondere Lstg Land'!K247,IF(AND(Projektgrundlagen!$I$23,'HB-D2 Besondere Lstg Bund'!M247=TRUE),'HB-D2 Besondere Lstg Bund'!K247,"")))</f>
        <v/>
      </c>
      <c r="G296" s="1253"/>
      <c r="H296" s="1254"/>
    </row>
    <row r="297" spans="2:8" ht="14.4">
      <c r="B297" t="str">
        <f>IF(AND(Projektgrundlagen!$I$21,'StB-D1 Besondere Lstg'!M248=TRUE),'StB-D1 Besondere Lstg'!C248&amp;" "&amp;'StB-D1 Besondere Lstg'!F248&amp;" "&amp;'StB-D1 Besondere Lstg'!F249,IF(AND(Projektgrundlagen!$I$22,'HB-D1 Besondere Lstg Land'!M248=TRUE),'HB-D1 Besondere Lstg Land'!C248&amp;" "&amp;'HB-D1 Besondere Lstg Land'!F248&amp;" "&amp;'HB-D1 Besondere Lstg Land'!F249,IF(AND(Projektgrundlagen!$I$23,'HB-D2 Besondere Lstg Bund'!M248=TRUE),'HB-D2 Besondere Lstg Bund'!C248&amp;" "&amp;'HB-D2 Besondere Lstg Bund'!F248&amp;" "&amp;'HB-D2 Besondere Lstg Bund'!F249,"")))</f>
        <v/>
      </c>
      <c r="C297" s="1246" t="str">
        <f>IF(AND(Projektgrundlagen!$I$21,'StB-D1 Besondere Lstg'!M248=TRUE),'StB-D1 Besondere Lstg'!H248,"")</f>
        <v/>
      </c>
      <c r="D297" s="1246" t="str">
        <f>IF(AND(Projektgrundlagen!$I$21,'StB-D1 Besondere Lstg'!M248=TRUE),'StB-D1 Besondere Lstg'!I248,IF(AND(Projektgrundlagen!$I$22,'HB-D1 Besondere Lstg Land'!M248=TRUE),(IF('HB-D1 Besondere Lstg Land'!H248&gt;0,"v.H.","pauschal")),IF(AND(Projektgrundlagen!$I$23,'HB-D2 Besondere Lstg Bund'!M248=TRUE),(IF('HB-D2 Besondere Lstg Bund'!H248&gt;0,"v.H.","pauschal")),"")))</f>
        <v/>
      </c>
      <c r="E297" s="1246" t="str">
        <f>IF(AND(Projektgrundlagen!$I$21,'StB-D1 Besondere Lstg'!M248=TRUE),'StB-D1 Besondere Lstg'!J248,IF(AND(Projektgrundlagen!$I$22,'HB-D1 Besondere Lstg Land'!M248=TRUE),'HB-D1 Besondere Lstg Land'!H248+'HB-D1 Besondere Lstg Land'!J248,IF(AND(Projektgrundlagen!$I$23,'HB-D2 Besondere Lstg Bund'!M248=TRUE),'HB-D2 Besondere Lstg Bund'!H248+'HB-D2 Besondere Lstg Bund'!J248,"")))</f>
        <v/>
      </c>
      <c r="F297" s="1246" t="str">
        <f>IF(AND(Projektgrundlagen!$I$21,'StB-D1 Besondere Lstg'!M248=TRUE),'StB-D1 Besondere Lstg'!K248,IF(AND(Projektgrundlagen!$I$22,'HB-D1 Besondere Lstg Land'!M248=TRUE),'HB-D1 Besondere Lstg Land'!K248,IF(AND(Projektgrundlagen!$I$23,'HB-D2 Besondere Lstg Bund'!M248=TRUE),'HB-D2 Besondere Lstg Bund'!K248,"")))</f>
        <v/>
      </c>
      <c r="G297" s="1253"/>
      <c r="H297" s="1254"/>
    </row>
    <row r="298" spans="2:8" ht="14.4">
      <c r="B298" t="str">
        <f>IF(AND(Projektgrundlagen!$I$21,'StB-D1 Besondere Lstg'!M249=TRUE),'StB-D1 Besondere Lstg'!C249&amp;" "&amp;'StB-D1 Besondere Lstg'!F249&amp;" "&amp;'StB-D1 Besondere Lstg'!F250,IF(AND(Projektgrundlagen!$I$22,'HB-D1 Besondere Lstg Land'!M249=TRUE),'HB-D1 Besondere Lstg Land'!C249&amp;" "&amp;'HB-D1 Besondere Lstg Land'!F249&amp;" "&amp;'HB-D1 Besondere Lstg Land'!F250,IF(AND(Projektgrundlagen!$I$23,'HB-D2 Besondere Lstg Bund'!M249=TRUE),'HB-D2 Besondere Lstg Bund'!C249&amp;" "&amp;'HB-D2 Besondere Lstg Bund'!F249&amp;" "&amp;'HB-D2 Besondere Lstg Bund'!F250,"")))</f>
        <v/>
      </c>
      <c r="C298" s="1246" t="str">
        <f>IF(AND(Projektgrundlagen!$I$21,'StB-D1 Besondere Lstg'!M249=TRUE),'StB-D1 Besondere Lstg'!H249,"")</f>
        <v/>
      </c>
      <c r="D298" s="1246" t="str">
        <f>IF(AND(Projektgrundlagen!$I$21,'StB-D1 Besondere Lstg'!M249=TRUE),'StB-D1 Besondere Lstg'!I249,IF(AND(Projektgrundlagen!$I$22,'HB-D1 Besondere Lstg Land'!M249=TRUE),(IF('HB-D1 Besondere Lstg Land'!H249&gt;0,"v.H.","pauschal")),IF(AND(Projektgrundlagen!$I$23,'HB-D2 Besondere Lstg Bund'!M249=TRUE),(IF('HB-D2 Besondere Lstg Bund'!H249&gt;0,"v.H.","pauschal")),"")))</f>
        <v/>
      </c>
      <c r="E298" s="1246" t="str">
        <f>IF(AND(Projektgrundlagen!$I$21,'StB-D1 Besondere Lstg'!M249=TRUE),'StB-D1 Besondere Lstg'!J249,IF(AND(Projektgrundlagen!$I$22,'HB-D1 Besondere Lstg Land'!M249=TRUE),'HB-D1 Besondere Lstg Land'!H249+'HB-D1 Besondere Lstg Land'!J249,IF(AND(Projektgrundlagen!$I$23,'HB-D2 Besondere Lstg Bund'!M249=TRUE),'HB-D2 Besondere Lstg Bund'!H249+'HB-D2 Besondere Lstg Bund'!J249,"")))</f>
        <v/>
      </c>
      <c r="F298" s="1246" t="str">
        <f>IF(AND(Projektgrundlagen!$I$21,'StB-D1 Besondere Lstg'!M249=TRUE),'StB-D1 Besondere Lstg'!K249,IF(AND(Projektgrundlagen!$I$22,'HB-D1 Besondere Lstg Land'!M249=TRUE),'HB-D1 Besondere Lstg Land'!K249,IF(AND(Projektgrundlagen!$I$23,'HB-D2 Besondere Lstg Bund'!M249=TRUE),'HB-D2 Besondere Lstg Bund'!K249,"")))</f>
        <v/>
      </c>
      <c r="G298" s="1253"/>
      <c r="H298" s="1254"/>
    </row>
    <row r="299" spans="2:8" ht="14.4">
      <c r="B299" t="str">
        <f>IF(AND(Projektgrundlagen!$I$21,'StB-D1 Besondere Lstg'!M250=TRUE),'StB-D1 Besondere Lstg'!C250&amp;" "&amp;'StB-D1 Besondere Lstg'!F250&amp;" "&amp;'StB-D1 Besondere Lstg'!F251,IF(AND(Projektgrundlagen!$I$22,'HB-D1 Besondere Lstg Land'!M250=TRUE),'HB-D1 Besondere Lstg Land'!C250&amp;" "&amp;'HB-D1 Besondere Lstg Land'!F250&amp;" "&amp;'HB-D1 Besondere Lstg Land'!F251,IF(AND(Projektgrundlagen!$I$23,'HB-D2 Besondere Lstg Bund'!M250=TRUE),'HB-D2 Besondere Lstg Bund'!C250&amp;" "&amp;'HB-D2 Besondere Lstg Bund'!F250&amp;" "&amp;'HB-D2 Besondere Lstg Bund'!F251,"")))</f>
        <v/>
      </c>
      <c r="C299" s="1246" t="str">
        <f>IF(AND(Projektgrundlagen!$I$21,'StB-D1 Besondere Lstg'!M250=TRUE),'StB-D1 Besondere Lstg'!H250,"")</f>
        <v/>
      </c>
      <c r="D299" s="1246" t="str">
        <f>IF(AND(Projektgrundlagen!$I$21,'StB-D1 Besondere Lstg'!M250=TRUE),'StB-D1 Besondere Lstg'!I250,IF(AND(Projektgrundlagen!$I$22,'HB-D1 Besondere Lstg Land'!M250=TRUE),(IF('HB-D1 Besondere Lstg Land'!H250&gt;0,"v.H.","pauschal")),IF(AND(Projektgrundlagen!$I$23,'HB-D2 Besondere Lstg Bund'!M250=TRUE),(IF('HB-D2 Besondere Lstg Bund'!H250&gt;0,"v.H.","pauschal")),"")))</f>
        <v/>
      </c>
      <c r="E299" s="1246" t="str">
        <f>IF(AND(Projektgrundlagen!$I$21,'StB-D1 Besondere Lstg'!M250=TRUE),'StB-D1 Besondere Lstg'!J250,IF(AND(Projektgrundlagen!$I$22,'HB-D1 Besondere Lstg Land'!M250=TRUE),'HB-D1 Besondere Lstg Land'!H250+'HB-D1 Besondere Lstg Land'!J250,IF(AND(Projektgrundlagen!$I$23,'HB-D2 Besondere Lstg Bund'!M250=TRUE),'HB-D2 Besondere Lstg Bund'!H250+'HB-D2 Besondere Lstg Bund'!J250,"")))</f>
        <v/>
      </c>
      <c r="F299" s="1246" t="str">
        <f>IF(AND(Projektgrundlagen!$I$21,'StB-D1 Besondere Lstg'!M250=TRUE),'StB-D1 Besondere Lstg'!K250,IF(AND(Projektgrundlagen!$I$22,'HB-D1 Besondere Lstg Land'!M250=TRUE),'HB-D1 Besondere Lstg Land'!K250,IF(AND(Projektgrundlagen!$I$23,'HB-D2 Besondere Lstg Bund'!M250=TRUE),'HB-D2 Besondere Lstg Bund'!K250,"")))</f>
        <v/>
      </c>
      <c r="G299" s="1253"/>
      <c r="H299" s="1254"/>
    </row>
    <row r="300" spans="2:8" ht="14.4">
      <c r="C300" s="1246"/>
      <c r="D300" s="1253"/>
      <c r="E300" s="1254"/>
    </row>
    <row r="301" spans="2:8" ht="14.4">
      <c r="C301" s="1246"/>
      <c r="D301" s="1253"/>
      <c r="E301" s="1254"/>
    </row>
    <row r="302" spans="2:8" ht="14.4">
      <c r="C302" s="1246"/>
      <c r="D302" s="1253"/>
      <c r="E302" s="1254"/>
    </row>
    <row r="303" spans="2:8" ht="14.4">
      <c r="C303" s="1246"/>
      <c r="D303" s="1253"/>
      <c r="E303" s="1254"/>
    </row>
    <row r="304" spans="2:8" ht="14.4">
      <c r="C304" s="1246"/>
      <c r="D304" s="1253"/>
      <c r="E304" s="1254"/>
    </row>
    <row r="305" spans="2:5" ht="14.4">
      <c r="C305" s="1246"/>
      <c r="D305" s="1253"/>
      <c r="E305" s="1254"/>
    </row>
    <row r="306" spans="2:5" ht="14.4">
      <c r="C306" s="1246"/>
      <c r="D306" s="1253"/>
    </row>
    <row r="307" spans="2:5" ht="14.4">
      <c r="C307" s="1246"/>
      <c r="D307" s="1253"/>
    </row>
    <row r="308" spans="2:5">
      <c r="C308" s="1246"/>
    </row>
    <row r="309" spans="2:5">
      <c r="C309" s="1246"/>
    </row>
    <row r="310" spans="2:5">
      <c r="C310" s="1246"/>
    </row>
    <row r="311" spans="2:5">
      <c r="C311" s="1246"/>
    </row>
    <row r="312" spans="2:5">
      <c r="B312" s="1249"/>
      <c r="C312" s="1246"/>
    </row>
    <row r="313" spans="2:5">
      <c r="B313" s="1249"/>
      <c r="C313" s="1246"/>
    </row>
    <row r="314" spans="2:5">
      <c r="B314" s="1249"/>
      <c r="C314" s="1246"/>
    </row>
    <row r="315" spans="2:5">
      <c r="B315" s="1249"/>
      <c r="C315" s="1246"/>
    </row>
    <row r="316" spans="2:5">
      <c r="B316" s="1249"/>
      <c r="C316" s="1246"/>
    </row>
    <row r="317" spans="2:5">
      <c r="B317" s="1249"/>
      <c r="C317" s="1246"/>
    </row>
    <row r="318" spans="2:5">
      <c r="C318" s="1246"/>
    </row>
    <row r="319" spans="2:5">
      <c r="C319" s="1246"/>
    </row>
    <row r="320" spans="2:5">
      <c r="C320" s="1246"/>
    </row>
    <row r="321" spans="3:3">
      <c r="C321" s="1246"/>
    </row>
  </sheetData>
  <sheetProtection sheet="1" objects="1" scenarios="1"/>
  <pageMargins left="0.7" right="0.7" top="0.78740157499999996" bottom="0.78740157499999996" header="0.3" footer="0.3"/>
  <pageSetup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N98"/>
  <sheetViews>
    <sheetView showGridLines="0" zoomScaleNormal="100" zoomScaleSheetLayoutView="100" workbookViewId="0">
      <selection activeCell="G15" sqref="G15"/>
    </sheetView>
  </sheetViews>
  <sheetFormatPr baseColWidth="10" defaultColWidth="0" defaultRowHeight="16.7" zeroHeight="1"/>
  <cols>
    <col min="1" max="1" width="5.6640625" style="218" customWidth="1"/>
    <col min="2" max="2" width="5.6640625" style="7" customWidth="1"/>
    <col min="3" max="3" width="3.33203125" style="7" customWidth="1"/>
    <col min="4" max="4" width="5.6640625" style="7" customWidth="1"/>
    <col min="5" max="5" width="47.88671875" style="7" customWidth="1"/>
    <col min="6" max="6" width="19.109375" style="7" customWidth="1"/>
    <col min="7" max="7" width="22.33203125" style="7" customWidth="1"/>
    <col min="8" max="8" width="2.6640625" style="7" customWidth="1"/>
    <col min="9" max="9" width="16" style="156" hidden="1" customWidth="1"/>
    <col min="10" max="10" width="15" style="7" hidden="1" customWidth="1"/>
    <col min="11" max="14" width="0" style="7" hidden="1" customWidth="1"/>
    <col min="15" max="16384" width="11.33203125" style="7" hidden="1"/>
  </cols>
  <sheetData>
    <row r="1" spans="1:12"/>
    <row r="2" spans="1:12" ht="18.75" customHeight="1">
      <c r="B2" s="1285" t="str">
        <f>IF(Projektgrundlagen!B2="","",Projektgrundlagen!B2)</f>
        <v>Objektplanung Verkehrsanlagen</v>
      </c>
      <c r="C2" s="1285"/>
      <c r="D2" s="1285"/>
      <c r="E2" s="1286"/>
      <c r="F2" s="258" t="str">
        <f>IF(Projektgrundlagen!F2="","",Projektgrundlagen!F2)</f>
        <v>VII.15.4</v>
      </c>
      <c r="G2" s="268" t="s">
        <v>550</v>
      </c>
      <c r="H2" s="1287" t="s">
        <v>581</v>
      </c>
      <c r="I2" s="122" t="s">
        <v>159</v>
      </c>
      <c r="L2" s="221" t="s">
        <v>502</v>
      </c>
    </row>
    <row r="3" spans="1:12" ht="18.75" customHeight="1">
      <c r="B3" s="1288" t="s">
        <v>371</v>
      </c>
      <c r="C3" s="1288"/>
      <c r="D3" s="1288"/>
      <c r="E3" s="1289"/>
      <c r="F3" s="223" t="str">
        <f>IF(Projektgrundlagen!F3="","",Projektgrundlagen!F3)</f>
        <v>Vertragsnr.:</v>
      </c>
      <c r="G3" s="269" t="str">
        <f>IF(Projektgrundlagen!G3="","",Projektgrundlagen!G3)</f>
        <v/>
      </c>
      <c r="H3" s="1287"/>
      <c r="I3" s="155"/>
      <c r="L3" s="7" t="str">
        <f ca="1">MID(CELL("dateiname",B3),FIND("]",CELL("dateiname",B3))+1,255)</f>
        <v>A anrechb Kosten</v>
      </c>
    </row>
    <row r="4" spans="1:12" ht="7.5" customHeight="1">
      <c r="B4" s="240"/>
      <c r="C4" s="240"/>
      <c r="D4" s="240"/>
      <c r="E4" s="241"/>
      <c r="F4" s="190"/>
      <c r="G4" s="190"/>
      <c r="H4" s="1287"/>
      <c r="I4" s="155"/>
    </row>
    <row r="5" spans="1:12" ht="18.75" customHeight="1">
      <c r="B5" s="1379" t="str">
        <f>IF(Projektgrundlagen!B5="","",Projektgrundlagen!B5)</f>
        <v>Maßnahmennr:</v>
      </c>
      <c r="C5" s="1380" t="e">
        <f>IF(#REF!="","",#REF!)</f>
        <v>#REF!</v>
      </c>
      <c r="D5" s="1380" t="e">
        <f>IF(#REF!="","",#REF!)</f>
        <v>#REF!</v>
      </c>
      <c r="E5" s="270" t="str">
        <f>IF(Projektgrundlagen!E5="","",Projektgrundlagen!E5)</f>
        <v>B11S.ALSR0138.00</v>
      </c>
      <c r="F5" s="230" t="str">
        <f>IF(Projektgrundlagen!F5="","",Projektgrundlagen!F5)</f>
        <v>Vergabenr.:</v>
      </c>
      <c r="G5" s="271" t="str">
        <f>IF(Projektgrundlagen!G5="","",Projektgrundlagen!G5)</f>
        <v>25-131201</v>
      </c>
      <c r="H5" s="1287"/>
      <c r="I5" s="155"/>
    </row>
    <row r="6" spans="1:12" ht="15" customHeight="1">
      <c r="B6" s="1381" t="str">
        <f>IF(Projektgrundlagen!B6="","",Projektgrundlagen!B6)</f>
        <v>Maßnahme:</v>
      </c>
      <c r="C6" s="1382" t="e">
        <f>IF(#REF!="","",#REF!)</f>
        <v>#REF!</v>
      </c>
      <c r="D6" s="1382" t="e">
        <f>IF(#REF!="","",#REF!)</f>
        <v>#REF!</v>
      </c>
      <c r="E6" s="1383" t="str">
        <f>IF(Projektgrundlagen!E6="","",Projektgrundlagen!E6)</f>
        <v>St2054 Geh- und Radweg westl. Babenried - Jesenwang</v>
      </c>
      <c r="F6" s="1383"/>
      <c r="G6" s="1384"/>
      <c r="H6" s="1287"/>
    </row>
    <row r="7" spans="1:12" ht="15" customHeight="1">
      <c r="B7" s="1385"/>
      <c r="C7" s="1386"/>
      <c r="D7" s="1386"/>
      <c r="E7" s="1348" t="str">
        <f>IF(Projektgrundlagen!E7="","",Projektgrundlagen!E7)</f>
        <v/>
      </c>
      <c r="F7" s="1348"/>
      <c r="G7" s="1349"/>
      <c r="H7" s="1287"/>
    </row>
    <row r="8" spans="1:12" ht="15" customHeight="1">
      <c r="B8" s="1300" t="s">
        <v>475</v>
      </c>
      <c r="C8" s="1301"/>
      <c r="D8" s="1301"/>
      <c r="E8" s="1374" t="str">
        <f>IF(Projektgrundlagen!E8="","",Projektgrundlagen!E8)</f>
        <v/>
      </c>
      <c r="F8" s="1374"/>
      <c r="G8" s="1375"/>
      <c r="H8" s="1287"/>
    </row>
    <row r="9" spans="1:12" ht="16.600000000000001" customHeight="1">
      <c r="B9" s="273"/>
      <c r="C9" s="273"/>
      <c r="D9" s="273"/>
      <c r="E9" s="101"/>
      <c r="F9" s="101"/>
      <c r="G9" s="101"/>
      <c r="I9" s="155"/>
    </row>
    <row r="10" spans="1:12" s="157" customFormat="1" ht="24.95" customHeight="1">
      <c r="A10" s="234"/>
      <c r="B10" s="235"/>
      <c r="C10" s="1376" t="s">
        <v>314</v>
      </c>
      <c r="D10" s="1376"/>
      <c r="E10" s="1376"/>
      <c r="F10" s="1376"/>
      <c r="G10" s="239"/>
      <c r="I10" s="158"/>
    </row>
    <row r="11" spans="1:12" ht="17.3" customHeight="1">
      <c r="A11" s="228" t="str">
        <f>IF(COUNTIF($I$11:$I$13,TRUE)&lt;&gt;1,"è","")</f>
        <v/>
      </c>
      <c r="B11" s="1370" t="s">
        <v>1</v>
      </c>
      <c r="C11" s="277"/>
      <c r="D11" s="1296" t="s">
        <v>551</v>
      </c>
      <c r="E11" s="1297"/>
      <c r="F11" s="782"/>
      <c r="G11" s="274"/>
      <c r="I11" s="156" t="b">
        <v>0</v>
      </c>
    </row>
    <row r="12" spans="1:12" ht="17.3" customHeight="1">
      <c r="A12" s="228" t="str">
        <f>IF(COUNTIF($I$11:$I$13,TRUE)&lt;&gt;1,"è","")</f>
        <v/>
      </c>
      <c r="B12" s="1371"/>
      <c r="C12" s="277"/>
      <c r="D12" s="1377" t="s">
        <v>12</v>
      </c>
      <c r="E12" s="1378"/>
      <c r="G12" s="275" t="s">
        <v>372</v>
      </c>
      <c r="I12" s="156" t="b">
        <v>1</v>
      </c>
    </row>
    <row r="13" spans="1:12" ht="17.3" customHeight="1">
      <c r="A13" s="228" t="str">
        <f>IF(COUNTIF($I$11:$I$13,TRUE)&lt;&gt;1,"è","")</f>
        <v/>
      </c>
      <c r="B13" s="1372"/>
      <c r="C13" s="277"/>
      <c r="D13" s="1368" t="s">
        <v>0</v>
      </c>
      <c r="E13" s="1369"/>
      <c r="F13" s="744"/>
      <c r="G13" s="276" t="s">
        <v>552</v>
      </c>
      <c r="I13" s="156" t="b">
        <v>0</v>
      </c>
    </row>
    <row r="14" spans="1:12" ht="7.5" customHeight="1">
      <c r="A14" s="244"/>
      <c r="B14" s="278"/>
      <c r="C14" s="279"/>
      <c r="D14" s="279"/>
      <c r="E14" s="279"/>
      <c r="F14" s="280"/>
      <c r="G14" s="281"/>
      <c r="H14" s="282"/>
      <c r="I14" s="283"/>
    </row>
    <row r="15" spans="1:12" ht="16.600000000000001" customHeight="1">
      <c r="B15" s="284">
        <v>1</v>
      </c>
      <c r="C15" s="1326" t="s">
        <v>406</v>
      </c>
      <c r="D15" s="1327"/>
      <c r="E15" s="1327"/>
      <c r="F15" s="1328"/>
      <c r="G15" s="96">
        <f>ROUND(4*0.6*10^6*(100/119)*(120/100),-5)</f>
        <v>2400000</v>
      </c>
      <c r="I15" s="283"/>
    </row>
    <row r="16" spans="1:12" ht="38.299999999999997" customHeight="1">
      <c r="B16" s="52"/>
      <c r="C16" s="1315" t="s">
        <v>554</v>
      </c>
      <c r="D16" s="1316"/>
      <c r="E16" s="1316"/>
      <c r="F16" s="1316"/>
      <c r="G16" s="1024"/>
    </row>
    <row r="17" spans="2:10" ht="17.3" customHeight="1">
      <c r="B17" s="26"/>
      <c r="C17" s="1022"/>
      <c r="D17" s="223" t="s">
        <v>555</v>
      </c>
      <c r="E17" s="596"/>
      <c r="F17" s="1023"/>
      <c r="G17" s="1025"/>
      <c r="I17" s="123" t="b">
        <v>0</v>
      </c>
      <c r="J17" s="60"/>
    </row>
    <row r="18" spans="2:10" ht="7.5" customHeight="1">
      <c r="B18" s="285"/>
      <c r="C18" s="286"/>
      <c r="D18" s="286"/>
      <c r="E18" s="286"/>
      <c r="F18" s="286"/>
      <c r="G18" s="287"/>
    </row>
    <row r="19" spans="2:10" ht="16.600000000000001" customHeight="1">
      <c r="B19" s="17">
        <v>2</v>
      </c>
      <c r="C19" s="1323" t="s">
        <v>556</v>
      </c>
      <c r="D19" s="1324"/>
      <c r="E19" s="1324"/>
      <c r="F19" s="1325"/>
      <c r="G19" s="96"/>
    </row>
    <row r="20" spans="2:10" ht="7.5" customHeight="1">
      <c r="B20" s="285"/>
      <c r="C20" s="286"/>
      <c r="D20" s="286"/>
      <c r="E20" s="286"/>
      <c r="F20" s="286"/>
      <c r="G20" s="287"/>
      <c r="I20" s="283"/>
    </row>
    <row r="21" spans="2:10">
      <c r="B21" s="284">
        <v>3</v>
      </c>
      <c r="C21" s="1326" t="s">
        <v>557</v>
      </c>
      <c r="D21" s="1327"/>
      <c r="E21" s="1327"/>
      <c r="F21" s="1328"/>
      <c r="G21" s="82">
        <f>SUM(G15,G19)</f>
        <v>2400000</v>
      </c>
    </row>
    <row r="22" spans="2:10">
      <c r="B22" s="245" t="s">
        <v>313</v>
      </c>
      <c r="C22" s="1330" t="s">
        <v>558</v>
      </c>
      <c r="D22" s="1331"/>
      <c r="E22" s="1331"/>
      <c r="F22" s="1332"/>
      <c r="G22" s="133"/>
    </row>
    <row r="23" spans="2:10">
      <c r="B23" s="288" t="s">
        <v>401</v>
      </c>
      <c r="C23" s="1310" t="s">
        <v>553</v>
      </c>
      <c r="D23" s="1311"/>
      <c r="E23" s="1311"/>
      <c r="F23" s="1373"/>
      <c r="G23" s="289">
        <f>SUM(G15,G19)</f>
        <v>2400000</v>
      </c>
      <c r="I23" s="283"/>
    </row>
    <row r="24" spans="2:10">
      <c r="B24" s="285"/>
      <c r="C24" s="286"/>
      <c r="D24" s="286"/>
      <c r="E24" s="286"/>
      <c r="F24" s="286"/>
      <c r="G24" s="287"/>
      <c r="I24" s="283"/>
      <c r="J24" s="210"/>
    </row>
    <row r="25" spans="2:10" ht="16.600000000000001" customHeight="1">
      <c r="B25" s="284">
        <v>4</v>
      </c>
      <c r="C25" s="1356" t="s">
        <v>1104</v>
      </c>
      <c r="D25" s="1357"/>
      <c r="E25" s="1357"/>
      <c r="F25" s="1357"/>
      <c r="G25" s="1358"/>
    </row>
    <row r="26" spans="2:10">
      <c r="B26" s="245" t="s">
        <v>2</v>
      </c>
      <c r="C26" s="1307" t="s">
        <v>559</v>
      </c>
      <c r="D26" s="1308"/>
      <c r="E26" s="1308"/>
      <c r="F26" s="1309"/>
      <c r="G26" s="96"/>
    </row>
    <row r="27" spans="2:10">
      <c r="B27" s="245" t="s">
        <v>3</v>
      </c>
      <c r="C27" s="1307" t="s">
        <v>560</v>
      </c>
      <c r="D27" s="1308"/>
      <c r="E27" s="1308"/>
      <c r="F27" s="1309"/>
      <c r="G27" s="96"/>
    </row>
    <row r="28" spans="2:10">
      <c r="B28" s="245" t="s">
        <v>4</v>
      </c>
      <c r="C28" s="1307" t="s">
        <v>561</v>
      </c>
      <c r="D28" s="1308"/>
      <c r="E28" s="1308"/>
      <c r="F28" s="1309"/>
      <c r="G28" s="96"/>
    </row>
    <row r="29" spans="2:10">
      <c r="B29" s="245" t="s">
        <v>5</v>
      </c>
      <c r="C29" s="1307" t="s">
        <v>562</v>
      </c>
      <c r="D29" s="1308"/>
      <c r="E29" s="1308"/>
      <c r="F29" s="1309"/>
      <c r="G29" s="96"/>
    </row>
    <row r="30" spans="2:10">
      <c r="B30" s="245" t="s">
        <v>6</v>
      </c>
      <c r="C30" s="1307" t="s">
        <v>563</v>
      </c>
      <c r="D30" s="1308"/>
      <c r="E30" s="1308"/>
      <c r="F30" s="1309"/>
      <c r="G30" s="96"/>
    </row>
    <row r="31" spans="2:10">
      <c r="B31" s="245" t="s">
        <v>7</v>
      </c>
      <c r="C31" s="1359" t="s">
        <v>564</v>
      </c>
      <c r="D31" s="1360"/>
      <c r="E31" s="1360"/>
      <c r="F31" s="1361"/>
      <c r="G31" s="134"/>
    </row>
    <row r="32" spans="2:10">
      <c r="B32" s="245" t="s">
        <v>8</v>
      </c>
      <c r="C32" s="1307" t="s">
        <v>565</v>
      </c>
      <c r="D32" s="1308"/>
      <c r="E32" s="1308"/>
      <c r="F32" s="1309"/>
      <c r="G32" s="96"/>
    </row>
    <row r="33" spans="1:10">
      <c r="B33" s="288" t="s">
        <v>142</v>
      </c>
      <c r="C33" s="1310" t="s">
        <v>568</v>
      </c>
      <c r="D33" s="1311"/>
      <c r="E33" s="1311"/>
      <c r="F33" s="1311"/>
      <c r="G33" s="289">
        <f>SUM(G26:G32)</f>
        <v>0</v>
      </c>
    </row>
    <row r="34" spans="1:10">
      <c r="B34" s="290"/>
      <c r="C34" s="291"/>
      <c r="D34" s="291"/>
      <c r="E34" s="291"/>
      <c r="F34" s="291"/>
      <c r="G34" s="292"/>
      <c r="I34" s="283"/>
      <c r="J34" s="210"/>
    </row>
    <row r="35" spans="1:10" s="157" customFormat="1" ht="20.2" customHeight="1">
      <c r="A35" s="234"/>
      <c r="B35" s="298"/>
      <c r="C35" s="1362" t="s">
        <v>315</v>
      </c>
      <c r="D35" s="1362"/>
      <c r="E35" s="1362"/>
      <c r="F35" s="1362"/>
      <c r="G35" s="299"/>
      <c r="I35" s="158"/>
    </row>
    <row r="36" spans="1:10" ht="7.5" customHeight="1">
      <c r="B36" s="295"/>
      <c r="C36" s="296"/>
      <c r="D36" s="296"/>
      <c r="E36" s="296"/>
      <c r="F36" s="296"/>
      <c r="G36" s="297"/>
    </row>
    <row r="37" spans="1:10">
      <c r="B37" s="539" t="s">
        <v>323</v>
      </c>
      <c r="C37" s="1317" t="s">
        <v>1123</v>
      </c>
      <c r="D37" s="1318"/>
      <c r="E37" s="1318"/>
      <c r="F37" s="1319"/>
      <c r="G37" s="86">
        <f>+IF(G22&gt;0,G21-G22,0)</f>
        <v>0</v>
      </c>
    </row>
    <row r="38" spans="1:10" ht="16.600000000000001" customHeight="1">
      <c r="B38" s="1145"/>
      <c r="C38" s="1366" t="s">
        <v>1124</v>
      </c>
      <c r="D38" s="1367"/>
      <c r="E38" s="1367"/>
      <c r="F38" s="1367"/>
      <c r="G38" s="1146"/>
    </row>
    <row r="39" spans="1:10">
      <c r="B39" s="245" t="s">
        <v>9</v>
      </c>
      <c r="C39" s="1320" t="s">
        <v>569</v>
      </c>
      <c r="D39" s="1321"/>
      <c r="E39" s="1321"/>
      <c r="F39" s="1322"/>
      <c r="G39" s="83">
        <f>+G37*0.4</f>
        <v>0</v>
      </c>
    </row>
    <row r="40" spans="1:10" ht="25.5" customHeight="1">
      <c r="B40" s="288" t="s">
        <v>143</v>
      </c>
      <c r="C40" s="1312" t="s">
        <v>566</v>
      </c>
      <c r="D40" s="1313"/>
      <c r="E40" s="1313"/>
      <c r="F40" s="1314"/>
      <c r="G40" s="306">
        <f>+IF(G22&gt;G39,G39,G22)</f>
        <v>0</v>
      </c>
    </row>
    <row r="41" spans="1:10" ht="7.5" customHeight="1">
      <c r="B41" s="285"/>
      <c r="C41" s="286"/>
      <c r="D41" s="286"/>
      <c r="E41" s="286"/>
      <c r="F41" s="286"/>
      <c r="G41" s="287"/>
    </row>
    <row r="42" spans="1:10">
      <c r="B42" s="540" t="s">
        <v>324</v>
      </c>
      <c r="C42" s="1350" t="s">
        <v>144</v>
      </c>
      <c r="D42" s="1351"/>
      <c r="E42" s="1351"/>
      <c r="F42" s="1352"/>
      <c r="G42" s="96"/>
    </row>
    <row r="43" spans="1:10" ht="25.5" customHeight="1">
      <c r="B43" s="541" t="s">
        <v>316</v>
      </c>
      <c r="C43" s="1312" t="s">
        <v>567</v>
      </c>
      <c r="D43" s="1313"/>
      <c r="E43" s="1313"/>
      <c r="F43" s="1314"/>
      <c r="G43" s="289">
        <f>IF(AND(G15&gt;0,G42&gt;0),G42*0.1,0)</f>
        <v>0</v>
      </c>
    </row>
    <row r="44" spans="1:10" ht="7.5" customHeight="1">
      <c r="B44" s="285"/>
      <c r="C44" s="286"/>
      <c r="D44" s="286"/>
      <c r="E44" s="286"/>
      <c r="F44" s="286"/>
      <c r="G44" s="287"/>
    </row>
    <row r="45" spans="1:10">
      <c r="B45" s="539" t="s">
        <v>325</v>
      </c>
      <c r="C45" s="1363" t="s">
        <v>570</v>
      </c>
      <c r="D45" s="1364"/>
      <c r="E45" s="1364"/>
      <c r="F45" s="1365"/>
      <c r="G45" s="96"/>
    </row>
    <row r="46" spans="1:10" ht="15" customHeight="1">
      <c r="B46" s="1129" t="s">
        <v>10</v>
      </c>
      <c r="C46" s="1338" t="s">
        <v>1108</v>
      </c>
      <c r="D46" s="1339"/>
      <c r="E46" s="1339"/>
      <c r="F46" s="1339"/>
      <c r="G46" s="1128"/>
    </row>
    <row r="47" spans="1:10">
      <c r="B47" s="1130"/>
      <c r="C47" s="1340" t="s">
        <v>1109</v>
      </c>
      <c r="D47" s="1341"/>
      <c r="E47" s="1341"/>
      <c r="F47" s="1342"/>
      <c r="G47" s="82">
        <f>IF(AND(G15&gt;0,G45&gt;0),G21-G22+G40+G43+G33,0)</f>
        <v>0</v>
      </c>
    </row>
    <row r="48" spans="1:10">
      <c r="B48" s="245" t="s">
        <v>145</v>
      </c>
      <c r="C48" s="1320" t="s">
        <v>1107</v>
      </c>
      <c r="D48" s="1321"/>
      <c r="E48" s="1321"/>
      <c r="F48" s="1322"/>
      <c r="G48" s="83">
        <f>0.25*G47</f>
        <v>0</v>
      </c>
    </row>
    <row r="49" spans="2:10">
      <c r="B49" s="1129" t="s">
        <v>317</v>
      </c>
      <c r="C49" s="1333" t="s">
        <v>1111</v>
      </c>
      <c r="D49" s="1334"/>
      <c r="E49" s="1334"/>
      <c r="F49" s="1334"/>
      <c r="G49" s="1131"/>
    </row>
    <row r="50" spans="2:10">
      <c r="B50" s="1130"/>
      <c r="C50" s="1340" t="s">
        <v>1110</v>
      </c>
      <c r="D50" s="1341"/>
      <c r="E50" s="1341"/>
      <c r="F50" s="1342"/>
      <c r="G50" s="83">
        <f>IF(G45&lt;=G48,G45,G48)</f>
        <v>0</v>
      </c>
    </row>
    <row r="51" spans="2:10">
      <c r="B51" s="1129" t="s">
        <v>318</v>
      </c>
      <c r="C51" s="1333" t="s">
        <v>1112</v>
      </c>
      <c r="D51" s="1334"/>
      <c r="E51" s="1334"/>
      <c r="F51" s="1334"/>
      <c r="G51" s="1132">
        <f>IF(AND(G14&gt;0,G44&gt;G47),(G44-G47)*0.5,0)</f>
        <v>0</v>
      </c>
    </row>
    <row r="52" spans="2:10">
      <c r="B52" s="1130"/>
      <c r="C52" s="1340" t="s">
        <v>1113</v>
      </c>
      <c r="D52" s="1341"/>
      <c r="E52" s="1341"/>
      <c r="F52" s="1342"/>
      <c r="G52" s="85">
        <f>IF(AND(G15&gt;0,G45&gt;G48),(G45-G48)*0.5,0)</f>
        <v>0</v>
      </c>
    </row>
    <row r="53" spans="2:10">
      <c r="B53" s="288" t="s">
        <v>319</v>
      </c>
      <c r="C53" s="1312" t="s">
        <v>571</v>
      </c>
      <c r="D53" s="1313"/>
      <c r="E53" s="1313"/>
      <c r="F53" s="1314"/>
      <c r="G53" s="289">
        <f>+G50+G52</f>
        <v>0</v>
      </c>
    </row>
    <row r="54" spans="2:10" ht="7.5" customHeight="1">
      <c r="B54" s="119"/>
      <c r="C54" s="302"/>
      <c r="D54" s="302"/>
      <c r="E54" s="302"/>
      <c r="F54" s="302"/>
      <c r="G54" s="303"/>
    </row>
    <row r="55" spans="2:10" ht="25.5" customHeight="1">
      <c r="B55" s="50" t="s">
        <v>326</v>
      </c>
      <c r="C55" s="1353" t="s">
        <v>1105</v>
      </c>
      <c r="D55" s="1354"/>
      <c r="E55" s="1354"/>
      <c r="F55" s="1355"/>
      <c r="G55" s="289">
        <f>G21-G22+G40+G43+G53+G33</f>
        <v>2400000</v>
      </c>
    </row>
    <row r="56" spans="2:10" ht="7.5" customHeight="1">
      <c r="B56" s="295"/>
      <c r="C56" s="300"/>
      <c r="D56" s="300"/>
      <c r="E56" s="300"/>
      <c r="F56" s="300"/>
      <c r="G56" s="301"/>
    </row>
    <row r="57" spans="2:10" ht="15" customHeight="1">
      <c r="B57" s="539" t="s">
        <v>327</v>
      </c>
      <c r="C57" s="1019" t="s">
        <v>574</v>
      </c>
      <c r="D57" s="542"/>
      <c r="E57" s="542"/>
      <c r="F57" s="546"/>
      <c r="G57" s="55"/>
    </row>
    <row r="58" spans="2:10" ht="17.3" customHeight="1">
      <c r="B58" s="543" t="s">
        <v>146</v>
      </c>
      <c r="C58" s="1020"/>
      <c r="D58" s="544" t="s">
        <v>576</v>
      </c>
      <c r="E58" s="247"/>
      <c r="F58" s="545"/>
      <c r="G58" s="83">
        <f>IF(COUNTIF(I58:I60,TRUE)&gt;1,0,IF(I58,G55*0.15,0))</f>
        <v>0</v>
      </c>
      <c r="I58" s="156" t="b">
        <v>0</v>
      </c>
    </row>
    <row r="59" spans="2:10" ht="16.850000000000001" customHeight="1">
      <c r="B59" s="543" t="s">
        <v>147</v>
      </c>
      <c r="C59" s="1020"/>
      <c r="D59" s="544" t="s">
        <v>577</v>
      </c>
      <c r="E59" s="247"/>
      <c r="F59" s="545"/>
      <c r="G59" s="85">
        <f>IF(COUNTIF(I58:I60,TRUE)&gt;1,0,IF(I59,G55*0.3,0))</f>
        <v>0</v>
      </c>
      <c r="I59" s="156" t="b">
        <v>0</v>
      </c>
    </row>
    <row r="60" spans="2:10" ht="17.3" customHeight="1">
      <c r="B60" s="543" t="s">
        <v>148</v>
      </c>
      <c r="C60" s="1020"/>
      <c r="D60" s="544" t="s">
        <v>578</v>
      </c>
      <c r="E60" s="247"/>
      <c r="F60" s="545"/>
      <c r="G60" s="84">
        <f>IF(COUNTIF(I58:I60,TRUE)&gt;1,0,IF(I60,G55*0.4,0))</f>
        <v>0</v>
      </c>
      <c r="I60" s="156" t="b">
        <v>0</v>
      </c>
    </row>
    <row r="61" spans="2:10" ht="17.3" customHeight="1">
      <c r="B61" s="288" t="s">
        <v>572</v>
      </c>
      <c r="C61" s="1021" t="s">
        <v>575</v>
      </c>
      <c r="D61" s="547"/>
      <c r="E61" s="548"/>
      <c r="F61" s="549"/>
      <c r="G61" s="289">
        <f>SUM(G58:G60)</f>
        <v>0</v>
      </c>
    </row>
    <row r="62" spans="2:10" ht="16.600000000000001" customHeight="1" thickBot="1">
      <c r="B62" s="119"/>
      <c r="C62" s="302"/>
      <c r="D62" s="302"/>
      <c r="E62" s="302"/>
      <c r="F62" s="302"/>
      <c r="G62" s="301"/>
    </row>
    <row r="63" spans="2:10" ht="29.95" customHeight="1" thickBot="1">
      <c r="B63" s="293" t="s">
        <v>328</v>
      </c>
      <c r="C63" s="1335" t="s">
        <v>573</v>
      </c>
      <c r="D63" s="1336"/>
      <c r="E63" s="1336"/>
      <c r="F63" s="1337"/>
      <c r="G63" s="294">
        <f>IF(COUNTIF(I58:I60,TRUE)&gt;1,0,G55-G61)</f>
        <v>2400000</v>
      </c>
      <c r="I63" s="156" t="b">
        <f>OR(G63&lt;'H §48 HOAI'!B16,G63&gt;'H §48 HOAI'!B35)</f>
        <v>0</v>
      </c>
      <c r="J63" s="200" t="s">
        <v>469</v>
      </c>
    </row>
    <row r="64" spans="2:10">
      <c r="B64" s="119"/>
      <c r="C64" s="304"/>
      <c r="D64" s="304"/>
      <c r="E64" s="304"/>
      <c r="F64" s="304"/>
      <c r="G64" s="305" t="str">
        <f>IF(I63,"Anrechenbare Kosten liegen außerhalb der Honorartafel!","")</f>
        <v/>
      </c>
      <c r="I64" s="200"/>
    </row>
    <row r="65" spans="1:10" s="157" customFormat="1" ht="20.2" customHeight="1">
      <c r="A65" s="234"/>
      <c r="B65" s="298"/>
      <c r="C65" s="1362" t="s">
        <v>459</v>
      </c>
      <c r="D65" s="1362"/>
      <c r="E65" s="1362"/>
      <c r="F65" s="1362"/>
      <c r="G65" s="299"/>
      <c r="I65" s="158"/>
    </row>
    <row r="66" spans="1:10" ht="7.5" customHeight="1">
      <c r="B66" s="295"/>
      <c r="C66" s="296"/>
      <c r="D66" s="296"/>
      <c r="E66" s="296"/>
      <c r="F66" s="296"/>
      <c r="G66" s="297"/>
    </row>
    <row r="67" spans="1:10" ht="16.600000000000001" customHeight="1">
      <c r="B67" s="539" t="s">
        <v>329</v>
      </c>
      <c r="C67" s="1350" t="s">
        <v>1106</v>
      </c>
      <c r="D67" s="1351"/>
      <c r="E67" s="1351"/>
      <c r="F67" s="1352"/>
      <c r="G67" s="86">
        <f>IF(G45&gt;0,G45,0)</f>
        <v>0</v>
      </c>
    </row>
    <row r="68" spans="1:10">
      <c r="B68" s="1129" t="s">
        <v>149</v>
      </c>
      <c r="C68" s="1346" t="s">
        <v>1115</v>
      </c>
      <c r="D68" s="1347"/>
      <c r="E68" s="1347"/>
      <c r="F68" s="1347"/>
      <c r="G68" s="1133"/>
    </row>
    <row r="69" spans="1:10">
      <c r="B69" s="1130"/>
      <c r="C69" s="1343" t="s">
        <v>1114</v>
      </c>
      <c r="D69" s="1344"/>
      <c r="E69" s="1344"/>
      <c r="F69" s="1345"/>
      <c r="G69" s="82">
        <f>IF(AND(G15&gt;0,G45&gt;0),G21+G33,0)</f>
        <v>0</v>
      </c>
    </row>
    <row r="70" spans="1:10" ht="16.600000000000001" customHeight="1">
      <c r="B70" s="245" t="s">
        <v>150</v>
      </c>
      <c r="C70" s="550" t="s">
        <v>579</v>
      </c>
      <c r="D70" s="551"/>
      <c r="E70" s="551"/>
      <c r="F70" s="552"/>
      <c r="G70" s="83">
        <f>IF(G67&gt;0,0.25*G69,0)</f>
        <v>0</v>
      </c>
    </row>
    <row r="71" spans="1:10">
      <c r="B71" s="1129" t="s">
        <v>151</v>
      </c>
      <c r="C71" s="1333" t="s">
        <v>1116</v>
      </c>
      <c r="D71" s="1334"/>
      <c r="E71" s="1334"/>
      <c r="F71" s="1334"/>
      <c r="G71" s="1131"/>
    </row>
    <row r="72" spans="1:10">
      <c r="B72" s="1130"/>
      <c r="C72" s="1340" t="s">
        <v>1117</v>
      </c>
      <c r="D72" s="1341"/>
      <c r="E72" s="1341"/>
      <c r="F72" s="1342"/>
      <c r="G72" s="83">
        <f>IF(G67&lt;=G70,G67,G70)</f>
        <v>0</v>
      </c>
    </row>
    <row r="73" spans="1:10">
      <c r="B73" s="1129" t="s">
        <v>320</v>
      </c>
      <c r="C73" s="1333" t="s">
        <v>1118</v>
      </c>
      <c r="D73" s="1334"/>
      <c r="E73" s="1334"/>
      <c r="F73" s="1334"/>
      <c r="G73" s="1132"/>
    </row>
    <row r="74" spans="1:10">
      <c r="B74" s="1130"/>
      <c r="C74" s="1340" t="s">
        <v>1119</v>
      </c>
      <c r="D74" s="1341"/>
      <c r="E74" s="1341"/>
      <c r="F74" s="1342"/>
      <c r="G74" s="85">
        <f>IF(AND(G15&gt;0,G67&gt;G70),(G67-G70)*0.5,0)</f>
        <v>0</v>
      </c>
    </row>
    <row r="75" spans="1:10" ht="16.600000000000001" customHeight="1">
      <c r="B75" s="288" t="s">
        <v>321</v>
      </c>
      <c r="C75" s="1312" t="s">
        <v>580</v>
      </c>
      <c r="D75" s="1313"/>
      <c r="E75" s="1313"/>
      <c r="F75" s="1314"/>
      <c r="G75" s="289">
        <f>G72+G74</f>
        <v>0</v>
      </c>
    </row>
    <row r="76" spans="1:10" ht="16.600000000000001" customHeight="1" thickBot="1">
      <c r="B76" s="119"/>
      <c r="C76" s="302"/>
      <c r="D76" s="302"/>
      <c r="E76" s="302"/>
      <c r="F76" s="302"/>
      <c r="G76" s="301"/>
    </row>
    <row r="77" spans="1:10" ht="29.95" customHeight="1" thickBot="1">
      <c r="B77" s="293" t="s">
        <v>330</v>
      </c>
      <c r="C77" s="1335" t="s">
        <v>688</v>
      </c>
      <c r="D77" s="1336"/>
      <c r="E77" s="1336"/>
      <c r="F77" s="1337"/>
      <c r="G77" s="294">
        <f>+G21+G75+G33</f>
        <v>2400000</v>
      </c>
      <c r="I77" s="156" t="b">
        <f>OR(G77&lt;'H §48 HOAI'!B48,G77&gt;'H §48 HOAI'!B67)</f>
        <v>0</v>
      </c>
      <c r="J77" s="200" t="s">
        <v>469</v>
      </c>
    </row>
    <row r="78" spans="1:10" ht="16.600000000000001" customHeight="1">
      <c r="B78" s="18"/>
      <c r="C78" s="18"/>
      <c r="D78" s="18"/>
      <c r="E78" s="19"/>
      <c r="G78" s="305" t="str">
        <f>IF(I77,"Anrechenbare Kosten liegen außerhalb der Honorartafel!","")</f>
        <v/>
      </c>
    </row>
    <row r="79" spans="1:10" ht="25.5" customHeight="1">
      <c r="B79" s="1329" t="str">
        <f>IF(I17,"Umfasst der Auftrag mehrere vergleichbare Objekte gem. § 11 (2) HOAI, ist das Honorar nach der Summe der anrechenbaren Kosten zu berechnen","")</f>
        <v/>
      </c>
      <c r="C79" s="1329"/>
      <c r="D79" s="1329"/>
      <c r="E79" s="1329"/>
      <c r="F79" s="1329"/>
      <c r="G79" s="1329"/>
    </row>
    <row r="80" spans="1:10">
      <c r="B80" s="20"/>
      <c r="E80" s="21"/>
      <c r="G80" s="61"/>
    </row>
    <row r="81" spans="2:9" ht="12.85" customHeight="1">
      <c r="B81" s="1306"/>
      <c r="C81" s="1306"/>
      <c r="D81" s="1306"/>
      <c r="E81" s="1306"/>
      <c r="F81" s="1306"/>
      <c r="G81" s="1306"/>
    </row>
    <row r="82" spans="2:9" hidden="1">
      <c r="B82" s="1306"/>
      <c r="C82" s="1306"/>
      <c r="D82" s="1306"/>
      <c r="E82" s="1306"/>
      <c r="F82" s="1306"/>
      <c r="G82" s="1306"/>
    </row>
    <row r="87" spans="2:9" hidden="1">
      <c r="I87" s="7"/>
    </row>
    <row r="88" spans="2:9" hidden="1">
      <c r="I88" s="7"/>
    </row>
    <row r="89" spans="2:9" ht="12.85" hidden="1" customHeight="1">
      <c r="I89" s="7"/>
    </row>
    <row r="90" spans="2:9" hidden="1">
      <c r="I90" s="7"/>
    </row>
    <row r="91" spans="2:9" hidden="1">
      <c r="I91" s="7"/>
    </row>
    <row r="92" spans="2:9" hidden="1">
      <c r="I92" s="7"/>
    </row>
    <row r="93" spans="2:9" hidden="1">
      <c r="I93" s="7"/>
    </row>
    <row r="94" spans="2:9" hidden="1">
      <c r="I94" s="7"/>
    </row>
    <row r="95" spans="2:9" hidden="1">
      <c r="I95" s="7"/>
    </row>
    <row r="96" spans="2:9" hidden="1">
      <c r="I96" s="7"/>
    </row>
    <row r="97" spans="9:9" hidden="1">
      <c r="I97" s="7"/>
    </row>
    <row r="98" spans="9:9" hidden="1">
      <c r="I98" s="7"/>
    </row>
  </sheetData>
  <sheetProtection sheet="1" formatRows="0"/>
  <mergeCells count="60">
    <mergeCell ref="H2:H8"/>
    <mergeCell ref="D13:E13"/>
    <mergeCell ref="B11:B13"/>
    <mergeCell ref="C23:F23"/>
    <mergeCell ref="C65:F65"/>
    <mergeCell ref="C63:F63"/>
    <mergeCell ref="B8:D8"/>
    <mergeCell ref="E8:G8"/>
    <mergeCell ref="C10:F10"/>
    <mergeCell ref="D11:E11"/>
    <mergeCell ref="D12:E12"/>
    <mergeCell ref="B3:E3"/>
    <mergeCell ref="B5:D5"/>
    <mergeCell ref="B6:D6"/>
    <mergeCell ref="E6:G6"/>
    <mergeCell ref="B7:D7"/>
    <mergeCell ref="E7:G7"/>
    <mergeCell ref="C67:F67"/>
    <mergeCell ref="C50:F50"/>
    <mergeCell ref="C52:F52"/>
    <mergeCell ref="C55:F55"/>
    <mergeCell ref="C15:F15"/>
    <mergeCell ref="C25:G25"/>
    <mergeCell ref="C51:F51"/>
    <mergeCell ref="C30:F30"/>
    <mergeCell ref="C31:F31"/>
    <mergeCell ref="C35:F35"/>
    <mergeCell ref="C45:F45"/>
    <mergeCell ref="C42:F42"/>
    <mergeCell ref="C40:F40"/>
    <mergeCell ref="C38:F38"/>
    <mergeCell ref="C71:F71"/>
    <mergeCell ref="C73:F73"/>
    <mergeCell ref="C77:F77"/>
    <mergeCell ref="C46:F46"/>
    <mergeCell ref="C49:F49"/>
    <mergeCell ref="C72:F72"/>
    <mergeCell ref="C74:F74"/>
    <mergeCell ref="C75:F75"/>
    <mergeCell ref="C69:F69"/>
    <mergeCell ref="C53:F53"/>
    <mergeCell ref="C47:F47"/>
    <mergeCell ref="C48:F48"/>
    <mergeCell ref="C68:F68"/>
    <mergeCell ref="B2:E2"/>
    <mergeCell ref="B81:G82"/>
    <mergeCell ref="C32:F32"/>
    <mergeCell ref="C33:F33"/>
    <mergeCell ref="C43:F43"/>
    <mergeCell ref="C16:F16"/>
    <mergeCell ref="C37:F37"/>
    <mergeCell ref="C39:F39"/>
    <mergeCell ref="C19:F19"/>
    <mergeCell ref="C21:F21"/>
    <mergeCell ref="C27:F27"/>
    <mergeCell ref="C28:F28"/>
    <mergeCell ref="C29:F29"/>
    <mergeCell ref="B79:G79"/>
    <mergeCell ref="C22:F22"/>
    <mergeCell ref="C26:F26"/>
  </mergeCells>
  <conditionalFormatting sqref="C11">
    <cfRule type="expression" dxfId="1931" priority="26">
      <formula>IF(COUNTIF(I10:I13,TRUE)=1,0,1)</formula>
    </cfRule>
  </conditionalFormatting>
  <conditionalFormatting sqref="C12">
    <cfRule type="expression" dxfId="1930" priority="25">
      <formula>IF(COUNTIF(I11:I13,TRUE)=1,0,1)</formula>
    </cfRule>
  </conditionalFormatting>
  <conditionalFormatting sqref="C13">
    <cfRule type="expression" dxfId="1929" priority="24">
      <formula>IF(COUNTIF(I11:I13,TRUE)=1,0,1)</formula>
    </cfRule>
  </conditionalFormatting>
  <conditionalFormatting sqref="C58">
    <cfRule type="expression" dxfId="1928" priority="41">
      <formula>IF(COUNTIF(I58:I60,TRUE)&gt;1,1,0)</formula>
    </cfRule>
  </conditionalFormatting>
  <conditionalFormatting sqref="C59">
    <cfRule type="expression" dxfId="1927" priority="40">
      <formula>IF(COUNTIF(I58:I60,TRUE)&gt;1,1,0)</formula>
    </cfRule>
  </conditionalFormatting>
  <conditionalFormatting sqref="C60">
    <cfRule type="expression" dxfId="1926" priority="39">
      <formula>IF(COUNTIF(I58:I60,TRUE)&gt;1,1,0)</formula>
    </cfRule>
  </conditionalFormatting>
  <conditionalFormatting sqref="G15">
    <cfRule type="expression" dxfId="1924" priority="18">
      <formula>IF(COUNTIF(I11:I13,TRUE)&lt;&gt;1,TRUE,FALSE)</formula>
    </cfRule>
    <cfRule type="expression" dxfId="1923" priority="19">
      <formula>G15=""</formula>
    </cfRule>
  </conditionalFormatting>
  <conditionalFormatting sqref="G19">
    <cfRule type="expression" dxfId="1922" priority="16">
      <formula>IF(COUNTIF(I11:I13,TRUE)&lt;&gt;1,TRUE,FALSE)</formula>
    </cfRule>
  </conditionalFormatting>
  <conditionalFormatting sqref="G21">
    <cfRule type="expression" dxfId="1921" priority="1">
      <formula>IF(COUNTIF($I$11:$I$13,TRUE)&lt;&gt;1,TRUE,FALSE)</formula>
    </cfRule>
  </conditionalFormatting>
  <conditionalFormatting sqref="G22">
    <cfRule type="expression" dxfId="1920" priority="15">
      <formula>IF(COUNTIF($I$11:$I$13,TRUE)&lt;&gt;1,TRUE,FALSE)</formula>
    </cfRule>
  </conditionalFormatting>
  <conditionalFormatting sqref="G23">
    <cfRule type="expression" dxfId="1919" priority="17">
      <formula>IF(COUNTIF($I$11:$I$13,TRUE)&lt;&gt;1,TRUE,FALSE)</formula>
    </cfRule>
  </conditionalFormatting>
  <conditionalFormatting sqref="G26:G32">
    <cfRule type="expression" dxfId="1918" priority="14">
      <formula>IF(COUNTIF($I$11:$I$13,TRUE)&lt;&gt;1,TRUE,FALSE)</formula>
    </cfRule>
  </conditionalFormatting>
  <conditionalFormatting sqref="G33">
    <cfRule type="expression" dxfId="1917" priority="6">
      <formula>IF(COUNTIF(I11:I13,TRUE)&lt;&gt;1,TRUE,FALSE)</formula>
    </cfRule>
  </conditionalFormatting>
  <conditionalFormatting sqref="G37:G40">
    <cfRule type="expression" dxfId="1916" priority="5">
      <formula>IF(COUNTIF($I$11:$I$13,TRUE)&lt;&gt;1,TRUE,FALSE)</formula>
    </cfRule>
  </conditionalFormatting>
  <conditionalFormatting sqref="G42">
    <cfRule type="expression" dxfId="1915" priority="11">
      <formula>IF(COUNTIF($I$11:$I$13,TRUE)&lt;&gt;1,TRUE,FALSE)</formula>
    </cfRule>
  </conditionalFormatting>
  <conditionalFormatting sqref="G43">
    <cfRule type="expression" dxfId="1914" priority="4">
      <formula>IF(COUNTIF($I$11:$I$13,TRUE)&lt;&gt;1,TRUE,FALSE)</formula>
    </cfRule>
  </conditionalFormatting>
  <conditionalFormatting sqref="G45:G46">
    <cfRule type="expression" dxfId="1913" priority="10">
      <formula>IF(COUNTIF($I$11:$I$13,TRUE)&lt;&gt;1,TRUE,FALSE)</formula>
    </cfRule>
  </conditionalFormatting>
  <conditionalFormatting sqref="G47:G61">
    <cfRule type="expression" dxfId="1912" priority="3">
      <formula>IF(COUNTIF($I$11:$I$13,TRUE)&lt;&gt;1,TRUE,FALSE)</formula>
    </cfRule>
  </conditionalFormatting>
  <conditionalFormatting sqref="G63">
    <cfRule type="expression" dxfId="1911" priority="9">
      <formula>IF(COUNTIF($I$11:$I$13,TRUE)&lt;&gt;1,TRUE,FALSE)</formula>
    </cfRule>
  </conditionalFormatting>
  <conditionalFormatting sqref="G67:G75">
    <cfRule type="expression" dxfId="1910" priority="2">
      <formula>IF(COUNTIF($I$11:$I$13,TRUE)&lt;&gt;1,TRUE,FALSE)</formula>
    </cfRule>
  </conditionalFormatting>
  <conditionalFormatting sqref="G77">
    <cfRule type="expression" dxfId="1909" priority="7">
      <formula>IF(COUNTIF($I$11:$I$13,TRUE)&lt;&gt;1,TRUE,FALSE)</formula>
    </cfRule>
  </conditionalFormatting>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Oktober 2022&amp;R&amp;P</oddFooter>
  </headerFooter>
  <rowBreaks count="1" manualBreakCount="1">
    <brk id="56" max="7" man="1"/>
  </rowBreaks>
  <ignoredErrors>
    <ignoredError sqref="B37 B42 B45 B57 B63 B67 B77 B5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ltText="4 Fahrstreifen">
                <anchor moveWithCells="1">
                  <from>
                    <xdr:col>2</xdr:col>
                    <xdr:colOff>0</xdr:colOff>
                    <xdr:row>57</xdr:row>
                    <xdr:rowOff>197510</xdr:rowOff>
                  </from>
                  <to>
                    <xdr:col>3</xdr:col>
                    <xdr:colOff>0</xdr:colOff>
                    <xdr:row>58</xdr:row>
                    <xdr:rowOff>197510</xdr:rowOff>
                  </to>
                </anchor>
              </controlPr>
            </control>
          </mc:Choice>
        </mc:AlternateContent>
        <mc:AlternateContent xmlns:mc="http://schemas.openxmlformats.org/markup-compatibility/2006">
          <mc:Choice Requires="x14">
            <control shapeId="22530" r:id="rId5" name="Check Box 2">
              <controlPr defaultSize="0" autoFill="0" autoLine="0" autoPict="0" altText="mehr als 4 Fahrstreifen">
                <anchor moveWithCells="1">
                  <from>
                    <xdr:col>2</xdr:col>
                    <xdr:colOff>0</xdr:colOff>
                    <xdr:row>59</xdr:row>
                    <xdr:rowOff>0</xdr:rowOff>
                  </from>
                  <to>
                    <xdr:col>3</xdr:col>
                    <xdr:colOff>0</xdr:colOff>
                    <xdr:row>60</xdr:row>
                    <xdr:rowOff>0</xdr:rowOff>
                  </to>
                </anchor>
              </controlPr>
            </control>
          </mc:Choice>
        </mc:AlternateContent>
        <mc:AlternateContent xmlns:mc="http://schemas.openxmlformats.org/markup-compatibility/2006">
          <mc:Choice Requires="x14">
            <control shapeId="22531" r:id="rId6" name="Check Box 3">
              <controlPr defaultSize="0" autoFill="0" autoLine="0" autoPict="0" altText="3 Fahrstreifen">
                <anchor moveWithCells="1">
                  <from>
                    <xdr:col>2</xdr:col>
                    <xdr:colOff>0</xdr:colOff>
                    <xdr:row>56</xdr:row>
                    <xdr:rowOff>153619</xdr:rowOff>
                  </from>
                  <to>
                    <xdr:col>3</xdr:col>
                    <xdr:colOff>0</xdr:colOff>
                    <xdr:row>57</xdr:row>
                    <xdr:rowOff>182880</xdr:rowOff>
                  </to>
                </anchor>
              </controlPr>
            </control>
          </mc:Choice>
        </mc:AlternateContent>
        <mc:AlternateContent xmlns:mc="http://schemas.openxmlformats.org/markup-compatibility/2006">
          <mc:Choice Requires="x14">
            <control shapeId="22534" r:id="rId7" name="Check Box 6">
              <controlPr defaultSize="0" autoFill="0" autoLine="0" autoPict="0" altText="">
                <anchor moveWithCells="1">
                  <from>
                    <xdr:col>2</xdr:col>
                    <xdr:colOff>0</xdr:colOff>
                    <xdr:row>10</xdr:row>
                    <xdr:rowOff>0</xdr:rowOff>
                  </from>
                  <to>
                    <xdr:col>3</xdr:col>
                    <xdr:colOff>0</xdr:colOff>
                    <xdr:row>11</xdr:row>
                    <xdr:rowOff>0</xdr:rowOff>
                  </to>
                </anchor>
              </controlPr>
            </control>
          </mc:Choice>
        </mc:AlternateContent>
        <mc:AlternateContent xmlns:mc="http://schemas.openxmlformats.org/markup-compatibility/2006">
          <mc:Choice Requires="x14">
            <control shapeId="22535" r:id="rId8" name="Check Box 7">
              <controlPr defaultSize="0" autoFill="0" autoLine="0" autoPict="0" altText="">
                <anchor moveWithCells="1">
                  <from>
                    <xdr:col>2</xdr:col>
                    <xdr:colOff>7315</xdr:colOff>
                    <xdr:row>15</xdr:row>
                    <xdr:rowOff>475488</xdr:rowOff>
                  </from>
                  <to>
                    <xdr:col>3</xdr:col>
                    <xdr:colOff>7315</xdr:colOff>
                    <xdr:row>16</xdr:row>
                    <xdr:rowOff>212141</xdr:rowOff>
                  </to>
                </anchor>
              </controlPr>
            </control>
          </mc:Choice>
        </mc:AlternateContent>
        <mc:AlternateContent xmlns:mc="http://schemas.openxmlformats.org/markup-compatibility/2006">
          <mc:Choice Requires="x14">
            <control shapeId="22536" r:id="rId9" name="Check Box 8">
              <controlPr defaultSize="0" autoFill="0" autoLine="0" autoPict="0" altText="">
                <anchor moveWithCells="1">
                  <from>
                    <xdr:col>2</xdr:col>
                    <xdr:colOff>0</xdr:colOff>
                    <xdr:row>11</xdr:row>
                    <xdr:rowOff>7315</xdr:rowOff>
                  </from>
                  <to>
                    <xdr:col>3</xdr:col>
                    <xdr:colOff>0</xdr:colOff>
                    <xdr:row>12</xdr:row>
                    <xdr:rowOff>7315</xdr:rowOff>
                  </to>
                </anchor>
              </controlPr>
            </control>
          </mc:Choice>
        </mc:AlternateContent>
        <mc:AlternateContent xmlns:mc="http://schemas.openxmlformats.org/markup-compatibility/2006">
          <mc:Choice Requires="x14">
            <control shapeId="22537" r:id="rId10" name="Check Box 9">
              <controlPr defaultSize="0" autoFill="0" autoLine="0" autoPict="0" altText="">
                <anchor moveWithCells="1">
                  <from>
                    <xdr:col>2</xdr:col>
                    <xdr:colOff>0</xdr:colOff>
                    <xdr:row>12</xdr:row>
                    <xdr:rowOff>0</xdr:rowOff>
                  </from>
                  <to>
                    <xdr:col>3</xdr:col>
                    <xdr:colOff>0</xdr:colOff>
                    <xdr:row>13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id="{D9CDAEF0-E713-491D-904B-742AE3E69B7A}">
            <xm:f>Projektgrundlagen!$I$13=FALSE</xm:f>
            <x14:dxf>
              <fill>
                <patternFill>
                  <bgColor theme="0"/>
                </patternFill>
              </fill>
              <border>
                <left style="thin">
                  <color auto="1"/>
                </left>
                <right style="thin">
                  <color auto="1"/>
                </right>
                <top style="thin">
                  <color auto="1"/>
                </top>
                <bottom style="thin">
                  <color auto="1"/>
                </bottom>
              </border>
            </x14:dxf>
          </x14:cfRule>
          <xm:sqref>C11</xm:sqref>
        </x14:conditionalFormatting>
        <x14:conditionalFormatting xmlns:xm="http://schemas.microsoft.com/office/excel/2006/main">
          <x14:cfRule type="expression" priority="23" id="{E9784942-0070-452C-B9CB-F81117284821}">
            <xm:f>Projektgrundlagen!I13=FALSE</xm:f>
            <x14:dxf>
              <font>
                <strike/>
                <color theme="0" tint="-0.14996795556505021"/>
              </font>
            </x14:dxf>
          </x14:cfRule>
          <xm:sqref>D11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O40"/>
  <sheetViews>
    <sheetView showGridLines="0" zoomScaleNormal="100" zoomScaleSheetLayoutView="100" workbookViewId="0">
      <selection activeCell="G24" sqref="G24"/>
    </sheetView>
  </sheetViews>
  <sheetFormatPr baseColWidth="10" defaultColWidth="0" defaultRowHeight="12.7" zeroHeight="1"/>
  <cols>
    <col min="1" max="1" width="5.6640625" style="7" customWidth="1"/>
    <col min="2" max="2" width="3.33203125" style="7" customWidth="1"/>
    <col min="3" max="9" width="14.44140625" style="7" customWidth="1"/>
    <col min="10" max="10" width="2.6640625" style="7" customWidth="1"/>
    <col min="11" max="11" width="17" style="140" hidden="1" customWidth="1"/>
    <col min="12" max="12" width="11.33203125" style="140" hidden="1" customWidth="1"/>
    <col min="13" max="15" width="0" style="7" hidden="1" customWidth="1"/>
    <col min="16" max="16384" width="11.33203125" style="7" hidden="1"/>
  </cols>
  <sheetData>
    <row r="1" spans="1:14" ht="16.600000000000001" customHeight="1"/>
    <row r="2" spans="1:14" ht="18.75" customHeight="1">
      <c r="B2" s="1285" t="str">
        <f>IF(Projektgrundlagen!B2="","",Projektgrundlagen!B2)</f>
        <v>Objektplanung Verkehrsanlagen</v>
      </c>
      <c r="C2" s="1285"/>
      <c r="D2" s="1285"/>
      <c r="E2" s="1285"/>
      <c r="F2" s="1286"/>
      <c r="G2" s="258" t="str">
        <f>IF(Projektgrundlagen!F2="","",Projektgrundlagen!F2)</f>
        <v>VII.15.4</v>
      </c>
      <c r="H2" s="1398" t="s">
        <v>582</v>
      </c>
      <c r="I2" s="1399"/>
      <c r="J2" s="1390" t="s">
        <v>583</v>
      </c>
      <c r="K2" s="124" t="s">
        <v>159</v>
      </c>
      <c r="N2" s="221" t="s">
        <v>502</v>
      </c>
    </row>
    <row r="3" spans="1:14" ht="18.75" customHeight="1">
      <c r="B3" s="1288" t="s">
        <v>13</v>
      </c>
      <c r="C3" s="1288"/>
      <c r="D3" s="1288"/>
      <c r="E3" s="1288"/>
      <c r="F3" s="1289"/>
      <c r="G3" s="223" t="str">
        <f>IF(Projektgrundlagen!F3="","",Projektgrundlagen!F3)</f>
        <v>Vertragsnr.:</v>
      </c>
      <c r="H3" s="1374" t="str">
        <f>IF(Projektgrundlagen!G3="","",Projektgrundlagen!G3)</f>
        <v/>
      </c>
      <c r="I3" s="1375"/>
      <c r="J3" s="1390"/>
      <c r="N3" s="7" t="str">
        <f ca="1">MID(CELL("dateiname",B3),FIND("]",CELL("dateiname",B3))+1,255)</f>
        <v>B HZone</v>
      </c>
    </row>
    <row r="4" spans="1:14" ht="7.5" customHeight="1">
      <c r="B4" s="214"/>
      <c r="C4" s="214"/>
      <c r="D4" s="214"/>
      <c r="E4" s="214"/>
      <c r="F4" s="214"/>
      <c r="G4" s="242"/>
      <c r="H4" s="242"/>
      <c r="I4" s="242"/>
      <c r="J4" s="1390"/>
    </row>
    <row r="5" spans="1:14" ht="15" customHeight="1">
      <c r="B5" s="1396" t="str">
        <f>IF(Projektgrundlagen!B5="","",Projektgrundlagen!B5)</f>
        <v>Maßnahmennr:</v>
      </c>
      <c r="C5" s="1397"/>
      <c r="D5" s="1391" t="str">
        <f>IF(Projektgrundlagen!E5="","",Projektgrundlagen!E5)</f>
        <v>B11S.ALSR0138.00</v>
      </c>
      <c r="E5" s="1391"/>
      <c r="F5" s="1391"/>
      <c r="G5" s="230" t="str">
        <f>IF(Projektgrundlagen!F5="","",Projektgrundlagen!F5)</f>
        <v>Vergabenr.:</v>
      </c>
      <c r="H5" s="1392" t="str">
        <f>IF(Projektgrundlagen!G5="","",Projektgrundlagen!G5)</f>
        <v>25-131201</v>
      </c>
      <c r="I5" s="1393"/>
      <c r="J5" s="1390"/>
    </row>
    <row r="6" spans="1:14" ht="15" customHeight="1">
      <c r="B6" s="1296" t="str">
        <f>IF(Projektgrundlagen!B6="","",Projektgrundlagen!B6)</f>
        <v>Maßnahme:</v>
      </c>
      <c r="C6" s="1297"/>
      <c r="D6" s="1394" t="str">
        <f>IF(Projektgrundlagen!E6="","",Projektgrundlagen!E6)</f>
        <v>St2054 Geh- und Radweg westl. Babenried - Jesenwang</v>
      </c>
      <c r="E6" s="1394"/>
      <c r="F6" s="1394"/>
      <c r="G6" s="1394"/>
      <c r="H6" s="1394"/>
      <c r="I6" s="1395"/>
      <c r="J6" s="1390"/>
    </row>
    <row r="7" spans="1:14" ht="15" customHeight="1">
      <c r="B7" s="1296"/>
      <c r="C7" s="1297"/>
      <c r="D7" s="1348" t="str">
        <f>IF(Projektgrundlagen!E7="","",Projektgrundlagen!E7)</f>
        <v/>
      </c>
      <c r="E7" s="1348"/>
      <c r="F7" s="1348"/>
      <c r="G7" s="1348"/>
      <c r="H7" s="1348"/>
      <c r="I7" s="1349"/>
      <c r="J7" s="1390"/>
    </row>
    <row r="8" spans="1:14" ht="15" customHeight="1">
      <c r="B8" s="1300" t="s">
        <v>475</v>
      </c>
      <c r="C8" s="1301"/>
      <c r="D8" s="1374" t="str">
        <f>IF(Projektgrundlagen!E8="","",Projektgrundlagen!E8)</f>
        <v/>
      </c>
      <c r="E8" s="1374"/>
      <c r="F8" s="1374"/>
      <c r="G8" s="1374"/>
      <c r="H8" s="1374"/>
      <c r="I8" s="1375"/>
      <c r="J8" s="1390"/>
    </row>
    <row r="9" spans="1:14" ht="15" customHeight="1">
      <c r="B9" s="273"/>
      <c r="C9" s="273"/>
      <c r="D9" s="101"/>
      <c r="E9" s="101"/>
      <c r="F9" s="101"/>
      <c r="G9" s="101"/>
      <c r="H9" s="101"/>
      <c r="I9" s="101"/>
    </row>
    <row r="10" spans="1:14" ht="22.5" customHeight="1">
      <c r="A10" s="307"/>
      <c r="B10" s="236"/>
      <c r="C10" s="1376" t="s">
        <v>584</v>
      </c>
      <c r="D10" s="1376"/>
      <c r="E10" s="1376"/>
      <c r="F10" s="1376"/>
      <c r="G10" s="1376"/>
      <c r="H10" s="1376"/>
      <c r="I10" s="236"/>
      <c r="K10" s="7"/>
      <c r="L10" s="7"/>
    </row>
    <row r="11" spans="1:14" ht="7.5" customHeight="1">
      <c r="B11" s="272"/>
      <c r="C11" s="272"/>
      <c r="D11" s="242"/>
      <c r="E11" s="242"/>
      <c r="F11" s="242"/>
      <c r="G11" s="242"/>
      <c r="H11" s="242"/>
      <c r="I11" s="242"/>
    </row>
    <row r="12" spans="1:14" ht="17.3" customHeight="1" thickBot="1">
      <c r="A12" s="228" t="str">
        <f>IF(COUNTIF($K$12:$K$15,TRUE)&lt;&gt;1,"è","")</f>
        <v/>
      </c>
      <c r="B12" s="159"/>
      <c r="C12" s="219" t="s">
        <v>423</v>
      </c>
      <c r="D12" s="215"/>
      <c r="E12" s="215"/>
      <c r="F12" s="215"/>
      <c r="G12" s="215"/>
      <c r="H12" s="317"/>
      <c r="I12" s="318"/>
      <c r="J12" s="48"/>
      <c r="K12" s="140" t="b">
        <v>0</v>
      </c>
    </row>
    <row r="13" spans="1:14" ht="16.600000000000001" customHeight="1" thickBot="1">
      <c r="A13" s="228"/>
      <c r="B13" s="163"/>
      <c r="C13" s="308"/>
      <c r="D13" s="309"/>
      <c r="E13" s="309"/>
      <c r="F13" s="309"/>
      <c r="G13" s="309"/>
      <c r="H13" s="310" t="s">
        <v>152</v>
      </c>
      <c r="I13" s="311"/>
      <c r="J13" s="48"/>
      <c r="L13" s="7"/>
    </row>
    <row r="14" spans="1:14" ht="7.5" customHeight="1">
      <c r="A14" s="228"/>
      <c r="B14" s="312"/>
      <c r="C14" s="313"/>
      <c r="D14" s="314"/>
      <c r="E14" s="314"/>
      <c r="F14" s="314"/>
      <c r="G14" s="314"/>
      <c r="H14" s="315"/>
      <c r="I14" s="316"/>
      <c r="J14" s="48"/>
      <c r="L14" s="7"/>
    </row>
    <row r="15" spans="1:14" ht="17.3" customHeight="1">
      <c r="A15" s="228" t="str">
        <f>IF(COUNTIF($K$12:$K$15,TRUE)&lt;&gt;1,"è","")</f>
        <v/>
      </c>
      <c r="B15" s="159"/>
      <c r="C15" s="1147" t="s">
        <v>421</v>
      </c>
      <c r="D15" s="23"/>
      <c r="E15" s="58"/>
      <c r="F15" s="58"/>
      <c r="G15" s="58"/>
      <c r="H15" s="58"/>
      <c r="I15" s="59"/>
      <c r="K15" s="140" t="b">
        <v>1</v>
      </c>
    </row>
    <row r="16" spans="1:14" ht="25.5" customHeight="1">
      <c r="B16" s="160"/>
      <c r="C16" s="326" t="s">
        <v>14</v>
      </c>
      <c r="D16" s="1387" t="s">
        <v>591</v>
      </c>
      <c r="E16" s="1388"/>
      <c r="F16" s="1388"/>
      <c r="G16" s="1388"/>
      <c r="H16" s="1389"/>
      <c r="I16" s="67" t="s">
        <v>311</v>
      </c>
    </row>
    <row r="17" spans="2:12" ht="12.85" customHeight="1">
      <c r="B17" s="160"/>
      <c r="C17" s="91"/>
      <c r="D17" s="89" t="s">
        <v>383</v>
      </c>
      <c r="E17" s="89" t="s">
        <v>384</v>
      </c>
      <c r="F17" s="89" t="s">
        <v>385</v>
      </c>
      <c r="G17" s="93" t="s">
        <v>386</v>
      </c>
      <c r="H17" s="89" t="s">
        <v>387</v>
      </c>
      <c r="I17" s="92"/>
    </row>
    <row r="18" spans="2:12" ht="51" customHeight="1">
      <c r="B18" s="160"/>
      <c r="C18" s="90" t="s">
        <v>420</v>
      </c>
      <c r="D18" s="161"/>
      <c r="E18" s="161"/>
      <c r="F18" s="161">
        <v>3</v>
      </c>
      <c r="G18" s="161"/>
      <c r="H18" s="161"/>
      <c r="I18" s="162">
        <f>IF(K15,IF(COUNT(D18:H18)&gt;1,0,IF(OR(AND(D18&lt;&gt;"",D18&lt;&gt;1),AND(E18&lt;&gt;"",E18&lt;&gt;2),AND(F18&lt;&gt;"",F18&lt;&gt;3),AND(G18&lt;&gt;"",G18&lt;&gt;4),AND(H18&lt;&gt;"",H18&lt;&gt;5)),0,SUM(D18:H18))),0)</f>
        <v>3</v>
      </c>
    </row>
    <row r="19" spans="2:12" ht="12.85" customHeight="1">
      <c r="B19" s="160"/>
      <c r="C19" s="24" t="s">
        <v>15</v>
      </c>
      <c r="D19" s="24" t="s">
        <v>16</v>
      </c>
      <c r="E19" s="24" t="s">
        <v>17</v>
      </c>
      <c r="F19" s="24" t="s">
        <v>18</v>
      </c>
      <c r="G19" s="88" t="s">
        <v>19</v>
      </c>
      <c r="H19" s="24" t="s">
        <v>20</v>
      </c>
      <c r="I19" s="106"/>
    </row>
    <row r="20" spans="2:12" ht="12.85" customHeight="1">
      <c r="B20" s="160"/>
      <c r="C20" s="91"/>
      <c r="D20" s="89" t="s">
        <v>383</v>
      </c>
      <c r="E20" s="89" t="s">
        <v>384</v>
      </c>
      <c r="F20" s="89" t="s">
        <v>385</v>
      </c>
      <c r="G20" s="93" t="s">
        <v>386</v>
      </c>
      <c r="H20" s="89" t="s">
        <v>387</v>
      </c>
      <c r="I20" s="107"/>
    </row>
    <row r="21" spans="2:12" ht="51" customHeight="1">
      <c r="B21" s="160"/>
      <c r="C21" s="90" t="s">
        <v>34</v>
      </c>
      <c r="D21" s="161"/>
      <c r="E21" s="161">
        <v>2</v>
      </c>
      <c r="F21" s="161"/>
      <c r="G21" s="161"/>
      <c r="H21" s="161"/>
      <c r="I21" s="162">
        <f>IF(K15,IF(COUNT(D21:H21)&gt;1,0,IF(OR(AND(D21&lt;&gt;"",D21&lt;&gt;1),AND(E21&lt;&gt;"",E21&lt;&gt;2),AND(F21&lt;&gt;"",F21&lt;&gt;3),AND(G21&lt;&gt;"",G21&lt;&gt;4),AND(H21&lt;&gt;"",H21&lt;&gt;5)),0,SUM(D21:H21))),0)</f>
        <v>2</v>
      </c>
    </row>
    <row r="22" spans="2:12" ht="12.85" customHeight="1">
      <c r="B22" s="160"/>
      <c r="C22" s="24" t="s">
        <v>15</v>
      </c>
      <c r="D22" s="24" t="s">
        <v>16</v>
      </c>
      <c r="E22" s="24" t="s">
        <v>17</v>
      </c>
      <c r="F22" s="24" t="s">
        <v>18</v>
      </c>
      <c r="G22" s="88" t="s">
        <v>19</v>
      </c>
      <c r="H22" s="24" t="s">
        <v>20</v>
      </c>
      <c r="I22" s="106"/>
    </row>
    <row r="23" spans="2:12" ht="12.85" customHeight="1">
      <c r="B23" s="160"/>
      <c r="C23" s="91"/>
      <c r="D23" s="89" t="s">
        <v>383</v>
      </c>
      <c r="E23" s="89" t="s">
        <v>384</v>
      </c>
      <c r="F23" s="89" t="s">
        <v>385</v>
      </c>
      <c r="G23" s="93" t="s">
        <v>386</v>
      </c>
      <c r="H23" s="89" t="s">
        <v>387</v>
      </c>
      <c r="I23" s="107"/>
    </row>
    <row r="24" spans="2:12" ht="51" customHeight="1">
      <c r="B24" s="160"/>
      <c r="C24" s="90" t="s">
        <v>35</v>
      </c>
      <c r="D24" s="161"/>
      <c r="E24" s="161"/>
      <c r="F24" s="161"/>
      <c r="G24" s="161">
        <v>11</v>
      </c>
      <c r="H24" s="161"/>
      <c r="I24" s="162">
        <f>IF(K15,IF(COUNT(D24:H24)&gt;1,0,IF(OR(AND(D24&lt;&gt;"",OR(D24&lt;1,D24&gt;3)),AND(E24&lt;&gt;"",OR(E24&lt;4,E24&gt;6)),AND(F24&lt;&gt;"",OR(F24&lt;7,F24&gt;9)),AND(G24&lt;&gt;"",OR(G24&lt;10,G24&gt;12)),AND(H24&lt;&gt;"",OR(H24&lt;13,H24&gt;15))),0,SUM(D24:H24))),0)</f>
        <v>11</v>
      </c>
    </row>
    <row r="25" spans="2:12" ht="12.85" customHeight="1">
      <c r="B25" s="160"/>
      <c r="C25" s="24" t="s">
        <v>21</v>
      </c>
      <c r="D25" s="24" t="s">
        <v>22</v>
      </c>
      <c r="E25" s="24" t="s">
        <v>23</v>
      </c>
      <c r="F25" s="24" t="s">
        <v>24</v>
      </c>
      <c r="G25" s="88" t="s">
        <v>25</v>
      </c>
      <c r="H25" s="24" t="s">
        <v>26</v>
      </c>
      <c r="I25" s="106"/>
    </row>
    <row r="26" spans="2:12" ht="12.85" customHeight="1">
      <c r="B26" s="160"/>
      <c r="C26" s="91"/>
      <c r="D26" s="89" t="s">
        <v>383</v>
      </c>
      <c r="E26" s="89" t="s">
        <v>384</v>
      </c>
      <c r="F26" s="89" t="s">
        <v>385</v>
      </c>
      <c r="G26" s="93" t="s">
        <v>386</v>
      </c>
      <c r="H26" s="89" t="s">
        <v>387</v>
      </c>
      <c r="I26" s="107"/>
    </row>
    <row r="27" spans="2:12" ht="76.5" customHeight="1">
      <c r="B27" s="160"/>
      <c r="C27" s="90" t="s">
        <v>347</v>
      </c>
      <c r="D27" s="161"/>
      <c r="E27" s="161"/>
      <c r="F27" s="161">
        <v>6</v>
      </c>
      <c r="G27" s="161"/>
      <c r="H27" s="161"/>
      <c r="I27" s="162">
        <f>IF(K15,IF(COUNT(D27:H27)&gt;1,0,IF(OR(AND(D27&lt;&gt;"",OR(D27&lt;1,D27&gt;2)),AND(E27&lt;&gt;"",OR(E27&lt;3,E27&gt;4)),AND(F27&lt;&gt;"",OR(F27&lt;5,F27&gt;6)),AND(G27&lt;&gt;"",OR(G27&lt;7,G27&gt;8)),AND(H27&lt;&gt;"",OR(H27&lt;9,H27&gt;10))),0,SUM(D27:H27))),0)</f>
        <v>6</v>
      </c>
    </row>
    <row r="28" spans="2:12" ht="12.85" customHeight="1">
      <c r="B28" s="160"/>
      <c r="C28" s="24" t="s">
        <v>27</v>
      </c>
      <c r="D28" s="24" t="s">
        <v>28</v>
      </c>
      <c r="E28" s="24" t="s">
        <v>29</v>
      </c>
      <c r="F28" s="24" t="s">
        <v>30</v>
      </c>
      <c r="G28" s="88" t="s">
        <v>31</v>
      </c>
      <c r="H28" s="24" t="s">
        <v>32</v>
      </c>
      <c r="I28" s="106"/>
    </row>
    <row r="29" spans="2:12" ht="12.85" customHeight="1">
      <c r="B29" s="160"/>
      <c r="C29" s="91"/>
      <c r="D29" s="89" t="s">
        <v>383</v>
      </c>
      <c r="E29" s="89" t="s">
        <v>384</v>
      </c>
      <c r="F29" s="89" t="s">
        <v>385</v>
      </c>
      <c r="G29" s="93" t="s">
        <v>386</v>
      </c>
      <c r="H29" s="89" t="s">
        <v>387</v>
      </c>
      <c r="I29" s="107"/>
    </row>
    <row r="30" spans="2:12" ht="51" customHeight="1">
      <c r="B30" s="160"/>
      <c r="C30" s="90" t="s">
        <v>33</v>
      </c>
      <c r="D30" s="161"/>
      <c r="E30" s="161"/>
      <c r="F30" s="161">
        <v>3</v>
      </c>
      <c r="G30" s="161"/>
      <c r="H30" s="161"/>
      <c r="I30" s="162">
        <f>IF(K15,(IF(COUNT(D30:H30)&gt;1,0,IF(OR(AND(D30&lt;&gt;"",D30&lt;&gt;1),AND(E30&lt;&gt;"",E30&lt;&gt;2),AND(F30&lt;&gt;"",F30&lt;&gt;3),AND(G30&lt;&gt;"",G30&lt;&gt;4),AND(H30&lt;&gt;"",H30&lt;&gt;5)),0,SUM(D30:H30)))),0)</f>
        <v>3</v>
      </c>
    </row>
    <row r="31" spans="2:12" ht="12.85" customHeight="1">
      <c r="B31" s="160"/>
      <c r="C31" s="24" t="s">
        <v>15</v>
      </c>
      <c r="D31" s="24" t="s">
        <v>16</v>
      </c>
      <c r="E31" s="24" t="s">
        <v>17</v>
      </c>
      <c r="F31" s="24" t="s">
        <v>18</v>
      </c>
      <c r="G31" s="88" t="s">
        <v>19</v>
      </c>
      <c r="H31" s="24" t="s">
        <v>20</v>
      </c>
      <c r="I31" s="105"/>
    </row>
    <row r="32" spans="2:12" s="157" customFormat="1" ht="18.75" customHeight="1" thickBot="1">
      <c r="B32" s="163"/>
      <c r="C32" s="319"/>
      <c r="H32" s="144" t="s">
        <v>153</v>
      </c>
      <c r="I32" s="320">
        <f>IF(OR(AND(K15,K12),AND(NOT(K15),NOT(K12))),0,IF(K15,IF(COUNTIF(I18:I30,"&gt;0")=5,SUM(I18:I31),0),0))</f>
        <v>25</v>
      </c>
      <c r="K32" s="164"/>
      <c r="L32" s="164"/>
    </row>
    <row r="33" spans="2:15" s="157" customFormat="1" ht="18.75" customHeight="1" thickBot="1">
      <c r="B33" s="163"/>
      <c r="C33" s="321"/>
      <c r="D33" s="322"/>
      <c r="E33" s="322"/>
      <c r="F33" s="322"/>
      <c r="G33" s="322"/>
      <c r="H33" s="310" t="s">
        <v>152</v>
      </c>
      <c r="I33" s="323">
        <f>IF(NOT(K15),0,IF(I32&lt;1,0,IF(I32&lt;=10,1,IF(I32&lt;=17,2,IF(I32&lt;=25,3,IF(I32&lt;=33,4,5))))))</f>
        <v>3</v>
      </c>
      <c r="J33" s="47"/>
      <c r="K33" s="125"/>
      <c r="L33" s="125"/>
      <c r="M33" s="48"/>
      <c r="N33" s="48"/>
      <c r="O33" s="48"/>
    </row>
    <row r="34" spans="2:15">
      <c r="B34" s="160"/>
      <c r="C34" s="19" t="s">
        <v>585</v>
      </c>
      <c r="I34" s="165"/>
    </row>
    <row r="35" spans="2:15">
      <c r="B35" s="160"/>
      <c r="C35" s="324" t="s">
        <v>586</v>
      </c>
      <c r="F35" s="25"/>
      <c r="G35" s="19"/>
      <c r="I35" s="165"/>
    </row>
    <row r="36" spans="2:15">
      <c r="B36" s="160"/>
      <c r="C36" s="324" t="s">
        <v>587</v>
      </c>
      <c r="F36" s="113"/>
      <c r="G36" s="113"/>
      <c r="H36" s="113"/>
      <c r="I36" s="114"/>
    </row>
    <row r="37" spans="2:15">
      <c r="B37" s="160"/>
      <c r="C37" s="324" t="s">
        <v>588</v>
      </c>
      <c r="F37" s="113"/>
      <c r="G37" s="113"/>
      <c r="H37" s="113"/>
      <c r="I37" s="114"/>
    </row>
    <row r="38" spans="2:15">
      <c r="B38" s="160"/>
      <c r="C38" s="324" t="s">
        <v>589</v>
      </c>
      <c r="F38" s="113"/>
      <c r="G38" s="113"/>
      <c r="H38" s="113"/>
      <c r="I38" s="114"/>
    </row>
    <row r="39" spans="2:15">
      <c r="B39" s="10"/>
      <c r="C39" s="325" t="s">
        <v>590</v>
      </c>
      <c r="D39" s="11"/>
      <c r="E39" s="11"/>
      <c r="F39" s="115"/>
      <c r="G39" s="115"/>
      <c r="H39" s="115"/>
      <c r="I39" s="116"/>
    </row>
    <row r="40" spans="2:15"/>
  </sheetData>
  <sheetProtection sheet="1" formatRows="0"/>
  <dataConsolidate/>
  <mergeCells count="16">
    <mergeCell ref="C10:H10"/>
    <mergeCell ref="D16:H16"/>
    <mergeCell ref="J2:J8"/>
    <mergeCell ref="B3:F3"/>
    <mergeCell ref="H3:I3"/>
    <mergeCell ref="D5:F5"/>
    <mergeCell ref="H5:I5"/>
    <mergeCell ref="D6:I6"/>
    <mergeCell ref="B7:C7"/>
    <mergeCell ref="D7:I7"/>
    <mergeCell ref="B8:C8"/>
    <mergeCell ref="D8:I8"/>
    <mergeCell ref="B6:C6"/>
    <mergeCell ref="B5:C5"/>
    <mergeCell ref="B2:F2"/>
    <mergeCell ref="H2:I2"/>
  </mergeCells>
  <conditionalFormatting sqref="B12">
    <cfRule type="expression" dxfId="1908" priority="782">
      <formula>AND(NOT(K12),NOT(K15))</formula>
    </cfRule>
    <cfRule type="expression" dxfId="1907" priority="783">
      <formula>AND(K12,K15)</formula>
    </cfRule>
  </conditionalFormatting>
  <conditionalFormatting sqref="B15">
    <cfRule type="expression" dxfId="1906" priority="416">
      <formula>AND(NOT(K15),NOT(K12))</formula>
    </cfRule>
    <cfRule type="expression" dxfId="1905" priority="417">
      <formula>AND(K15,K12)</formula>
    </cfRule>
  </conditionalFormatting>
  <conditionalFormatting sqref="D18">
    <cfRule type="expression" dxfId="1904" priority="15">
      <formula>AND(D18&lt;&gt;"",D18&lt;&gt;1)</formula>
    </cfRule>
  </conditionalFormatting>
  <conditionalFormatting sqref="D21">
    <cfRule type="expression" dxfId="1903" priority="451">
      <formula>AND(D21&lt;&gt;"",D21&lt;&gt;1)</formula>
    </cfRule>
  </conditionalFormatting>
  <conditionalFormatting sqref="D24">
    <cfRule type="expression" dxfId="1902" priority="434">
      <formula>AND(D24&lt;&gt;"",OR(D24&lt;1,D24&gt;3))</formula>
    </cfRule>
  </conditionalFormatting>
  <conditionalFormatting sqref="D27">
    <cfRule type="expression" dxfId="1901" priority="441">
      <formula>AND(D27&lt;&gt;"",OR(D27&lt;1,D27&gt;2))</formula>
    </cfRule>
  </conditionalFormatting>
  <conditionalFormatting sqref="D30">
    <cfRule type="expression" dxfId="1900" priority="444">
      <formula>AND(D30&lt;&gt;"",D30&lt;&gt;1)</formula>
    </cfRule>
  </conditionalFormatting>
  <conditionalFormatting sqref="D18:H18 D21:H21 D24:H24 D27:H27 D30:H30">
    <cfRule type="expression" dxfId="1899" priority="3">
      <formula>IF(AND($K$15,NOT($K$12)),0,1)</formula>
    </cfRule>
  </conditionalFormatting>
  <conditionalFormatting sqref="D18:H18">
    <cfRule type="expression" dxfId="1898" priority="9">
      <formula>AND(NOT($K$12),$K$15,COUNT($D$18:$H$18)&lt;1)</formula>
    </cfRule>
    <cfRule type="expression" dxfId="1897" priority="10">
      <formula>COUNT($D18:$H18)&gt;1</formula>
    </cfRule>
  </conditionalFormatting>
  <conditionalFormatting sqref="D21:H21">
    <cfRule type="expression" dxfId="1896" priority="450">
      <formula>COUNT($D21:$H21)&gt;1</formula>
    </cfRule>
    <cfRule type="expression" dxfId="1895" priority="449">
      <formula>AND($K15,COUNT($D21:$H21)&lt;1)</formula>
    </cfRule>
  </conditionalFormatting>
  <conditionalFormatting sqref="D24:H24">
    <cfRule type="expression" dxfId="1894" priority="428">
      <formula>AND($K15,COUNT($D24:$H24)&lt;1)</formula>
    </cfRule>
    <cfRule type="expression" dxfId="1893" priority="429">
      <formula>COUNT($D24:$H24)&gt;1</formula>
    </cfRule>
  </conditionalFormatting>
  <conditionalFormatting sqref="D27:H27">
    <cfRule type="expression" dxfId="1892" priority="435">
      <formula>AND($K15,COUNT($D27:$H27)&lt;1)</formula>
    </cfRule>
    <cfRule type="expression" dxfId="1891" priority="436">
      <formula>COUNT($D27:$H27)&gt;1</formula>
    </cfRule>
  </conditionalFormatting>
  <conditionalFormatting sqref="D30:H30">
    <cfRule type="expression" dxfId="1890" priority="443">
      <formula>COUNT($D30:$H30)&gt;1</formula>
    </cfRule>
    <cfRule type="expression" dxfId="1889" priority="442">
      <formula>AND($K15,COUNT($D30:$H30)&lt;1)</formula>
    </cfRule>
  </conditionalFormatting>
  <conditionalFormatting sqref="E18">
    <cfRule type="expression" dxfId="1888" priority="14">
      <formula>AND(E18&lt;&gt;"",E18&lt;&gt;2)</formula>
    </cfRule>
  </conditionalFormatting>
  <conditionalFormatting sqref="E21">
    <cfRule type="expression" dxfId="1887" priority="452">
      <formula>AND(E21&lt;&gt;"",E21&lt;&gt;2)</formula>
    </cfRule>
  </conditionalFormatting>
  <conditionalFormatting sqref="E24">
    <cfRule type="expression" dxfId="1886" priority="430">
      <formula>AND(E24&lt;&gt;"",OR(E24&lt;4,E24&gt;6))</formula>
    </cfRule>
  </conditionalFormatting>
  <conditionalFormatting sqref="E27">
    <cfRule type="expression" dxfId="1885" priority="439">
      <formula>AND(E27&lt;&gt;"",OR(E27&lt;3,E27&gt;4))</formula>
    </cfRule>
  </conditionalFormatting>
  <conditionalFormatting sqref="E30">
    <cfRule type="expression" dxfId="1884" priority="445">
      <formula>AND(E30&lt;&gt;"",E30&lt;&gt;2)</formula>
    </cfRule>
  </conditionalFormatting>
  <conditionalFormatting sqref="F18">
    <cfRule type="expression" dxfId="1883" priority="13">
      <formula>AND(F18&lt;&gt;"",F18&lt;&gt;3)</formula>
    </cfRule>
  </conditionalFormatting>
  <conditionalFormatting sqref="F21">
    <cfRule type="expression" dxfId="1882" priority="453">
      <formula>AND(F21&lt;&gt;"",F21&lt;&gt;3)</formula>
    </cfRule>
  </conditionalFormatting>
  <conditionalFormatting sqref="F24">
    <cfRule type="expression" dxfId="1881" priority="431">
      <formula>AND(F24&lt;&gt;"",OR(F24&lt;7,F24&gt;9))</formula>
    </cfRule>
  </conditionalFormatting>
  <conditionalFormatting sqref="F27">
    <cfRule type="expression" dxfId="1880" priority="438">
      <formula>AND(F27&lt;&gt;"",OR(F27&lt;5,F27&gt;6))</formula>
    </cfRule>
  </conditionalFormatting>
  <conditionalFormatting sqref="F30">
    <cfRule type="expression" dxfId="1879" priority="446">
      <formula>AND(F30&lt;&gt;"",F30&lt;&gt;3)</formula>
    </cfRule>
  </conditionalFormatting>
  <conditionalFormatting sqref="G18">
    <cfRule type="expression" dxfId="1878" priority="12">
      <formula>AND(G18&lt;&gt;"",G18&lt;&gt;4)</formula>
    </cfRule>
  </conditionalFormatting>
  <conditionalFormatting sqref="G21">
    <cfRule type="expression" dxfId="1877" priority="454">
      <formula>AND(G21&lt;&gt;"",G21&lt;&gt;4)</formula>
    </cfRule>
  </conditionalFormatting>
  <conditionalFormatting sqref="G24">
    <cfRule type="expression" dxfId="1876" priority="432">
      <formula>AND(G24&lt;&gt;"",OR(G24&lt;10,G24&gt;12))</formula>
    </cfRule>
  </conditionalFormatting>
  <conditionalFormatting sqref="G27">
    <cfRule type="expression" dxfId="1875" priority="437">
      <formula>AND(G27&lt;&gt;"",OR(G27&lt;7,G27&gt;8))</formula>
    </cfRule>
  </conditionalFormatting>
  <conditionalFormatting sqref="G30">
    <cfRule type="expression" dxfId="1874" priority="447">
      <formula>AND(G30&lt;&gt;"",G30&lt;&gt;4)</formula>
    </cfRule>
  </conditionalFormatting>
  <conditionalFormatting sqref="H13">
    <cfRule type="expression" dxfId="1873" priority="18">
      <formula>AND($K$12,NOT($K$15))</formula>
    </cfRule>
  </conditionalFormatting>
  <conditionalFormatting sqref="H18">
    <cfRule type="expression" dxfId="1872" priority="11">
      <formula>AND(H18&lt;&gt;"",H18&lt;&gt;5)</formula>
    </cfRule>
  </conditionalFormatting>
  <conditionalFormatting sqref="H21">
    <cfRule type="expression" dxfId="1871" priority="455">
      <formula>AND(H21&lt;&gt;"",H21&lt;&gt;5)</formula>
    </cfRule>
  </conditionalFormatting>
  <conditionalFormatting sqref="H24">
    <cfRule type="expression" dxfId="1870" priority="433">
      <formula>AND(H24&lt;&gt;"",OR(H24&lt;13,H24&gt;15))</formula>
    </cfRule>
  </conditionalFormatting>
  <conditionalFormatting sqref="H27">
    <cfRule type="expression" dxfId="1869" priority="440">
      <formula>AND(H27&lt;&gt;"",OR(H27&lt;9,H27&gt;10))</formula>
    </cfRule>
  </conditionalFormatting>
  <conditionalFormatting sqref="H30">
    <cfRule type="expression" dxfId="1868" priority="448">
      <formula>AND(H30&lt;&gt;"",H30&lt;&gt;5)</formula>
    </cfRule>
  </conditionalFormatting>
  <conditionalFormatting sqref="H33">
    <cfRule type="expression" dxfId="1867" priority="1">
      <formula>AND($K$15,NOT($K$12))</formula>
    </cfRule>
  </conditionalFormatting>
  <conditionalFormatting sqref="I13">
    <cfRule type="expression" dxfId="1866" priority="19">
      <formula>AND(K12,NOT(K15),I13&lt;&gt;"",OR(I13&lt;1,I13&gt;5))</formula>
    </cfRule>
    <cfRule type="expression" dxfId="1865" priority="17">
      <formula>OR(COUNTIF(K12:K15,TRUE)&lt;&gt;1,NOT(K12))</formula>
    </cfRule>
    <cfRule type="expression" dxfId="1864" priority="16">
      <formula>AND(K12,NOT(K15),I13="")</formula>
    </cfRule>
  </conditionalFormatting>
  <conditionalFormatting sqref="I33">
    <cfRule type="expression" dxfId="1863" priority="2">
      <formula>AND(NOT(K12),K15,I33=0)</formula>
    </cfRule>
  </conditionalFormatting>
  <dataValidations count="1">
    <dataValidation allowBlank="1" showInputMessage="1" errorTitle="Achtung!" error="Falsche Eingabe" promptTitle="Honorazone " prompt="Ganze arabische Zahl zwischen 1 und 5" sqref="I13:I14" xr:uid="{00000000-0002-0000-0200-000000000000}"/>
  </dataValidation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Oktober 2022&amp;R&amp;P</oddFooter>
  </headerFooter>
  <colBreaks count="1" manualBreakCount="1">
    <brk id="9" max="1048575" man="1"/>
  </colBreaks>
  <ignoredErrors>
    <ignoredError sqref="D19:G19 H19 D22:G22 H22 D31:G31 H3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85" r:id="rId4" name="Check Box 5">
              <controlPr defaultSize="0" autoFill="0" autoLine="0" autoPict="0" altText="3 Fahrstreifen">
                <anchor moveWithCells="1">
                  <from>
                    <xdr:col>1</xdr:col>
                    <xdr:colOff>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20486" r:id="rId5" name="Check Box 6">
              <controlPr defaultSize="0" autoFill="0" autoLine="0" autoPict="0" altText="">
                <anchor moveWithCells="1">
                  <from>
                    <xdr:col>1</xdr:col>
                    <xdr:colOff>0</xdr:colOff>
                    <xdr:row>14</xdr:row>
                    <xdr:rowOff>0</xdr:rowOff>
                  </from>
                  <to>
                    <xdr:col>2</xdr:col>
                    <xdr:colOff>0</xdr:colOff>
                    <xdr:row>15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theme="6" tint="0.59999389629810485"/>
    <pageSetUpPr fitToPage="1"/>
  </sheetPr>
  <dimension ref="A1:Q400"/>
  <sheetViews>
    <sheetView showGridLines="0" zoomScale="115" zoomScaleNormal="115" zoomScaleSheetLayoutView="100" workbookViewId="0">
      <pane ySplit="12" topLeftCell="A13" activePane="bottomLeft" state="frozen"/>
      <selection pane="bottomLeft" activeCell="E354" sqref="E354:G354"/>
    </sheetView>
  </sheetViews>
  <sheetFormatPr baseColWidth="10" defaultColWidth="0" defaultRowHeight="16.7" zeroHeight="1"/>
  <cols>
    <col min="1" max="1" width="5.6640625" style="1046" customWidth="1"/>
    <col min="2" max="2" width="3.33203125" style="171" customWidth="1"/>
    <col min="3" max="5" width="3.33203125" style="172" customWidth="1"/>
    <col min="6" max="6" width="51.6640625" style="172" customWidth="1"/>
    <col min="7" max="8" width="7.33203125" style="172" customWidth="1"/>
    <col min="9" max="9" width="12.33203125" style="172" customWidth="1"/>
    <col min="10" max="10" width="12.6640625" style="172" customWidth="1"/>
    <col min="11" max="11" width="2.6640625" style="172" customWidth="1"/>
    <col min="12" max="12" width="16.6640625" style="145" hidden="1" customWidth="1"/>
    <col min="13" max="17" width="0" style="172" hidden="1" customWidth="1"/>
    <col min="18" max="16384" width="11.44140625" style="172" hidden="1"/>
  </cols>
  <sheetData>
    <row r="1" spans="1:15" ht="16.600000000000001" customHeight="1"/>
    <row r="2" spans="1:15" s="7" customFormat="1" ht="18.75" customHeight="1">
      <c r="A2" s="218"/>
      <c r="B2" s="411" t="str">
        <f>IF(Projektgrundlagen!B2="","",Projektgrundlagen!B2)</f>
        <v>Objektplanung Verkehrsanlagen</v>
      </c>
      <c r="C2" s="411"/>
      <c r="D2" s="411"/>
      <c r="E2" s="411"/>
      <c r="F2" s="412"/>
      <c r="G2" s="258" t="str">
        <f>IF(Projektgrundlagen!F2="","",Projektgrundlagen!F2)</f>
        <v>VII.15.4</v>
      </c>
      <c r="H2" s="257"/>
      <c r="I2" s="1398" t="s">
        <v>596</v>
      </c>
      <c r="J2" s="1399"/>
      <c r="K2" s="1422" t="s">
        <v>598</v>
      </c>
      <c r="L2" s="126" t="s">
        <v>159</v>
      </c>
      <c r="M2" s="222" t="s">
        <v>510</v>
      </c>
      <c r="O2" s="221" t="s">
        <v>502</v>
      </c>
    </row>
    <row r="3" spans="1:15" s="7" customFormat="1" ht="18.75" customHeight="1">
      <c r="A3" s="218"/>
      <c r="B3" s="157" t="s">
        <v>597</v>
      </c>
      <c r="C3" s="411"/>
      <c r="D3" s="411"/>
      <c r="E3" s="413"/>
      <c r="F3" s="414"/>
      <c r="G3" s="231" t="str">
        <f>IF(Projektgrundlagen!F3="","",Projektgrundlagen!F3)</f>
        <v>Vertragsnr.:</v>
      </c>
      <c r="H3" s="232"/>
      <c r="I3" s="1424" t="str">
        <f>IF(Projektgrundlagen!G3="","",Projektgrundlagen!G3)</f>
        <v/>
      </c>
      <c r="J3" s="1425"/>
      <c r="K3" s="1422"/>
      <c r="L3" s="140"/>
      <c r="M3" s="7" t="b">
        <f>Projektgrundlagen!$I$21</f>
        <v>1</v>
      </c>
      <c r="O3" s="7" t="str">
        <f ca="1">MID(CELL("dateiname",B2),FIND("]",CELL("dateiname",B2))+1,255)</f>
        <v>StB-C1 Grundlstg</v>
      </c>
    </row>
    <row r="4" spans="1:15" s="7" customFormat="1" ht="7.5" customHeight="1">
      <c r="A4" s="218"/>
      <c r="B4" s="216"/>
      <c r="C4" s="411"/>
      <c r="D4" s="411"/>
      <c r="E4" s="216"/>
      <c r="F4" s="216"/>
      <c r="G4" s="101"/>
      <c r="H4" s="101"/>
      <c r="I4" s="418"/>
      <c r="J4" s="418"/>
      <c r="K4" s="1422"/>
      <c r="L4" s="140"/>
    </row>
    <row r="5" spans="1:15" s="7" customFormat="1" ht="15" customHeight="1">
      <c r="A5" s="218"/>
      <c r="B5" s="405" t="str">
        <f>IF(Projektgrundlagen!B5="","",Projektgrundlagen!B5)</f>
        <v>Maßnahmennr:</v>
      </c>
      <c r="C5" s="419"/>
      <c r="D5" s="419"/>
      <c r="E5" s="406"/>
      <c r="F5" s="336" t="str">
        <f>IF(Projektgrundlagen!E5="","",Projektgrundlagen!E5)</f>
        <v>B11S.ALSR0138.00</v>
      </c>
      <c r="G5" s="424" t="str">
        <f>IF(Projektgrundlagen!F5="","",Projektgrundlagen!F5)</f>
        <v>Vergabenr.:</v>
      </c>
      <c r="H5" s="424"/>
      <c r="I5" s="1391" t="str">
        <f>IF(Projektgrundlagen!G5="","",Projektgrundlagen!G5)</f>
        <v>25-131201</v>
      </c>
      <c r="J5" s="1423"/>
      <c r="K5" s="1422"/>
      <c r="L5" s="140"/>
    </row>
    <row r="6" spans="1:15" s="7" customFormat="1" ht="15" customHeight="1">
      <c r="A6" s="218"/>
      <c r="B6" s="407" t="str">
        <f>IF(Projektgrundlagen!B6="","",Projektgrundlagen!B6)</f>
        <v>Maßnahme:</v>
      </c>
      <c r="C6" s="420"/>
      <c r="D6" s="420"/>
      <c r="E6" s="408"/>
      <c r="F6" s="1418" t="str">
        <f>IF(Projektgrundlagen!E6="","",Projektgrundlagen!E6)</f>
        <v>St2054 Geh- und Radweg westl. Babenried - Jesenwang</v>
      </c>
      <c r="G6" s="1418"/>
      <c r="H6" s="1418"/>
      <c r="I6" s="1418"/>
      <c r="J6" s="1419"/>
      <c r="K6" s="1422"/>
      <c r="L6" s="140"/>
    </row>
    <row r="7" spans="1:15" s="7" customFormat="1" ht="15" customHeight="1">
      <c r="A7" s="218"/>
      <c r="B7" s="407" t="str">
        <f>IF(Projektgrundlagen!B7="","",Projektgrundlagen!B7)</f>
        <v/>
      </c>
      <c r="C7" s="420"/>
      <c r="D7" s="420"/>
      <c r="E7" s="408"/>
      <c r="F7" s="1418" t="str">
        <f>IF(Projektgrundlagen!E7="","",Projektgrundlagen!E7)</f>
        <v/>
      </c>
      <c r="G7" s="1418"/>
      <c r="H7" s="1418"/>
      <c r="I7" s="1418"/>
      <c r="J7" s="1419"/>
      <c r="K7" s="1422"/>
      <c r="L7" s="140"/>
    </row>
    <row r="8" spans="1:15" s="7" customFormat="1" ht="15" customHeight="1">
      <c r="A8" s="218"/>
      <c r="B8" s="409" t="str">
        <f>IF(Projektgrundlagen!B8="","",Projektgrundlagen!B8)</f>
        <v>Bieter:</v>
      </c>
      <c r="C8" s="421"/>
      <c r="D8" s="421"/>
      <c r="E8" s="410"/>
      <c r="F8" s="1420" t="str">
        <f>IF(Projektgrundlagen!E8="","",Projektgrundlagen!E8)</f>
        <v/>
      </c>
      <c r="G8" s="1420"/>
      <c r="H8" s="1420"/>
      <c r="I8" s="1420"/>
      <c r="J8" s="1421"/>
      <c r="K8" s="1422"/>
      <c r="L8" s="140"/>
    </row>
    <row r="9" spans="1:15" s="339" customFormat="1">
      <c r="A9" s="337"/>
      <c r="B9" s="338"/>
      <c r="C9" s="360"/>
      <c r="D9" s="360"/>
      <c r="L9" s="340"/>
    </row>
    <row r="10" spans="1:15" s="166" customFormat="1" ht="27.1" customHeight="1">
      <c r="A10" s="1046"/>
      <c r="B10" s="1426" t="s">
        <v>595</v>
      </c>
      <c r="C10" s="1426"/>
      <c r="D10" s="1426"/>
      <c r="E10" s="1426"/>
      <c r="F10" s="1426"/>
      <c r="G10" s="328"/>
      <c r="H10" s="329"/>
      <c r="I10" s="330" t="s">
        <v>593</v>
      </c>
      <c r="J10" s="331" t="s">
        <v>594</v>
      </c>
      <c r="L10" s="146"/>
    </row>
    <row r="11" spans="1:15" s="166" customFormat="1" ht="27.1" customHeight="1">
      <c r="A11" s="1046"/>
      <c r="B11" s="332" t="s">
        <v>592</v>
      </c>
      <c r="C11" s="361"/>
      <c r="D11" s="361"/>
      <c r="E11" s="1015"/>
      <c r="F11" s="1015"/>
      <c r="G11" s="328"/>
      <c r="H11" s="333" t="str">
        <f>IF($M$3,"","Grundleistungen Straßenbau sind nicht Teil dieser Honorarermittlung!")</f>
        <v/>
      </c>
      <c r="I11" s="334" t="s">
        <v>727</v>
      </c>
      <c r="J11" s="335" t="s">
        <v>727</v>
      </c>
      <c r="L11" s="146"/>
    </row>
    <row r="12" spans="1:15" s="166" customFormat="1" ht="7.5" customHeight="1">
      <c r="A12" s="1046"/>
      <c r="B12" s="1026"/>
      <c r="C12" s="1027"/>
      <c r="D12" s="1027"/>
      <c r="E12" s="1026"/>
      <c r="F12" s="1026"/>
      <c r="G12" s="1028"/>
      <c r="H12" s="1029"/>
      <c r="I12" s="1030"/>
      <c r="J12" s="1030"/>
      <c r="L12" s="146"/>
    </row>
    <row r="13" spans="1:15" s="166" customFormat="1">
      <c r="A13" s="228" t="str">
        <f>IF(COUNTIF($L$13:$L$14,TRUE)&gt;1,"è","")</f>
        <v/>
      </c>
      <c r="B13" s="342"/>
      <c r="C13" s="363"/>
      <c r="D13" s="363"/>
      <c r="E13" s="1427" t="s">
        <v>599</v>
      </c>
      <c r="F13" s="1427"/>
      <c r="G13" s="1427"/>
      <c r="H13" s="1427"/>
      <c r="I13" s="1427"/>
      <c r="J13" s="1428"/>
      <c r="L13" s="146" t="b">
        <v>0</v>
      </c>
      <c r="M13" s="201" t="b">
        <f>IF(COUNTIF(L13:L14,TRUE)=1,TRUE,FALSE)</f>
        <v>0</v>
      </c>
      <c r="N13" s="213" t="s">
        <v>601</v>
      </c>
    </row>
    <row r="14" spans="1:15" s="166" customFormat="1" ht="17.3" customHeight="1">
      <c r="A14" s="228" t="str">
        <f>IF(COUNTIF($L$13:$L$14,TRUE)&gt;1,"è","")</f>
        <v/>
      </c>
      <c r="B14" s="342"/>
      <c r="C14" s="363"/>
      <c r="D14" s="363"/>
      <c r="E14" s="1427" t="s">
        <v>600</v>
      </c>
      <c r="F14" s="1427"/>
      <c r="G14" s="1427"/>
      <c r="H14" s="1427"/>
      <c r="I14" s="1427"/>
      <c r="J14" s="1428"/>
      <c r="L14" s="146" t="b">
        <v>0</v>
      </c>
    </row>
    <row r="15" spans="1:15" s="166" customFormat="1" ht="7.5" customHeight="1">
      <c r="A15" s="1046"/>
      <c r="B15" s="217"/>
      <c r="C15" s="362"/>
      <c r="D15" s="362"/>
      <c r="E15" s="217"/>
      <c r="F15" s="217"/>
      <c r="G15" s="76"/>
      <c r="H15" s="327"/>
      <c r="I15" s="341"/>
      <c r="J15" s="341"/>
      <c r="L15" s="146"/>
    </row>
    <row r="16" spans="1:15" s="167" customFormat="1" ht="22.5" customHeight="1">
      <c r="A16" s="1048"/>
      <c r="B16" s="42" t="s">
        <v>119</v>
      </c>
      <c r="C16" s="43"/>
      <c r="D16" s="43"/>
      <c r="E16" s="43"/>
      <c r="F16" s="43"/>
      <c r="G16" s="77"/>
      <c r="H16" s="77"/>
      <c r="I16" s="384"/>
      <c r="J16" s="385"/>
      <c r="L16" s="147"/>
    </row>
    <row r="17" spans="1:12" s="166" customFormat="1" ht="17.3" customHeight="1">
      <c r="A17" s="1046"/>
      <c r="B17" s="344"/>
      <c r="C17" s="374" t="s">
        <v>86</v>
      </c>
      <c r="D17" s="417"/>
      <c r="E17" s="1408" t="s">
        <v>604</v>
      </c>
      <c r="F17" s="1408"/>
      <c r="G17" s="1408"/>
      <c r="H17" s="1171"/>
      <c r="I17" s="1172">
        <v>0.2</v>
      </c>
      <c r="J17" s="1173">
        <f>IF(L17,I17,0)</f>
        <v>0.2</v>
      </c>
      <c r="L17" s="146" t="b">
        <v>1</v>
      </c>
    </row>
    <row r="18" spans="1:12" s="166" customFormat="1" ht="15" customHeight="1">
      <c r="A18" s="1046"/>
      <c r="B18" s="343"/>
      <c r="C18" s="378"/>
      <c r="D18" s="373"/>
      <c r="E18" s="1429" t="s">
        <v>605</v>
      </c>
      <c r="F18" s="1429"/>
      <c r="G18" s="1429"/>
      <c r="H18" s="346"/>
      <c r="I18" s="390"/>
      <c r="J18" s="386"/>
      <c r="L18" s="146"/>
    </row>
    <row r="19" spans="1:12" s="166" customFormat="1">
      <c r="A19" s="1046"/>
      <c r="B19" s="347"/>
      <c r="C19" s="378"/>
      <c r="D19" s="373"/>
      <c r="E19" s="1455" t="s">
        <v>160</v>
      </c>
      <c r="F19" s="1455"/>
      <c r="G19" s="1455"/>
      <c r="H19" s="1456"/>
      <c r="I19" s="390"/>
      <c r="J19" s="386"/>
      <c r="L19" s="146"/>
    </row>
    <row r="20" spans="1:12" s="166" customFormat="1" ht="17.3" customHeight="1">
      <c r="A20" s="1046"/>
      <c r="B20" s="344"/>
      <c r="C20" s="379" t="s">
        <v>85</v>
      </c>
      <c r="D20" s="422"/>
      <c r="E20" s="1166" t="s">
        <v>606</v>
      </c>
      <c r="F20" s="1174"/>
      <c r="G20" s="1174"/>
      <c r="H20" s="1175"/>
      <c r="I20" s="1176">
        <v>0.5</v>
      </c>
      <c r="J20" s="388">
        <f t="shared" ref="J20" si="0">IF(L20,I20,0)</f>
        <v>0.5</v>
      </c>
      <c r="L20" s="146" t="b">
        <v>1</v>
      </c>
    </row>
    <row r="21" spans="1:12" s="166" customFormat="1" ht="15" customHeight="1">
      <c r="A21" s="1046"/>
      <c r="B21" s="343"/>
      <c r="C21" s="378"/>
      <c r="D21" s="373"/>
      <c r="E21" s="1159" t="s">
        <v>983</v>
      </c>
      <c r="F21" s="402"/>
      <c r="G21" s="403"/>
      <c r="H21" s="346"/>
      <c r="I21" s="390"/>
      <c r="J21" s="386"/>
      <c r="L21" s="146"/>
    </row>
    <row r="22" spans="1:12" s="166" customFormat="1" ht="22.5" customHeight="1">
      <c r="A22" s="1046"/>
      <c r="B22" s="348"/>
      <c r="C22" s="376"/>
      <c r="D22" s="171"/>
      <c r="E22" s="1402" t="s">
        <v>165</v>
      </c>
      <c r="F22" s="1402"/>
      <c r="G22" s="1402"/>
      <c r="H22" s="1402"/>
      <c r="I22" s="390"/>
      <c r="J22" s="386"/>
      <c r="L22" s="146"/>
    </row>
    <row r="23" spans="1:12" s="166" customFormat="1" ht="12.85" customHeight="1">
      <c r="A23" s="1046"/>
      <c r="B23" s="348"/>
      <c r="C23" s="376"/>
      <c r="D23" s="171"/>
      <c r="E23" s="1117" t="s">
        <v>232</v>
      </c>
      <c r="F23" s="1118" t="s">
        <v>164</v>
      </c>
      <c r="G23" s="1118"/>
      <c r="H23" s="1118"/>
      <c r="I23" s="390"/>
      <c r="J23" s="386"/>
      <c r="L23" s="146"/>
    </row>
    <row r="24" spans="1:12" s="166" customFormat="1" ht="12.85" customHeight="1">
      <c r="A24" s="1046"/>
      <c r="B24" s="348"/>
      <c r="C24" s="376"/>
      <c r="D24" s="171"/>
      <c r="E24" s="1117" t="s">
        <v>232</v>
      </c>
      <c r="F24" s="1118" t="s">
        <v>163</v>
      </c>
      <c r="G24" s="1118"/>
      <c r="H24" s="1118"/>
      <c r="I24" s="390"/>
      <c r="J24" s="386"/>
      <c r="L24" s="146"/>
    </row>
    <row r="25" spans="1:12" s="166" customFormat="1" ht="12.85" customHeight="1">
      <c r="A25" s="1046"/>
      <c r="B25" s="348"/>
      <c r="C25" s="376"/>
      <c r="D25" s="171"/>
      <c r="E25" s="1117" t="s">
        <v>232</v>
      </c>
      <c r="F25" s="1118" t="s">
        <v>303</v>
      </c>
      <c r="G25" s="1118"/>
      <c r="H25" s="1118"/>
      <c r="I25" s="390"/>
      <c r="J25" s="386"/>
      <c r="L25" s="146"/>
    </row>
    <row r="26" spans="1:12" s="166" customFormat="1" ht="12.85" customHeight="1">
      <c r="A26" s="1046"/>
      <c r="B26" s="348"/>
      <c r="C26" s="376"/>
      <c r="D26" s="171"/>
      <c r="E26" s="1117" t="s">
        <v>232</v>
      </c>
      <c r="F26" s="1118" t="s">
        <v>162</v>
      </c>
      <c r="G26" s="1118"/>
      <c r="H26" s="1118"/>
      <c r="I26" s="390"/>
      <c r="J26" s="386"/>
      <c r="L26" s="146"/>
    </row>
    <row r="27" spans="1:12" s="166" customFormat="1" ht="12.85" customHeight="1">
      <c r="A27" s="1046"/>
      <c r="B27" s="348"/>
      <c r="C27" s="376"/>
      <c r="D27" s="171"/>
      <c r="E27" s="1117" t="s">
        <v>232</v>
      </c>
      <c r="F27" s="1118" t="s">
        <v>161</v>
      </c>
      <c r="G27" s="1118"/>
      <c r="H27" s="1118"/>
      <c r="I27" s="390"/>
      <c r="J27" s="386"/>
      <c r="L27" s="146"/>
    </row>
    <row r="28" spans="1:12" s="166" customFormat="1" ht="12.85" customHeight="1">
      <c r="A28" s="1046"/>
      <c r="B28" s="348"/>
      <c r="C28" s="376"/>
      <c r="D28" s="171"/>
      <c r="E28" s="1117" t="s">
        <v>232</v>
      </c>
      <c r="F28" s="1118" t="s">
        <v>304</v>
      </c>
      <c r="G28" s="1118"/>
      <c r="H28" s="1118"/>
      <c r="I28" s="390"/>
      <c r="J28" s="386"/>
      <c r="L28" s="146"/>
    </row>
    <row r="29" spans="1:12" s="166" customFormat="1" ht="12.85" customHeight="1">
      <c r="A29" s="1046"/>
      <c r="B29" s="348"/>
      <c r="C29" s="376"/>
      <c r="D29" s="171"/>
      <c r="E29" s="1117" t="s">
        <v>232</v>
      </c>
      <c r="F29" s="1118" t="s">
        <v>348</v>
      </c>
      <c r="G29" s="1118"/>
      <c r="H29" s="1118"/>
      <c r="I29" s="390"/>
      <c r="J29" s="386"/>
      <c r="L29" s="146"/>
    </row>
    <row r="30" spans="1:12" s="166" customFormat="1">
      <c r="A30" s="1046"/>
      <c r="B30" s="349"/>
      <c r="C30" s="376"/>
      <c r="D30" s="171"/>
      <c r="E30" s="1123"/>
      <c r="F30" s="1119"/>
      <c r="G30" s="1120"/>
      <c r="H30" s="1120"/>
      <c r="I30" s="391"/>
      <c r="J30" s="387"/>
      <c r="L30" s="146"/>
    </row>
    <row r="31" spans="1:12" s="166" customFormat="1" ht="12.85" customHeight="1">
      <c r="A31" s="1046"/>
      <c r="B31" s="350"/>
      <c r="C31" s="376"/>
      <c r="D31" s="171"/>
      <c r="E31" s="1455" t="s">
        <v>117</v>
      </c>
      <c r="F31" s="1455"/>
      <c r="G31" s="1455"/>
      <c r="H31" s="1456"/>
      <c r="I31" s="391"/>
      <c r="J31" s="387"/>
      <c r="L31" s="146"/>
    </row>
    <row r="32" spans="1:12" s="166" customFormat="1" ht="17.3" customHeight="1">
      <c r="A32" s="1046"/>
      <c r="B32" s="345"/>
      <c r="C32" s="379" t="s">
        <v>84</v>
      </c>
      <c r="D32" s="422"/>
      <c r="E32" s="1430" t="s">
        <v>608</v>
      </c>
      <c r="F32" s="1430"/>
      <c r="G32" s="1430"/>
      <c r="H32" s="1177"/>
      <c r="I32" s="392">
        <v>0.3</v>
      </c>
      <c r="J32" s="388">
        <f>IF(L32,I32-0.3,0)</f>
        <v>0</v>
      </c>
      <c r="L32" s="148" t="b">
        <v>0</v>
      </c>
    </row>
    <row r="33" spans="1:12" s="166" customFormat="1" ht="15" customHeight="1">
      <c r="A33" s="1046"/>
      <c r="B33" s="343"/>
      <c r="C33" s="378"/>
      <c r="D33" s="373"/>
      <c r="E33" s="1429" t="s">
        <v>609</v>
      </c>
      <c r="F33" s="1429"/>
      <c r="G33" s="1429"/>
      <c r="H33" s="346"/>
      <c r="I33" s="390"/>
      <c r="J33" s="386"/>
      <c r="L33" s="146"/>
    </row>
    <row r="34" spans="1:12" s="166" customFormat="1" ht="15" customHeight="1">
      <c r="A34" s="1046"/>
      <c r="B34" s="351"/>
      <c r="C34" s="378"/>
      <c r="D34" s="373"/>
      <c r="E34" s="1463" t="s">
        <v>928</v>
      </c>
      <c r="F34" s="1463"/>
      <c r="G34" s="1463"/>
      <c r="H34" s="1464"/>
      <c r="I34" s="1178"/>
      <c r="J34" s="386"/>
      <c r="L34" s="146"/>
    </row>
    <row r="35" spans="1:12" s="166" customFormat="1" ht="37.9" customHeight="1">
      <c r="A35" s="1046"/>
      <c r="B35" s="350"/>
      <c r="C35" s="376"/>
      <c r="D35" s="171"/>
      <c r="E35" s="1402" t="s">
        <v>166</v>
      </c>
      <c r="F35" s="1402"/>
      <c r="G35" s="1402"/>
      <c r="H35" s="1402"/>
      <c r="I35" s="390"/>
      <c r="J35" s="386"/>
      <c r="L35" s="146"/>
    </row>
    <row r="36" spans="1:12" s="166" customFormat="1" ht="17.3" customHeight="1">
      <c r="A36" s="1046"/>
      <c r="B36" s="344"/>
      <c r="C36" s="379" t="s">
        <v>93</v>
      </c>
      <c r="D36" s="422"/>
      <c r="E36" s="1446" t="s">
        <v>306</v>
      </c>
      <c r="F36" s="1446"/>
      <c r="G36" s="1446"/>
      <c r="H36" s="1179"/>
      <c r="I36" s="1180">
        <v>0.5</v>
      </c>
      <c r="J36" s="388">
        <f>IF(L36,I36,0)</f>
        <v>0.5</v>
      </c>
      <c r="L36" s="146" t="b">
        <v>1</v>
      </c>
    </row>
    <row r="37" spans="1:12" s="166" customFormat="1" ht="15" customHeight="1">
      <c r="A37" s="1046"/>
      <c r="B37" s="343"/>
      <c r="C37" s="378"/>
      <c r="D37" s="373"/>
      <c r="E37" s="1429"/>
      <c r="F37" s="1429"/>
      <c r="G37" s="1429"/>
      <c r="H37" s="346"/>
      <c r="I37" s="390"/>
      <c r="J37" s="386"/>
      <c r="L37" s="146"/>
    </row>
    <row r="38" spans="1:12" s="166" customFormat="1" ht="54" customHeight="1">
      <c r="A38" s="1046"/>
      <c r="B38" s="350"/>
      <c r="C38" s="376"/>
      <c r="D38" s="171"/>
      <c r="E38" s="1402" t="s">
        <v>168</v>
      </c>
      <c r="F38" s="1402"/>
      <c r="G38" s="1402"/>
      <c r="H38" s="1402"/>
      <c r="I38" s="390"/>
      <c r="J38" s="386"/>
      <c r="L38" s="146"/>
    </row>
    <row r="39" spans="1:12" s="166" customFormat="1" ht="17.3" customHeight="1">
      <c r="A39" s="1046"/>
      <c r="B39" s="344"/>
      <c r="C39" s="379" t="s">
        <v>92</v>
      </c>
      <c r="D39" s="422"/>
      <c r="E39" s="1414" t="s">
        <v>305</v>
      </c>
      <c r="F39" s="1414"/>
      <c r="G39" s="1414"/>
      <c r="H39" s="1181"/>
      <c r="I39" s="1180">
        <v>0.5</v>
      </c>
      <c r="J39" s="388">
        <f>IF(L39,I39,0)</f>
        <v>0.5</v>
      </c>
      <c r="L39" s="146" t="b">
        <v>1</v>
      </c>
    </row>
    <row r="40" spans="1:12" s="166" customFormat="1" ht="15" customHeight="1">
      <c r="A40" s="1046"/>
      <c r="B40" s="343"/>
      <c r="C40" s="378"/>
      <c r="D40" s="373"/>
      <c r="E40" s="1429"/>
      <c r="F40" s="1429"/>
      <c r="G40" s="1429"/>
      <c r="H40" s="346"/>
      <c r="I40" s="390"/>
      <c r="J40" s="386"/>
      <c r="L40" s="146"/>
    </row>
    <row r="41" spans="1:12" s="166" customFormat="1" ht="51" customHeight="1" thickBot="1">
      <c r="A41" s="1046"/>
      <c r="B41" s="347"/>
      <c r="C41" s="377"/>
      <c r="D41" s="372"/>
      <c r="E41" s="1412" t="s">
        <v>167</v>
      </c>
      <c r="F41" s="1412"/>
      <c r="G41" s="1412"/>
      <c r="H41" s="1412"/>
      <c r="I41" s="393"/>
      <c r="J41" s="389"/>
      <c r="L41" s="146"/>
    </row>
    <row r="42" spans="1:12" s="166" customFormat="1" ht="22.5" customHeight="1" thickBot="1">
      <c r="A42" s="1046"/>
      <c r="B42" s="353"/>
      <c r="C42" s="364"/>
      <c r="D42" s="364"/>
      <c r="E42" s="354"/>
      <c r="F42" s="355"/>
      <c r="G42" s="355"/>
      <c r="H42" s="356" t="s">
        <v>946</v>
      </c>
      <c r="I42" s="396">
        <f>IF($M$3,SUM(I17:I39),0)</f>
        <v>2</v>
      </c>
      <c r="J42" s="358">
        <f>IF($M$3,SUMIF(L17:L39,TRUE,J17:J39),0)</f>
        <v>1.7</v>
      </c>
      <c r="L42" s="146"/>
    </row>
    <row r="43" spans="1:12" s="166" customFormat="1" ht="7.5" customHeight="1">
      <c r="A43" s="1046"/>
      <c r="B43" s="1209"/>
      <c r="C43" s="1257"/>
      <c r="D43" s="1257"/>
      <c r="E43" s="1258"/>
      <c r="F43" s="1259"/>
      <c r="G43" s="1259"/>
      <c r="H43" s="1260"/>
      <c r="I43" s="1261"/>
      <c r="J43" s="367"/>
      <c r="L43" s="146"/>
    </row>
    <row r="44" spans="1:12" s="167" customFormat="1" ht="22.5" customHeight="1">
      <c r="A44" s="1048"/>
      <c r="B44" s="42" t="s">
        <v>120</v>
      </c>
      <c r="C44" s="43"/>
      <c r="D44" s="44"/>
      <c r="E44" s="43"/>
      <c r="F44" s="43"/>
      <c r="G44" s="77"/>
      <c r="H44" s="77"/>
      <c r="I44" s="397"/>
      <c r="J44" s="398"/>
      <c r="L44" s="147"/>
    </row>
    <row r="45" spans="1:12" s="166" customFormat="1" ht="17.3" customHeight="1">
      <c r="A45" s="1046"/>
      <c r="B45" s="344"/>
      <c r="C45" s="374" t="s">
        <v>86</v>
      </c>
      <c r="D45" s="417"/>
      <c r="E45" s="1449" t="s">
        <v>349</v>
      </c>
      <c r="F45" s="1449"/>
      <c r="G45" s="1449"/>
      <c r="H45" s="1171"/>
      <c r="I45" s="1182">
        <v>0.5</v>
      </c>
      <c r="J45" s="1173">
        <f t="shared" ref="J45" si="1">IF(L45,I45,0)</f>
        <v>0.5</v>
      </c>
      <c r="L45" s="146" t="b">
        <v>1</v>
      </c>
    </row>
    <row r="46" spans="1:12" s="166" customFormat="1" ht="15" customHeight="1">
      <c r="A46" s="1046"/>
      <c r="B46" s="343"/>
      <c r="C46" s="378"/>
      <c r="D46" s="373"/>
      <c r="E46" s="1429"/>
      <c r="F46" s="1429"/>
      <c r="G46" s="1429"/>
      <c r="H46" s="346"/>
      <c r="I46" s="390"/>
      <c r="J46" s="386"/>
      <c r="L46" s="146"/>
    </row>
    <row r="47" spans="1:12" s="166" customFormat="1" ht="37.450000000000003" customHeight="1">
      <c r="A47" s="1046"/>
      <c r="B47" s="348"/>
      <c r="C47" s="376"/>
      <c r="D47" s="171"/>
      <c r="E47" s="1402" t="s">
        <v>350</v>
      </c>
      <c r="F47" s="1402"/>
      <c r="G47" s="1402"/>
      <c r="H47" s="1402"/>
      <c r="I47" s="391"/>
      <c r="J47" s="387"/>
      <c r="L47" s="146"/>
    </row>
    <row r="48" spans="1:12" s="166" customFormat="1" ht="24.8" customHeight="1">
      <c r="A48" s="1046"/>
      <c r="B48" s="348"/>
      <c r="C48" s="376"/>
      <c r="D48" s="171"/>
      <c r="E48" s="1160" t="s">
        <v>98</v>
      </c>
      <c r="F48" s="1440" t="s">
        <v>373</v>
      </c>
      <c r="G48" s="1440"/>
      <c r="H48" s="1457"/>
      <c r="I48" s="391"/>
      <c r="J48" s="387"/>
      <c r="L48" s="146"/>
    </row>
    <row r="49" spans="1:12" s="166" customFormat="1" ht="12.85" customHeight="1">
      <c r="A49" s="1046"/>
      <c r="B49" s="348"/>
      <c r="C49" s="376"/>
      <c r="D49" s="171"/>
      <c r="E49" s="1160" t="s">
        <v>98</v>
      </c>
      <c r="F49" s="1118" t="s">
        <v>169</v>
      </c>
      <c r="G49" s="1113"/>
      <c r="H49" s="1113"/>
      <c r="I49" s="391"/>
      <c r="J49" s="387"/>
      <c r="L49" s="146"/>
    </row>
    <row r="50" spans="1:12" s="166" customFormat="1" ht="12.85" customHeight="1">
      <c r="A50" s="1046"/>
      <c r="B50" s="348"/>
      <c r="C50" s="376"/>
      <c r="D50" s="171"/>
      <c r="E50" s="1160" t="s">
        <v>98</v>
      </c>
      <c r="F50" s="1118" t="s">
        <v>170</v>
      </c>
      <c r="G50" s="1113"/>
      <c r="H50" s="1113"/>
      <c r="I50" s="391"/>
      <c r="J50" s="387"/>
      <c r="L50" s="146"/>
    </row>
    <row r="51" spans="1:12" s="166" customFormat="1" ht="12.85" customHeight="1">
      <c r="A51" s="1046"/>
      <c r="B51" s="348"/>
      <c r="C51" s="376"/>
      <c r="D51" s="171"/>
      <c r="E51" s="1117" t="s">
        <v>232</v>
      </c>
      <c r="F51" s="1121" t="s">
        <v>116</v>
      </c>
      <c r="G51" s="1121"/>
      <c r="H51" s="1121"/>
      <c r="I51" s="391"/>
      <c r="J51" s="387"/>
      <c r="L51" s="146"/>
    </row>
    <row r="52" spans="1:12" s="166" customFormat="1" ht="12.85" customHeight="1">
      <c r="A52" s="1046"/>
      <c r="B52" s="348"/>
      <c r="C52" s="376"/>
      <c r="D52" s="171"/>
      <c r="E52" s="1117" t="s">
        <v>232</v>
      </c>
      <c r="F52" s="1121" t="s">
        <v>115</v>
      </c>
      <c r="G52" s="1121"/>
      <c r="H52" s="1121"/>
      <c r="I52" s="391"/>
      <c r="J52" s="387"/>
      <c r="L52" s="146"/>
    </row>
    <row r="53" spans="1:12" s="166" customFormat="1" ht="12.85" customHeight="1">
      <c r="A53" s="1046"/>
      <c r="B53" s="348"/>
      <c r="C53" s="376"/>
      <c r="D53" s="171"/>
      <c r="E53" s="1117" t="s">
        <v>232</v>
      </c>
      <c r="F53" s="1121" t="s">
        <v>114</v>
      </c>
      <c r="G53" s="1121"/>
      <c r="H53" s="1121"/>
      <c r="I53" s="391"/>
      <c r="J53" s="387"/>
      <c r="L53" s="146"/>
    </row>
    <row r="54" spans="1:12" s="166" customFormat="1" ht="12.85" customHeight="1">
      <c r="A54" s="1046"/>
      <c r="B54" s="348"/>
      <c r="C54" s="376"/>
      <c r="D54" s="171"/>
      <c r="E54" s="1117" t="s">
        <v>232</v>
      </c>
      <c r="F54" s="1121" t="s">
        <v>113</v>
      </c>
      <c r="G54" s="1121"/>
      <c r="H54" s="1121"/>
      <c r="I54" s="391"/>
      <c r="J54" s="387"/>
      <c r="L54" s="146"/>
    </row>
    <row r="55" spans="1:12" s="166" customFormat="1" ht="12.85" customHeight="1">
      <c r="A55" s="1046"/>
      <c r="B55" s="348"/>
      <c r="C55" s="376"/>
      <c r="D55" s="171"/>
      <c r="E55" s="1117" t="s">
        <v>232</v>
      </c>
      <c r="F55" s="1121" t="s">
        <v>171</v>
      </c>
      <c r="G55" s="1121"/>
      <c r="H55" s="1121"/>
      <c r="I55" s="391"/>
      <c r="J55" s="387"/>
      <c r="L55" s="146"/>
    </row>
    <row r="56" spans="1:12" s="166" customFormat="1" ht="12.85" customHeight="1">
      <c r="A56" s="1046"/>
      <c r="B56" s="348"/>
      <c r="C56" s="376"/>
      <c r="D56" s="171"/>
      <c r="E56" s="1117" t="s">
        <v>232</v>
      </c>
      <c r="F56" s="1121" t="s">
        <v>172</v>
      </c>
      <c r="G56" s="1121"/>
      <c r="H56" s="1121"/>
      <c r="I56" s="391"/>
      <c r="J56" s="387"/>
      <c r="L56" s="146"/>
    </row>
    <row r="57" spans="1:12" s="166" customFormat="1" ht="12.85" customHeight="1">
      <c r="A57" s="1046"/>
      <c r="B57" s="348"/>
      <c r="C57" s="376"/>
      <c r="D57" s="171"/>
      <c r="E57" s="1117" t="s">
        <v>232</v>
      </c>
      <c r="F57" s="1121" t="s">
        <v>173</v>
      </c>
      <c r="G57" s="1121"/>
      <c r="H57" s="1121"/>
      <c r="I57" s="391"/>
      <c r="J57" s="387"/>
      <c r="L57" s="146"/>
    </row>
    <row r="58" spans="1:12" s="166" customFormat="1">
      <c r="A58" s="1046"/>
      <c r="B58" s="349"/>
      <c r="C58" s="376"/>
      <c r="D58" s="171"/>
      <c r="E58" s="1117" t="s">
        <v>232</v>
      </c>
      <c r="F58" s="1119"/>
      <c r="G58" s="1120"/>
      <c r="H58" s="1120"/>
      <c r="I58" s="391"/>
      <c r="J58" s="387"/>
      <c r="L58" s="146"/>
    </row>
    <row r="59" spans="1:12" s="166" customFormat="1" ht="12.85" customHeight="1">
      <c r="A59" s="1046"/>
      <c r="B59" s="348"/>
      <c r="C59" s="376"/>
      <c r="D59" s="171"/>
      <c r="E59" s="1160" t="s">
        <v>98</v>
      </c>
      <c r="F59" s="1122" t="s">
        <v>175</v>
      </c>
      <c r="G59" s="1156"/>
      <c r="H59" s="1156"/>
      <c r="I59" s="390"/>
      <c r="J59" s="387"/>
      <c r="L59" s="146"/>
    </row>
    <row r="60" spans="1:12" s="166" customFormat="1" ht="12.85" customHeight="1">
      <c r="A60" s="1046"/>
      <c r="B60" s="348"/>
      <c r="C60" s="376"/>
      <c r="D60" s="171"/>
      <c r="E60" s="1117" t="s">
        <v>232</v>
      </c>
      <c r="F60" s="1121" t="s">
        <v>116</v>
      </c>
      <c r="G60" s="1121"/>
      <c r="H60" s="1121"/>
      <c r="I60" s="394"/>
      <c r="J60" s="387"/>
      <c r="L60" s="146"/>
    </row>
    <row r="61" spans="1:12" s="166" customFormat="1" ht="12.85" customHeight="1">
      <c r="A61" s="1046"/>
      <c r="B61" s="348"/>
      <c r="C61" s="376"/>
      <c r="D61" s="171"/>
      <c r="E61" s="1117" t="s">
        <v>232</v>
      </c>
      <c r="F61" s="1121" t="s">
        <v>115</v>
      </c>
      <c r="G61" s="1121"/>
      <c r="H61" s="1121"/>
      <c r="I61" s="394"/>
      <c r="J61" s="387"/>
      <c r="L61" s="146"/>
    </row>
    <row r="62" spans="1:12" s="166" customFormat="1" ht="12.85" customHeight="1">
      <c r="A62" s="1046"/>
      <c r="B62" s="348"/>
      <c r="C62" s="376"/>
      <c r="D62" s="171"/>
      <c r="E62" s="1117" t="s">
        <v>232</v>
      </c>
      <c r="F62" s="1121" t="s">
        <v>114</v>
      </c>
      <c r="G62" s="1121"/>
      <c r="H62" s="1121"/>
      <c r="I62" s="394"/>
      <c r="J62" s="387"/>
      <c r="L62" s="146"/>
    </row>
    <row r="63" spans="1:12" s="166" customFormat="1" ht="12.85" customHeight="1">
      <c r="A63" s="1046"/>
      <c r="B63" s="348"/>
      <c r="C63" s="376"/>
      <c r="D63" s="171"/>
      <c r="E63" s="1117" t="s">
        <v>232</v>
      </c>
      <c r="F63" s="1121" t="s">
        <v>113</v>
      </c>
      <c r="G63" s="1121"/>
      <c r="H63" s="1121"/>
      <c r="I63" s="394"/>
      <c r="J63" s="387"/>
      <c r="L63" s="146"/>
    </row>
    <row r="64" spans="1:12" s="166" customFormat="1" ht="12.85" customHeight="1">
      <c r="A64" s="1046"/>
      <c r="B64" s="348"/>
      <c r="C64" s="376"/>
      <c r="D64" s="171"/>
      <c r="E64" s="1117" t="s">
        <v>232</v>
      </c>
      <c r="F64" s="1121" t="s">
        <v>112</v>
      </c>
      <c r="G64" s="1121"/>
      <c r="H64" s="1121"/>
      <c r="I64" s="394"/>
      <c r="J64" s="387"/>
      <c r="L64" s="146"/>
    </row>
    <row r="65" spans="1:12" s="166" customFormat="1" ht="12.85" customHeight="1">
      <c r="A65" s="1046"/>
      <c r="B65" s="348"/>
      <c r="C65" s="376"/>
      <c r="D65" s="171"/>
      <c r="E65" s="1117" t="s">
        <v>232</v>
      </c>
      <c r="F65" s="1121" t="s">
        <v>111</v>
      </c>
      <c r="G65" s="1121"/>
      <c r="H65" s="1121"/>
      <c r="I65" s="394"/>
      <c r="J65" s="387"/>
      <c r="L65" s="146"/>
    </row>
    <row r="66" spans="1:12" s="166" customFormat="1">
      <c r="A66" s="1046"/>
      <c r="B66" s="349"/>
      <c r="C66" s="376"/>
      <c r="D66" s="171"/>
      <c r="E66" s="1117" t="s">
        <v>232</v>
      </c>
      <c r="F66" s="1119"/>
      <c r="G66" s="1120"/>
      <c r="H66" s="1120"/>
      <c r="I66" s="394"/>
      <c r="J66" s="387"/>
      <c r="L66" s="146"/>
    </row>
    <row r="67" spans="1:12" s="166" customFormat="1" ht="12.85" customHeight="1">
      <c r="A67" s="1046"/>
      <c r="B67" s="348"/>
      <c r="C67" s="376"/>
      <c r="D67" s="171"/>
      <c r="E67" s="1160" t="s">
        <v>98</v>
      </c>
      <c r="F67" s="1122" t="s">
        <v>174</v>
      </c>
      <c r="G67" s="1122"/>
      <c r="H67" s="1122"/>
      <c r="I67" s="394"/>
      <c r="J67" s="387"/>
      <c r="L67" s="146"/>
    </row>
    <row r="68" spans="1:12" s="166" customFormat="1" ht="12.85" customHeight="1">
      <c r="A68" s="1046"/>
      <c r="B68" s="348"/>
      <c r="C68" s="376"/>
      <c r="D68" s="171"/>
      <c r="E68" s="1117" t="s">
        <v>232</v>
      </c>
      <c r="F68" s="1121" t="s">
        <v>110</v>
      </c>
      <c r="G68" s="1121"/>
      <c r="H68" s="1121"/>
      <c r="I68" s="394"/>
      <c r="J68" s="387"/>
      <c r="L68" s="146"/>
    </row>
    <row r="69" spans="1:12" s="166" customFormat="1" ht="12.85" customHeight="1">
      <c r="A69" s="1046"/>
      <c r="B69" s="348"/>
      <c r="C69" s="376"/>
      <c r="D69" s="171"/>
      <c r="E69" s="1117" t="s">
        <v>232</v>
      </c>
      <c r="F69" s="1121" t="s">
        <v>109</v>
      </c>
      <c r="G69" s="1121"/>
      <c r="H69" s="1121"/>
      <c r="I69" s="394"/>
      <c r="J69" s="387"/>
      <c r="L69" s="146"/>
    </row>
    <row r="70" spans="1:12" s="166" customFormat="1" ht="12.85" customHeight="1">
      <c r="A70" s="1046"/>
      <c r="B70" s="348"/>
      <c r="C70" s="376"/>
      <c r="D70" s="171"/>
      <c r="E70" s="1117" t="s">
        <v>232</v>
      </c>
      <c r="F70" s="1121" t="s">
        <v>108</v>
      </c>
      <c r="G70" s="1121"/>
      <c r="H70" s="1121"/>
      <c r="I70" s="394"/>
      <c r="J70" s="387"/>
      <c r="L70" s="146"/>
    </row>
    <row r="71" spans="1:12" s="166" customFormat="1" ht="12.85" customHeight="1">
      <c r="A71" s="1046"/>
      <c r="B71" s="348"/>
      <c r="C71" s="376"/>
      <c r="D71" s="171"/>
      <c r="E71" s="1117" t="s">
        <v>232</v>
      </c>
      <c r="F71" s="1121" t="s">
        <v>107</v>
      </c>
      <c r="G71" s="1121"/>
      <c r="H71" s="1121"/>
      <c r="I71" s="394"/>
      <c r="J71" s="387"/>
      <c r="L71" s="146"/>
    </row>
    <row r="72" spans="1:12" s="166" customFormat="1" ht="12.85" customHeight="1">
      <c r="A72" s="1046"/>
      <c r="B72" s="348"/>
      <c r="C72" s="376"/>
      <c r="D72" s="171"/>
      <c r="E72" s="1117" t="s">
        <v>232</v>
      </c>
      <c r="F72" s="1121" t="s">
        <v>106</v>
      </c>
      <c r="G72" s="1121"/>
      <c r="H72" s="1121"/>
      <c r="I72" s="394"/>
      <c r="J72" s="387"/>
      <c r="L72" s="146"/>
    </row>
    <row r="73" spans="1:12" s="166" customFormat="1" ht="12.85" customHeight="1">
      <c r="A73" s="1046"/>
      <c r="B73" s="348"/>
      <c r="C73" s="376"/>
      <c r="D73" s="171"/>
      <c r="E73" s="1117" t="s">
        <v>232</v>
      </c>
      <c r="F73" s="1121" t="s">
        <v>105</v>
      </c>
      <c r="G73" s="1121"/>
      <c r="H73" s="1121"/>
      <c r="I73" s="394"/>
      <c r="J73" s="387"/>
      <c r="L73" s="146"/>
    </row>
    <row r="74" spans="1:12" s="166" customFormat="1">
      <c r="A74" s="1046"/>
      <c r="B74" s="359"/>
      <c r="C74" s="376"/>
      <c r="D74" s="171"/>
      <c r="E74" s="1117" t="s">
        <v>232</v>
      </c>
      <c r="F74" s="1119"/>
      <c r="G74" s="1120"/>
      <c r="H74" s="1120"/>
      <c r="I74" s="394"/>
      <c r="J74" s="387"/>
      <c r="L74" s="146"/>
    </row>
    <row r="75" spans="1:12" s="166" customFormat="1" ht="17.3" customHeight="1">
      <c r="A75" s="1046"/>
      <c r="B75" s="344"/>
      <c r="C75" s="379" t="s">
        <v>85</v>
      </c>
      <c r="D75" s="422"/>
      <c r="E75" s="1430" t="s">
        <v>351</v>
      </c>
      <c r="F75" s="1430"/>
      <c r="G75" s="1430"/>
      <c r="H75" s="1177"/>
      <c r="I75" s="1183">
        <v>0.5</v>
      </c>
      <c r="J75" s="388">
        <f>IF(L75,I75,0)</f>
        <v>0.5</v>
      </c>
      <c r="L75" s="146" t="b">
        <v>1</v>
      </c>
    </row>
    <row r="76" spans="1:12" s="166" customFormat="1" ht="15" customHeight="1">
      <c r="A76" s="1046"/>
      <c r="B76" s="343"/>
      <c r="C76" s="378"/>
      <c r="D76" s="373"/>
      <c r="E76" s="1429"/>
      <c r="F76" s="1429"/>
      <c r="G76" s="1429"/>
      <c r="H76" s="346"/>
      <c r="I76" s="390"/>
      <c r="J76" s="386"/>
      <c r="L76" s="146"/>
    </row>
    <row r="77" spans="1:12" s="166" customFormat="1" ht="87.7" customHeight="1">
      <c r="A77" s="1046"/>
      <c r="B77" s="347"/>
      <c r="C77" s="378"/>
      <c r="D77" s="373"/>
      <c r="E77" s="1439" t="s">
        <v>984</v>
      </c>
      <c r="F77" s="1439"/>
      <c r="G77" s="1439"/>
      <c r="H77" s="1439"/>
      <c r="I77" s="395"/>
      <c r="J77" s="386"/>
      <c r="L77" s="146"/>
    </row>
    <row r="78" spans="1:12" s="166" customFormat="1" ht="17.3" customHeight="1">
      <c r="A78" s="1046"/>
      <c r="B78" s="344"/>
      <c r="C78" s="379" t="s">
        <v>84</v>
      </c>
      <c r="D78" s="422"/>
      <c r="E78" s="1450" t="s">
        <v>610</v>
      </c>
      <c r="F78" s="1450"/>
      <c r="G78" s="1450"/>
      <c r="H78" s="1179"/>
      <c r="I78" s="1180">
        <v>1</v>
      </c>
      <c r="J78" s="388">
        <f>IF(L78,I78,0)</f>
        <v>1</v>
      </c>
      <c r="L78" s="146" t="b">
        <v>1</v>
      </c>
    </row>
    <row r="79" spans="1:12" s="166" customFormat="1" ht="15" customHeight="1">
      <c r="A79" s="1046"/>
      <c r="B79" s="343"/>
      <c r="C79" s="378"/>
      <c r="D79" s="373"/>
      <c r="E79" s="1429" t="s">
        <v>611</v>
      </c>
      <c r="F79" s="1429"/>
      <c r="G79" s="1429"/>
      <c r="H79" s="346"/>
      <c r="I79" s="390"/>
      <c r="J79" s="386"/>
      <c r="L79" s="146"/>
    </row>
    <row r="80" spans="1:12" s="166" customFormat="1" ht="25.5" customHeight="1">
      <c r="A80" s="1046"/>
      <c r="B80" s="350"/>
      <c r="C80" s="378"/>
      <c r="D80" s="373"/>
      <c r="E80" s="1447" t="s">
        <v>352</v>
      </c>
      <c r="F80" s="1447"/>
      <c r="G80" s="1447"/>
      <c r="H80" s="1448"/>
      <c r="I80" s="390"/>
      <c r="J80" s="386"/>
      <c r="L80" s="146"/>
    </row>
    <row r="81" spans="1:12" s="166" customFormat="1" ht="17.3" customHeight="1">
      <c r="A81" s="1046"/>
      <c r="B81" s="344"/>
      <c r="C81" s="379" t="s">
        <v>93</v>
      </c>
      <c r="D81" s="422"/>
      <c r="E81" s="1443" t="s">
        <v>612</v>
      </c>
      <c r="F81" s="1443"/>
      <c r="G81" s="1443"/>
      <c r="H81" s="1181"/>
      <c r="I81" s="1180">
        <v>1</v>
      </c>
      <c r="J81" s="388">
        <f>IF(L81,I81,0)</f>
        <v>1</v>
      </c>
      <c r="L81" s="146" t="b">
        <v>1</v>
      </c>
    </row>
    <row r="82" spans="1:12" s="166" customFormat="1" ht="29.95" customHeight="1">
      <c r="A82" s="1046"/>
      <c r="B82" s="343"/>
      <c r="C82" s="378"/>
      <c r="D82" s="373"/>
      <c r="E82" s="1409" t="s">
        <v>613</v>
      </c>
      <c r="F82" s="1409"/>
      <c r="G82" s="1409"/>
      <c r="H82" s="346"/>
      <c r="I82" s="390"/>
      <c r="J82" s="386"/>
      <c r="L82" s="146"/>
    </row>
    <row r="83" spans="1:12" s="166" customFormat="1" ht="15.7" customHeight="1">
      <c r="A83" s="1046"/>
      <c r="B83" s="350"/>
      <c r="C83" s="378"/>
      <c r="D83" s="373"/>
      <c r="E83" s="1461" t="s">
        <v>176</v>
      </c>
      <c r="F83" s="1461"/>
      <c r="G83" s="1461"/>
      <c r="H83" s="1462"/>
      <c r="I83" s="390"/>
      <c r="J83" s="386"/>
      <c r="L83" s="146"/>
    </row>
    <row r="84" spans="1:12" s="166" customFormat="1" ht="17.3" customHeight="1">
      <c r="A84" s="1046"/>
      <c r="B84" s="344"/>
      <c r="C84" s="379" t="s">
        <v>92</v>
      </c>
      <c r="D84" s="422"/>
      <c r="E84" s="1443" t="s">
        <v>614</v>
      </c>
      <c r="F84" s="1443"/>
      <c r="G84" s="1443"/>
      <c r="H84" s="1181"/>
      <c r="I84" s="1180">
        <v>8</v>
      </c>
      <c r="J84" s="388">
        <f t="shared" ref="J84" si="2">IF(L84,I84,0)</f>
        <v>8</v>
      </c>
      <c r="L84" s="146" t="b">
        <v>1</v>
      </c>
    </row>
    <row r="85" spans="1:12" s="166" customFormat="1" ht="45.1" customHeight="1">
      <c r="A85" s="1046"/>
      <c r="B85" s="343"/>
      <c r="C85" s="378"/>
      <c r="D85" s="373"/>
      <c r="E85" s="1409" t="s">
        <v>615</v>
      </c>
      <c r="F85" s="1409"/>
      <c r="G85" s="1409"/>
      <c r="H85" s="346"/>
      <c r="I85" s="390"/>
      <c r="J85" s="386"/>
      <c r="L85" s="146"/>
    </row>
    <row r="86" spans="1:12" s="166" customFormat="1" ht="25.5" customHeight="1">
      <c r="A86" s="1046"/>
      <c r="B86" s="348"/>
      <c r="C86" s="378"/>
      <c r="D86" s="373"/>
      <c r="E86" s="1438" t="s">
        <v>369</v>
      </c>
      <c r="F86" s="1438"/>
      <c r="G86" s="1162"/>
      <c r="H86" s="1162"/>
      <c r="I86" s="390"/>
      <c r="J86" s="386"/>
      <c r="L86" s="146"/>
    </row>
    <row r="87" spans="1:12" s="166" customFormat="1" ht="12.85" customHeight="1">
      <c r="A87" s="1046"/>
      <c r="B87" s="348"/>
      <c r="C87" s="378"/>
      <c r="D87" s="373"/>
      <c r="E87" s="1445" t="s">
        <v>682</v>
      </c>
      <c r="F87" s="1445"/>
      <c r="G87" s="1445"/>
      <c r="H87" s="1123"/>
      <c r="I87" s="390"/>
      <c r="J87" s="386"/>
      <c r="L87" s="146"/>
    </row>
    <row r="88" spans="1:12" s="166" customFormat="1">
      <c r="A88" s="1046"/>
      <c r="B88" s="349"/>
      <c r="C88" s="378"/>
      <c r="D88" s="373"/>
      <c r="E88" s="1124"/>
      <c r="F88" s="1119"/>
      <c r="G88" s="1120"/>
      <c r="H88" s="1120"/>
      <c r="I88" s="390"/>
      <c r="J88" s="386"/>
      <c r="L88" s="146"/>
    </row>
    <row r="89" spans="1:12" s="166" customFormat="1" ht="50.25" customHeight="1">
      <c r="A89" s="1046"/>
      <c r="B89" s="348"/>
      <c r="C89" s="378"/>
      <c r="D89" s="373"/>
      <c r="E89" s="1410" t="s">
        <v>353</v>
      </c>
      <c r="F89" s="1410"/>
      <c r="G89" s="1410"/>
      <c r="H89" s="1410"/>
      <c r="I89" s="390"/>
      <c r="J89" s="386"/>
      <c r="L89" s="146"/>
    </row>
    <row r="90" spans="1:12" s="166" customFormat="1">
      <c r="A90" s="1046"/>
      <c r="B90" s="348"/>
      <c r="C90" s="378"/>
      <c r="D90" s="373"/>
      <c r="E90" s="1442" t="s">
        <v>354</v>
      </c>
      <c r="F90" s="1442"/>
      <c r="G90" s="1442"/>
      <c r="H90" s="80"/>
      <c r="I90" s="390"/>
      <c r="J90" s="386"/>
      <c r="L90" s="146"/>
    </row>
    <row r="91" spans="1:12" s="166" customFormat="1" ht="12.85" customHeight="1">
      <c r="A91" s="1046"/>
      <c r="B91" s="348"/>
      <c r="C91" s="378"/>
      <c r="D91" s="373"/>
      <c r="E91" s="1411" t="s">
        <v>177</v>
      </c>
      <c r="F91" s="1411"/>
      <c r="G91" s="80"/>
      <c r="H91" s="80"/>
      <c r="I91" s="390"/>
      <c r="J91" s="386"/>
      <c r="L91" s="146"/>
    </row>
    <row r="92" spans="1:12" s="148" customFormat="1" ht="60.05" customHeight="1">
      <c r="A92" s="1050"/>
      <c r="B92" s="348"/>
      <c r="C92" s="378"/>
      <c r="D92" s="373"/>
      <c r="E92" s="1404" t="s">
        <v>355</v>
      </c>
      <c r="F92" s="1404"/>
      <c r="G92" s="1404"/>
      <c r="H92" s="477"/>
      <c r="I92" s="390"/>
      <c r="J92" s="386"/>
      <c r="L92" s="146"/>
    </row>
    <row r="93" spans="1:12" s="166" customFormat="1" ht="51" customHeight="1">
      <c r="A93" s="1046"/>
      <c r="B93" s="350"/>
      <c r="C93" s="378"/>
      <c r="D93" s="373"/>
      <c r="E93" s="1410" t="s">
        <v>683</v>
      </c>
      <c r="F93" s="1410"/>
      <c r="G93" s="1410"/>
      <c r="H93" s="1410"/>
      <c r="I93" s="390"/>
      <c r="J93" s="386"/>
      <c r="L93" s="146"/>
    </row>
    <row r="94" spans="1:12" s="166" customFormat="1" ht="17.3" customHeight="1">
      <c r="A94" s="1046"/>
      <c r="B94" s="344"/>
      <c r="C94" s="379" t="s">
        <v>91</v>
      </c>
      <c r="D94" s="422"/>
      <c r="E94" s="1413" t="s">
        <v>616</v>
      </c>
      <c r="F94" s="1413"/>
      <c r="G94" s="1413"/>
      <c r="H94" s="1175"/>
      <c r="I94" s="1180">
        <v>1</v>
      </c>
      <c r="J94" s="388">
        <f t="shared" ref="J94:J110" si="3">IF(L94,I94,0)</f>
        <v>1</v>
      </c>
      <c r="L94" s="146" t="b">
        <v>1</v>
      </c>
    </row>
    <row r="95" spans="1:12" s="166" customFormat="1" ht="16.600000000000001" customHeight="1">
      <c r="A95" s="1046"/>
      <c r="B95" s="343"/>
      <c r="C95" s="378"/>
      <c r="D95" s="373"/>
      <c r="E95" s="1429" t="s">
        <v>617</v>
      </c>
      <c r="F95" s="1429"/>
      <c r="G95" s="1429"/>
      <c r="H95" s="346"/>
      <c r="I95" s="390"/>
      <c r="J95" s="386"/>
      <c r="L95" s="146"/>
    </row>
    <row r="96" spans="1:12" s="166" customFormat="1" ht="38.299999999999997" customHeight="1">
      <c r="A96" s="1046"/>
      <c r="B96" s="350"/>
      <c r="C96" s="378"/>
      <c r="D96" s="373"/>
      <c r="E96" s="1410" t="s">
        <v>356</v>
      </c>
      <c r="F96" s="1410"/>
      <c r="G96" s="1410"/>
      <c r="H96" s="1410"/>
      <c r="I96" s="390"/>
      <c r="J96" s="386"/>
      <c r="L96" s="146"/>
    </row>
    <row r="97" spans="1:12" s="166" customFormat="1" ht="17.3" customHeight="1">
      <c r="A97" s="1046"/>
      <c r="B97" s="344"/>
      <c r="C97" s="379" t="s">
        <v>90</v>
      </c>
      <c r="D97" s="422"/>
      <c r="E97" s="1443" t="s">
        <v>618</v>
      </c>
      <c r="F97" s="1443"/>
      <c r="G97" s="1443"/>
      <c r="H97" s="1181"/>
      <c r="I97" s="1180">
        <v>1</v>
      </c>
      <c r="J97" s="388">
        <f t="shared" si="3"/>
        <v>1</v>
      </c>
      <c r="L97" s="146" t="b">
        <v>1</v>
      </c>
    </row>
    <row r="98" spans="1:12" s="166" customFormat="1" ht="29.95" customHeight="1">
      <c r="A98" s="1046"/>
      <c r="B98" s="343"/>
      <c r="C98" s="378"/>
      <c r="D98" s="425"/>
      <c r="E98" s="1409" t="s">
        <v>619</v>
      </c>
      <c r="F98" s="1409"/>
      <c r="G98" s="1409"/>
      <c r="H98" s="404"/>
      <c r="I98" s="390"/>
      <c r="J98" s="386"/>
      <c r="L98" s="146"/>
    </row>
    <row r="99" spans="1:12" s="166" customFormat="1" ht="56.3" customHeight="1">
      <c r="A99" s="1046"/>
      <c r="B99" s="350"/>
      <c r="C99" s="378"/>
      <c r="D99" s="373"/>
      <c r="E99" s="1410" t="s">
        <v>1213</v>
      </c>
      <c r="F99" s="1410"/>
      <c r="G99" s="1410"/>
      <c r="H99" s="1410"/>
      <c r="I99" s="390"/>
      <c r="J99" s="386"/>
      <c r="L99" s="146"/>
    </row>
    <row r="100" spans="1:12" s="166" customFormat="1" ht="17.3" customHeight="1">
      <c r="A100" s="1046"/>
      <c r="B100" s="344"/>
      <c r="C100" s="379" t="s">
        <v>89</v>
      </c>
      <c r="D100" s="422"/>
      <c r="E100" s="1443" t="s">
        <v>624</v>
      </c>
      <c r="F100" s="1443"/>
      <c r="G100" s="1443"/>
      <c r="H100" s="1175"/>
      <c r="I100" s="1180">
        <v>1</v>
      </c>
      <c r="J100" s="388">
        <f t="shared" si="3"/>
        <v>1</v>
      </c>
      <c r="L100" s="146" t="b">
        <v>1</v>
      </c>
    </row>
    <row r="101" spans="1:12" s="166" customFormat="1" ht="15" customHeight="1">
      <c r="A101" s="1046"/>
      <c r="B101" s="343"/>
      <c r="C101" s="378"/>
      <c r="D101" s="373"/>
      <c r="E101" s="1429" t="s">
        <v>620</v>
      </c>
      <c r="F101" s="1429"/>
      <c r="G101" s="1429"/>
      <c r="H101" s="346"/>
      <c r="I101" s="390"/>
      <c r="J101" s="386"/>
      <c r="L101" s="146"/>
    </row>
    <row r="102" spans="1:12" s="166" customFormat="1" ht="25.5" customHeight="1">
      <c r="A102" s="1046"/>
      <c r="B102" s="350"/>
      <c r="C102" s="378"/>
      <c r="D102" s="373"/>
      <c r="E102" s="1410" t="s">
        <v>681</v>
      </c>
      <c r="F102" s="1410"/>
      <c r="G102" s="1410"/>
      <c r="H102" s="1410"/>
      <c r="I102" s="390"/>
      <c r="J102" s="386"/>
      <c r="L102" s="146"/>
    </row>
    <row r="103" spans="1:12" s="166" customFormat="1" ht="17.3" customHeight="1">
      <c r="A103" s="1046"/>
      <c r="B103" s="344"/>
      <c r="C103" s="379" t="s">
        <v>88</v>
      </c>
      <c r="D103" s="422"/>
      <c r="E103" s="1414" t="s">
        <v>307</v>
      </c>
      <c r="F103" s="1414"/>
      <c r="G103" s="1414"/>
      <c r="H103" s="1175"/>
      <c r="I103" s="1180">
        <v>2</v>
      </c>
      <c r="J103" s="388">
        <f t="shared" si="3"/>
        <v>2</v>
      </c>
      <c r="L103" s="146" t="b">
        <v>1</v>
      </c>
    </row>
    <row r="104" spans="1:12" s="166" customFormat="1" ht="48.85" customHeight="1">
      <c r="A104" s="1046"/>
      <c r="B104" s="350"/>
      <c r="C104" s="378"/>
      <c r="D104" s="373"/>
      <c r="E104" s="1410" t="s">
        <v>178</v>
      </c>
      <c r="F104" s="1410"/>
      <c r="G104" s="1410"/>
      <c r="H104" s="1410"/>
      <c r="I104" s="390"/>
      <c r="J104" s="386"/>
      <c r="L104" s="146"/>
    </row>
    <row r="105" spans="1:12" s="166" customFormat="1" ht="17.3" customHeight="1">
      <c r="A105" s="1046"/>
      <c r="B105" s="344"/>
      <c r="C105" s="379" t="s">
        <v>87</v>
      </c>
      <c r="D105" s="422"/>
      <c r="E105" s="1443" t="s">
        <v>621</v>
      </c>
      <c r="F105" s="1443"/>
      <c r="G105" s="1443"/>
      <c r="H105" s="1184"/>
      <c r="I105" s="1180">
        <v>1</v>
      </c>
      <c r="J105" s="388">
        <f t="shared" si="3"/>
        <v>0</v>
      </c>
      <c r="L105" s="146" t="b">
        <v>0</v>
      </c>
    </row>
    <row r="106" spans="1:12" s="166" customFormat="1" ht="16.600000000000001" customHeight="1">
      <c r="A106" s="1046"/>
      <c r="B106" s="343"/>
      <c r="C106" s="378"/>
      <c r="D106" s="373"/>
      <c r="E106" s="1444" t="s">
        <v>622</v>
      </c>
      <c r="F106" s="1444"/>
      <c r="G106" s="1444"/>
      <c r="H106" s="1161"/>
      <c r="I106" s="390"/>
      <c r="J106" s="386"/>
      <c r="L106" s="146"/>
    </row>
    <row r="107" spans="1:12" s="166" customFormat="1" ht="17.3" customHeight="1">
      <c r="A107" s="1046"/>
      <c r="B107" s="344"/>
      <c r="C107" s="379" t="s">
        <v>104</v>
      </c>
      <c r="D107" s="422"/>
      <c r="E107" s="1185" t="s">
        <v>308</v>
      </c>
      <c r="F107" s="1174"/>
      <c r="G107" s="1174"/>
      <c r="H107" s="1175"/>
      <c r="I107" s="1180">
        <v>2</v>
      </c>
      <c r="J107" s="388">
        <f t="shared" si="3"/>
        <v>2</v>
      </c>
      <c r="L107" s="146" t="b">
        <v>1</v>
      </c>
    </row>
    <row r="108" spans="1:12" s="166" customFormat="1" ht="15" customHeight="1">
      <c r="A108" s="1046"/>
      <c r="B108" s="343"/>
      <c r="C108" s="378"/>
      <c r="D108" s="373"/>
      <c r="E108" s="1429"/>
      <c r="F108" s="1429"/>
      <c r="G108" s="1429"/>
      <c r="H108" s="346"/>
      <c r="I108" s="390"/>
      <c r="J108" s="386"/>
      <c r="L108" s="146"/>
    </row>
    <row r="109" spans="1:12" s="166" customFormat="1" ht="38.299999999999997" customHeight="1">
      <c r="A109" s="1046"/>
      <c r="B109" s="350"/>
      <c r="C109" s="378"/>
      <c r="D109" s="373"/>
      <c r="E109" s="1453" t="s">
        <v>179</v>
      </c>
      <c r="F109" s="1453"/>
      <c r="G109" s="1453"/>
      <c r="H109" s="1454"/>
      <c r="I109" s="390"/>
      <c r="J109" s="386"/>
      <c r="L109" s="146"/>
    </row>
    <row r="110" spans="1:12" s="166" customFormat="1" ht="17.3" customHeight="1">
      <c r="A110" s="1046"/>
      <c r="B110" s="344"/>
      <c r="C110" s="379" t="s">
        <v>103</v>
      </c>
      <c r="D110" s="422"/>
      <c r="E110" s="1414" t="s">
        <v>180</v>
      </c>
      <c r="F110" s="1414"/>
      <c r="G110" s="1414"/>
      <c r="H110" s="1175"/>
      <c r="I110" s="1180">
        <v>1</v>
      </c>
      <c r="J110" s="388">
        <f t="shared" si="3"/>
        <v>1</v>
      </c>
      <c r="L110" s="146" t="b">
        <v>1</v>
      </c>
    </row>
    <row r="111" spans="1:12" s="166" customFormat="1" ht="15" customHeight="1">
      <c r="A111" s="1046"/>
      <c r="B111" s="343"/>
      <c r="C111" s="378"/>
      <c r="D111" s="373"/>
      <c r="E111" s="1429"/>
      <c r="F111" s="1429"/>
      <c r="G111" s="1429"/>
      <c r="H111" s="346"/>
      <c r="I111" s="390"/>
      <c r="J111" s="386"/>
      <c r="L111" s="146"/>
    </row>
    <row r="112" spans="1:12" s="166" customFormat="1" ht="78.05" customHeight="1">
      <c r="A112" s="1046"/>
      <c r="B112" s="350"/>
      <c r="C112" s="378"/>
      <c r="D112" s="373"/>
      <c r="E112" s="1410" t="s">
        <v>379</v>
      </c>
      <c r="F112" s="1410"/>
      <c r="G112" s="1410"/>
      <c r="H112" s="1410"/>
      <c r="I112" s="390"/>
      <c r="J112" s="386"/>
      <c r="L112" s="146"/>
    </row>
    <row r="113" spans="1:12" s="166" customFormat="1" ht="17.3" customHeight="1">
      <c r="A113" s="1046"/>
      <c r="B113" s="174"/>
      <c r="C113" s="1186"/>
      <c r="D113" s="422"/>
      <c r="E113" s="1187" t="s">
        <v>623</v>
      </c>
      <c r="F113" s="1175"/>
      <c r="G113" s="1175"/>
      <c r="H113" s="1175"/>
      <c r="I113" s="1188"/>
      <c r="J113" s="388">
        <f>IF(L113,IF(AND($L$13,$M$13),I113+2,I113),0)</f>
        <v>0</v>
      </c>
      <c r="L113" s="586" t="b">
        <f>IF(AND($L$13,$M$13),L13,FALSE)</f>
        <v>0</v>
      </c>
    </row>
    <row r="114" spans="1:12" s="166" customFormat="1" ht="16.600000000000001" customHeight="1" thickBot="1">
      <c r="A114" s="1046"/>
      <c r="B114" s="343"/>
      <c r="C114" s="378"/>
      <c r="D114" s="373"/>
      <c r="E114" s="1436" t="s">
        <v>929</v>
      </c>
      <c r="F114" s="1437"/>
      <c r="G114" s="1161"/>
      <c r="H114" s="1161"/>
      <c r="I114" s="393"/>
      <c r="J114" s="386"/>
      <c r="L114" s="146"/>
    </row>
    <row r="115" spans="1:12" s="166" customFormat="1" ht="22.5" customHeight="1" thickBot="1">
      <c r="A115" s="1046"/>
      <c r="B115" s="353"/>
      <c r="C115" s="364"/>
      <c r="D115" s="364"/>
      <c r="E115" s="354"/>
      <c r="F115" s="355"/>
      <c r="G115" s="355"/>
      <c r="H115" s="356" t="s">
        <v>945</v>
      </c>
      <c r="I115" s="357">
        <f>IF($M$3,SUM(I45:I113),0)</f>
        <v>20</v>
      </c>
      <c r="J115" s="358">
        <f>IF($M$3,SUMIF(L45:L113,TRUE,J45:J113),0)</f>
        <v>19</v>
      </c>
      <c r="L115" s="146"/>
    </row>
    <row r="116" spans="1:12" s="166" customFormat="1" ht="7.5" customHeight="1">
      <c r="A116" s="1046"/>
      <c r="B116" s="372"/>
      <c r="C116" s="380"/>
      <c r="D116" s="380"/>
      <c r="E116" s="381"/>
      <c r="F116" s="81"/>
      <c r="G116" s="81"/>
      <c r="H116" s="382"/>
      <c r="I116" s="383"/>
      <c r="J116" s="367"/>
      <c r="L116" s="146"/>
    </row>
    <row r="117" spans="1:12" s="166" customFormat="1" ht="22.5" customHeight="1">
      <c r="A117" s="1046"/>
      <c r="B117" s="42" t="s">
        <v>121</v>
      </c>
      <c r="C117" s="43"/>
      <c r="D117" s="44"/>
      <c r="E117" s="43"/>
      <c r="F117" s="43"/>
      <c r="G117" s="77"/>
      <c r="H117" s="77"/>
      <c r="I117" s="397"/>
      <c r="J117" s="398"/>
      <c r="L117" s="146"/>
    </row>
    <row r="118" spans="1:12" s="166" customFormat="1" ht="17.3" customHeight="1">
      <c r="A118" s="1046"/>
      <c r="B118" s="344"/>
      <c r="C118" s="374" t="s">
        <v>86</v>
      </c>
      <c r="D118" s="1189"/>
      <c r="E118" s="1408" t="s">
        <v>625</v>
      </c>
      <c r="F118" s="1408"/>
      <c r="G118" s="1408"/>
      <c r="H118" s="1190"/>
      <c r="I118" s="1182">
        <v>10</v>
      </c>
      <c r="J118" s="1173">
        <f t="shared" ref="J118" si="4">IF(L118,I118,0)</f>
        <v>10</v>
      </c>
      <c r="L118" s="146" t="b">
        <v>1</v>
      </c>
    </row>
    <row r="119" spans="1:12" s="166" customFormat="1" ht="70" customHeight="1">
      <c r="A119" s="1046"/>
      <c r="B119" s="343"/>
      <c r="C119" s="378"/>
      <c r="D119" s="373"/>
      <c r="E119" s="1409" t="s">
        <v>626</v>
      </c>
      <c r="F119" s="1409"/>
      <c r="G119" s="1409"/>
      <c r="H119" s="1161"/>
      <c r="I119" s="390"/>
      <c r="J119" s="386"/>
      <c r="L119" s="146"/>
    </row>
    <row r="120" spans="1:12" s="166" customFormat="1" ht="25.5" customHeight="1">
      <c r="A120" s="1046"/>
      <c r="B120" s="348"/>
      <c r="C120" s="378"/>
      <c r="D120" s="373"/>
      <c r="E120" s="1410" t="s">
        <v>181</v>
      </c>
      <c r="F120" s="1410"/>
      <c r="G120" s="1410"/>
      <c r="H120" s="1410"/>
      <c r="I120" s="390"/>
      <c r="J120" s="386"/>
      <c r="L120" s="146"/>
    </row>
    <row r="121" spans="1:12" s="166" customFormat="1" ht="12.85" customHeight="1">
      <c r="A121" s="1046"/>
      <c r="B121" s="348"/>
      <c r="C121" s="378"/>
      <c r="D121" s="373"/>
      <c r="E121" s="1160" t="s">
        <v>98</v>
      </c>
      <c r="F121" s="1122" t="s">
        <v>182</v>
      </c>
      <c r="G121" s="1163"/>
      <c r="H121" s="1163"/>
      <c r="I121" s="390"/>
      <c r="J121" s="386"/>
      <c r="L121" s="146"/>
    </row>
    <row r="122" spans="1:12" s="166" customFormat="1" ht="25.5" customHeight="1">
      <c r="A122" s="1046"/>
      <c r="B122" s="348"/>
      <c r="C122" s="378"/>
      <c r="D122" s="373"/>
      <c r="E122" s="1160" t="s">
        <v>98</v>
      </c>
      <c r="F122" s="1402" t="s">
        <v>246</v>
      </c>
      <c r="G122" s="1402"/>
      <c r="H122" s="1403"/>
      <c r="I122" s="390"/>
      <c r="J122" s="386"/>
      <c r="L122" s="146"/>
    </row>
    <row r="123" spans="1:12" s="166" customFormat="1">
      <c r="A123" s="1046"/>
      <c r="B123" s="349"/>
      <c r="C123" s="378"/>
      <c r="D123" s="373"/>
      <c r="E123" s="1124"/>
      <c r="F123" s="1119"/>
      <c r="G123" s="1120"/>
      <c r="H123" s="1120"/>
      <c r="I123" s="390"/>
      <c r="J123" s="386"/>
      <c r="L123" s="146"/>
    </row>
    <row r="124" spans="1:12" s="166" customFormat="1" ht="25.5" customHeight="1">
      <c r="A124" s="1046"/>
      <c r="B124" s="348"/>
      <c r="C124" s="378"/>
      <c r="D124" s="373"/>
      <c r="E124" s="1160" t="s">
        <v>98</v>
      </c>
      <c r="F124" s="1402" t="s">
        <v>380</v>
      </c>
      <c r="G124" s="1402"/>
      <c r="H124" s="1402"/>
      <c r="I124" s="1053"/>
      <c r="J124" s="386"/>
      <c r="L124" s="146"/>
    </row>
    <row r="125" spans="1:12" s="166" customFormat="1">
      <c r="A125" s="1046"/>
      <c r="B125" s="349"/>
      <c r="C125" s="378"/>
      <c r="D125" s="373"/>
      <c r="E125" s="1124"/>
      <c r="F125" s="1119"/>
      <c r="G125" s="1120"/>
      <c r="H125" s="1120"/>
      <c r="I125" s="390"/>
      <c r="J125" s="386"/>
      <c r="L125" s="146"/>
    </row>
    <row r="126" spans="1:12" s="166" customFormat="1" ht="12.85" customHeight="1">
      <c r="A126" s="1046"/>
      <c r="B126" s="348"/>
      <c r="C126" s="378"/>
      <c r="D126" s="373"/>
      <c r="E126" s="1122"/>
      <c r="F126" s="1118" t="s">
        <v>183</v>
      </c>
      <c r="G126" s="1123"/>
      <c r="H126" s="1123"/>
      <c r="I126" s="390"/>
      <c r="J126" s="386"/>
      <c r="L126" s="146"/>
    </row>
    <row r="127" spans="1:12" s="166" customFormat="1" ht="12.85" customHeight="1">
      <c r="A127" s="1046"/>
      <c r="B127" s="348"/>
      <c r="C127" s="378"/>
      <c r="D127" s="373"/>
      <c r="E127" s="1160" t="s">
        <v>98</v>
      </c>
      <c r="F127" s="1121" t="s">
        <v>247</v>
      </c>
      <c r="G127" s="1154"/>
      <c r="H127" s="1154"/>
      <c r="I127" s="390"/>
      <c r="J127" s="386"/>
      <c r="L127" s="146"/>
    </row>
    <row r="128" spans="1:12" s="166" customFormat="1">
      <c r="A128" s="1046"/>
      <c r="B128" s="349"/>
      <c r="C128" s="378"/>
      <c r="D128" s="373"/>
      <c r="E128" s="1124"/>
      <c r="F128" s="1119"/>
      <c r="G128" s="1120"/>
      <c r="H128" s="1120"/>
      <c r="I128" s="390"/>
      <c r="J128" s="386"/>
      <c r="L128" s="146"/>
    </row>
    <row r="129" spans="1:12" s="166" customFormat="1" ht="12.85" customHeight="1">
      <c r="A129" s="1046"/>
      <c r="B129" s="348"/>
      <c r="C129" s="378"/>
      <c r="D129" s="373"/>
      <c r="E129" s="1122"/>
      <c r="F129" s="1118" t="s">
        <v>184</v>
      </c>
      <c r="G129" s="1123"/>
      <c r="H129" s="1123"/>
      <c r="I129" s="390"/>
      <c r="J129" s="386"/>
      <c r="L129" s="146"/>
    </row>
    <row r="130" spans="1:12" s="166" customFormat="1" ht="12.85" customHeight="1">
      <c r="A130" s="1046"/>
      <c r="B130" s="348"/>
      <c r="C130" s="378"/>
      <c r="D130" s="373"/>
      <c r="E130" s="1160" t="s">
        <v>98</v>
      </c>
      <c r="F130" s="1121" t="s">
        <v>248</v>
      </c>
      <c r="G130" s="1154"/>
      <c r="H130" s="1154"/>
      <c r="I130" s="390"/>
      <c r="J130" s="386"/>
      <c r="L130" s="146"/>
    </row>
    <row r="131" spans="1:12" s="166" customFormat="1">
      <c r="A131" s="1046"/>
      <c r="B131" s="349"/>
      <c r="C131" s="378"/>
      <c r="D131" s="373"/>
      <c r="E131" s="1124"/>
      <c r="F131" s="1119"/>
      <c r="G131" s="1120"/>
      <c r="H131" s="1120"/>
      <c r="I131" s="390"/>
      <c r="J131" s="386"/>
      <c r="L131" s="146"/>
    </row>
    <row r="132" spans="1:12" s="166" customFormat="1" ht="25.5" customHeight="1">
      <c r="A132" s="1046"/>
      <c r="B132" s="348"/>
      <c r="C132" s="378"/>
      <c r="D132" s="373"/>
      <c r="E132" s="1121"/>
      <c r="F132" s="1402" t="s">
        <v>357</v>
      </c>
      <c r="G132" s="1402"/>
      <c r="H132" s="1403"/>
      <c r="I132" s="390"/>
      <c r="J132" s="386"/>
      <c r="L132" s="146"/>
    </row>
    <row r="133" spans="1:12" s="166" customFormat="1" ht="12.85" customHeight="1">
      <c r="A133" s="1046"/>
      <c r="B133" s="350"/>
      <c r="C133" s="378"/>
      <c r="D133" s="373"/>
      <c r="E133" s="1455" t="s">
        <v>358</v>
      </c>
      <c r="F133" s="1455"/>
      <c r="G133" s="1455"/>
      <c r="H133" s="1456"/>
      <c r="I133" s="390"/>
      <c r="J133" s="386"/>
      <c r="L133" s="146"/>
    </row>
    <row r="134" spans="1:12" s="168" customFormat="1" ht="17.3" customHeight="1">
      <c r="A134" s="1051"/>
      <c r="B134" s="344"/>
      <c r="C134" s="379" t="s">
        <v>85</v>
      </c>
      <c r="D134" s="422"/>
      <c r="E134" s="1413" t="s">
        <v>630</v>
      </c>
      <c r="F134" s="1413"/>
      <c r="G134" s="1413"/>
      <c r="H134" s="1191"/>
      <c r="I134" s="1180">
        <v>2</v>
      </c>
      <c r="J134" s="388">
        <f t="shared" ref="J134:J145" si="5">IF(L134,I134,0)</f>
        <v>2</v>
      </c>
      <c r="L134" s="149" t="b">
        <v>1</v>
      </c>
    </row>
    <row r="135" spans="1:12" s="166" customFormat="1" ht="16.600000000000001" customHeight="1">
      <c r="A135" s="1046"/>
      <c r="B135" s="348"/>
      <c r="C135" s="378"/>
      <c r="D135" s="373"/>
      <c r="E135" s="1409" t="s">
        <v>631</v>
      </c>
      <c r="F135" s="1409"/>
      <c r="G135" s="1409"/>
      <c r="H135" s="1161"/>
      <c r="I135" s="390"/>
      <c r="J135" s="386"/>
      <c r="L135" s="146"/>
    </row>
    <row r="136" spans="1:12" s="166" customFormat="1" ht="25.5" customHeight="1">
      <c r="A136" s="1046"/>
      <c r="B136" s="348"/>
      <c r="C136" s="378"/>
      <c r="D136" s="373"/>
      <c r="E136" s="1410" t="s">
        <v>680</v>
      </c>
      <c r="F136" s="1410"/>
      <c r="G136" s="1410"/>
      <c r="H136" s="1410"/>
      <c r="I136" s="390"/>
      <c r="J136" s="386"/>
      <c r="L136" s="146"/>
    </row>
    <row r="137" spans="1:12" s="166" customFormat="1" ht="17.3" customHeight="1">
      <c r="A137" s="1046"/>
      <c r="B137" s="344"/>
      <c r="C137" s="379" t="s">
        <v>84</v>
      </c>
      <c r="D137" s="422"/>
      <c r="E137" s="1413" t="s">
        <v>632</v>
      </c>
      <c r="F137" s="1413"/>
      <c r="G137" s="1413"/>
      <c r="H137" s="1181"/>
      <c r="I137" s="1180">
        <v>1</v>
      </c>
      <c r="J137" s="388">
        <f t="shared" si="5"/>
        <v>1</v>
      </c>
      <c r="L137" s="146" t="b">
        <v>1</v>
      </c>
    </row>
    <row r="138" spans="1:12" s="166" customFormat="1" ht="15" customHeight="1">
      <c r="A138" s="1046"/>
      <c r="B138" s="343"/>
      <c r="C138" s="378"/>
      <c r="D138" s="373"/>
      <c r="E138" s="1409" t="s">
        <v>633</v>
      </c>
      <c r="F138" s="1409"/>
      <c r="G138" s="1409"/>
      <c r="H138" s="1161"/>
      <c r="I138" s="390"/>
      <c r="J138" s="386"/>
      <c r="L138" s="146"/>
    </row>
    <row r="139" spans="1:12" s="166" customFormat="1" ht="41.2" customHeight="1">
      <c r="A139" s="1046"/>
      <c r="B139" s="350"/>
      <c r="C139" s="378"/>
      <c r="D139" s="373"/>
      <c r="E139" s="1440" t="s">
        <v>185</v>
      </c>
      <c r="F139" s="1440"/>
      <c r="G139" s="154"/>
      <c r="H139" s="154"/>
      <c r="I139" s="390"/>
      <c r="J139" s="386"/>
      <c r="L139" s="146"/>
    </row>
    <row r="140" spans="1:12" s="166" customFormat="1" ht="16.45" customHeight="1">
      <c r="A140" s="1046"/>
      <c r="B140" s="344"/>
      <c r="C140" s="379" t="s">
        <v>93</v>
      </c>
      <c r="D140" s="422"/>
      <c r="E140" s="1413" t="s">
        <v>627</v>
      </c>
      <c r="F140" s="1413"/>
      <c r="G140" s="1413"/>
      <c r="H140" s="1181"/>
      <c r="I140" s="1180">
        <v>0.5</v>
      </c>
      <c r="J140" s="388">
        <f t="shared" si="5"/>
        <v>0</v>
      </c>
      <c r="L140" s="146" t="b">
        <v>0</v>
      </c>
    </row>
    <row r="141" spans="1:12" s="166" customFormat="1" ht="16.600000000000001" customHeight="1">
      <c r="A141" s="1046"/>
      <c r="B141" s="350"/>
      <c r="C141" s="378"/>
      <c r="D141" s="373"/>
      <c r="E141" s="1444" t="s">
        <v>628</v>
      </c>
      <c r="F141" s="1444"/>
      <c r="G141" s="1444"/>
      <c r="H141" s="1161"/>
      <c r="I141" s="390"/>
      <c r="J141" s="386"/>
      <c r="L141" s="146"/>
    </row>
    <row r="142" spans="1:12" s="166" customFormat="1" ht="17.3" customHeight="1">
      <c r="A142" s="1046"/>
      <c r="B142" s="344"/>
      <c r="C142" s="379" t="s">
        <v>92</v>
      </c>
      <c r="D142" s="422"/>
      <c r="E142" s="1413" t="s">
        <v>997</v>
      </c>
      <c r="F142" s="1413"/>
      <c r="G142" s="1413"/>
      <c r="H142" s="1181"/>
      <c r="I142" s="1180">
        <v>1.5</v>
      </c>
      <c r="J142" s="388">
        <f t="shared" si="5"/>
        <v>1.5</v>
      </c>
      <c r="L142" s="146" t="b">
        <v>1</v>
      </c>
    </row>
    <row r="143" spans="1:12" s="166" customFormat="1" ht="29.95" customHeight="1">
      <c r="A143" s="1046"/>
      <c r="B143" s="343"/>
      <c r="C143" s="378"/>
      <c r="D143" s="373"/>
      <c r="E143" s="1409" t="s">
        <v>998</v>
      </c>
      <c r="F143" s="1409"/>
      <c r="G143" s="1409"/>
      <c r="H143" s="1161"/>
      <c r="I143" s="390"/>
      <c r="J143" s="386"/>
      <c r="L143" s="146"/>
    </row>
    <row r="144" spans="1:12" s="166" customFormat="1" ht="77.2" customHeight="1">
      <c r="A144" s="1046"/>
      <c r="B144" s="348"/>
      <c r="C144" s="378"/>
      <c r="D144" s="373"/>
      <c r="E144" s="1410" t="s">
        <v>381</v>
      </c>
      <c r="F144" s="1410"/>
      <c r="G144" s="1410"/>
      <c r="H144" s="1410"/>
      <c r="I144" s="390"/>
      <c r="J144" s="386"/>
      <c r="L144" s="146"/>
    </row>
    <row r="145" spans="1:12" s="166" customFormat="1" ht="17.3" customHeight="1">
      <c r="A145" s="1046"/>
      <c r="B145" s="344"/>
      <c r="C145" s="379" t="s">
        <v>91</v>
      </c>
      <c r="D145" s="422"/>
      <c r="E145" s="1413" t="s">
        <v>634</v>
      </c>
      <c r="F145" s="1413"/>
      <c r="G145" s="1413"/>
      <c r="H145" s="1175"/>
      <c r="I145" s="1180">
        <v>1</v>
      </c>
      <c r="J145" s="388">
        <f t="shared" si="5"/>
        <v>1</v>
      </c>
      <c r="L145" s="146" t="b">
        <v>1</v>
      </c>
    </row>
    <row r="146" spans="1:12" s="166" customFormat="1" ht="15" customHeight="1">
      <c r="A146" s="1046"/>
      <c r="B146" s="343"/>
      <c r="C146" s="378"/>
      <c r="D146" s="373"/>
      <c r="E146" s="1409" t="s">
        <v>635</v>
      </c>
      <c r="F146" s="1409"/>
      <c r="G146" s="1409"/>
      <c r="H146" s="1161"/>
      <c r="I146" s="390"/>
      <c r="J146" s="386"/>
      <c r="L146" s="146"/>
    </row>
    <row r="147" spans="1:12" s="166" customFormat="1" ht="38.299999999999997" customHeight="1">
      <c r="A147" s="1046"/>
      <c r="B147" s="348"/>
      <c r="C147" s="378"/>
      <c r="D147" s="373"/>
      <c r="E147" s="1410" t="s">
        <v>192</v>
      </c>
      <c r="F147" s="1410"/>
      <c r="G147" s="1410"/>
      <c r="H147" s="1410"/>
      <c r="I147" s="390"/>
      <c r="J147" s="386"/>
      <c r="L147" s="146"/>
    </row>
    <row r="148" spans="1:12" s="166" customFormat="1" ht="12.85" customHeight="1">
      <c r="A148" s="1046"/>
      <c r="B148" s="348"/>
      <c r="C148" s="378"/>
      <c r="D148" s="373"/>
      <c r="E148" s="1160" t="s">
        <v>98</v>
      </c>
      <c r="F148" s="1160" t="s">
        <v>191</v>
      </c>
      <c r="G148" s="1154"/>
      <c r="H148" s="1154"/>
      <c r="I148" s="390"/>
      <c r="J148" s="386"/>
      <c r="L148" s="146"/>
    </row>
    <row r="149" spans="1:12" s="166" customFormat="1" ht="12.85" customHeight="1">
      <c r="A149" s="1046"/>
      <c r="B149" s="348"/>
      <c r="C149" s="378"/>
      <c r="D149" s="373"/>
      <c r="E149" s="1160" t="s">
        <v>98</v>
      </c>
      <c r="F149" s="1160" t="s">
        <v>190</v>
      </c>
      <c r="G149" s="1154"/>
      <c r="H149" s="1154"/>
      <c r="I149" s="390"/>
      <c r="J149" s="386"/>
      <c r="L149" s="146"/>
    </row>
    <row r="150" spans="1:12" s="166" customFormat="1" ht="12.85" customHeight="1">
      <c r="A150" s="1046"/>
      <c r="B150" s="348"/>
      <c r="C150" s="378"/>
      <c r="D150" s="373"/>
      <c r="E150" s="1160" t="s">
        <v>98</v>
      </c>
      <c r="F150" s="1160" t="s">
        <v>189</v>
      </c>
      <c r="G150" s="1154"/>
      <c r="H150" s="1154"/>
      <c r="I150" s="390"/>
      <c r="J150" s="386"/>
      <c r="L150" s="146"/>
    </row>
    <row r="151" spans="1:12" s="166" customFormat="1" ht="12.85" customHeight="1">
      <c r="A151" s="1046"/>
      <c r="B151" s="348"/>
      <c r="C151" s="378"/>
      <c r="D151" s="373"/>
      <c r="E151" s="1160" t="s">
        <v>98</v>
      </c>
      <c r="F151" s="1160" t="s">
        <v>188</v>
      </c>
      <c r="G151" s="1154"/>
      <c r="H151" s="1154"/>
      <c r="I151" s="390"/>
      <c r="J151" s="386"/>
      <c r="L151" s="146"/>
    </row>
    <row r="152" spans="1:12" s="166" customFormat="1" ht="12.85" customHeight="1">
      <c r="A152" s="1046"/>
      <c r="B152" s="348"/>
      <c r="C152" s="378"/>
      <c r="D152" s="373"/>
      <c r="E152" s="1160" t="s">
        <v>98</v>
      </c>
      <c r="F152" s="1160" t="s">
        <v>187</v>
      </c>
      <c r="G152" s="1154"/>
      <c r="H152" s="1154"/>
      <c r="I152" s="390"/>
      <c r="J152" s="386"/>
      <c r="L152" s="146"/>
    </row>
    <row r="153" spans="1:12" s="166" customFormat="1" ht="12.85" customHeight="1">
      <c r="A153" s="1046"/>
      <c r="B153" s="350"/>
      <c r="C153" s="378"/>
      <c r="D153" s="373"/>
      <c r="E153" s="1160" t="s">
        <v>98</v>
      </c>
      <c r="F153" s="1121" t="s">
        <v>186</v>
      </c>
      <c r="G153" s="1121"/>
      <c r="H153" s="1121"/>
      <c r="I153" s="390"/>
      <c r="J153" s="386"/>
      <c r="L153" s="146"/>
    </row>
    <row r="154" spans="1:12" s="166" customFormat="1" ht="17.3" customHeight="1">
      <c r="A154" s="1046"/>
      <c r="B154" s="344"/>
      <c r="C154" s="379" t="s">
        <v>90</v>
      </c>
      <c r="D154" s="1192"/>
      <c r="E154" s="1413" t="s">
        <v>636</v>
      </c>
      <c r="F154" s="1413"/>
      <c r="G154" s="1413"/>
      <c r="H154" s="1193"/>
      <c r="I154" s="1180">
        <v>2</v>
      </c>
      <c r="J154" s="388">
        <f>IF(L154,I154,0)</f>
        <v>2</v>
      </c>
      <c r="L154" s="146" t="b">
        <v>1</v>
      </c>
    </row>
    <row r="155" spans="1:12" s="166" customFormat="1" ht="15" customHeight="1">
      <c r="A155" s="1046"/>
      <c r="B155" s="343"/>
      <c r="C155" s="378"/>
      <c r="D155" s="373"/>
      <c r="E155" s="1409" t="s">
        <v>996</v>
      </c>
      <c r="F155" s="1409"/>
      <c r="G155" s="1409"/>
      <c r="H155" s="1161"/>
      <c r="I155" s="390"/>
      <c r="J155" s="386"/>
      <c r="L155" s="146"/>
    </row>
    <row r="156" spans="1:12" s="166" customFormat="1" ht="27.1" customHeight="1">
      <c r="A156" s="1046"/>
      <c r="B156" s="348"/>
      <c r="C156" s="378"/>
      <c r="D156" s="373"/>
      <c r="E156" s="1440" t="s">
        <v>1211</v>
      </c>
      <c r="F156" s="1440"/>
      <c r="G156" s="1440"/>
      <c r="H156" s="1457"/>
      <c r="I156" s="390"/>
      <c r="J156" s="386"/>
      <c r="L156" s="146"/>
    </row>
    <row r="157" spans="1:12" s="166" customFormat="1" ht="12.85" customHeight="1">
      <c r="A157" s="1046"/>
      <c r="B157" s="348"/>
      <c r="C157" s="378"/>
      <c r="D157" s="373"/>
      <c r="E157" s="1431" t="s">
        <v>1212</v>
      </c>
      <c r="F157" s="1431"/>
      <c r="G157" s="1154"/>
      <c r="H157" s="1154"/>
      <c r="I157" s="390"/>
      <c r="J157" s="386"/>
      <c r="L157" s="146"/>
    </row>
    <row r="158" spans="1:12" s="166" customFormat="1" ht="12.85" customHeight="1">
      <c r="A158" s="1046"/>
      <c r="B158" s="348"/>
      <c r="C158" s="378"/>
      <c r="D158" s="373"/>
      <c r="E158" s="1160" t="s">
        <v>98</v>
      </c>
      <c r="F158" s="1160" t="s">
        <v>196</v>
      </c>
      <c r="G158" s="1154"/>
      <c r="H158" s="1154"/>
      <c r="I158" s="390"/>
      <c r="J158" s="386"/>
      <c r="L158" s="146"/>
    </row>
    <row r="159" spans="1:12" s="166" customFormat="1" ht="25.5" customHeight="1">
      <c r="A159" s="1046"/>
      <c r="B159" s="348"/>
      <c r="C159" s="378"/>
      <c r="D159" s="373"/>
      <c r="E159" s="1160" t="s">
        <v>98</v>
      </c>
      <c r="F159" s="1402" t="s">
        <v>195</v>
      </c>
      <c r="G159" s="1402"/>
      <c r="H159" s="1403"/>
      <c r="I159" s="390"/>
      <c r="J159" s="386"/>
      <c r="L159" s="146"/>
    </row>
    <row r="160" spans="1:12" s="166" customFormat="1" ht="25.5" customHeight="1">
      <c r="A160" s="1046"/>
      <c r="B160" s="348"/>
      <c r="C160" s="378"/>
      <c r="D160" s="373"/>
      <c r="E160" s="1160" t="s">
        <v>98</v>
      </c>
      <c r="F160" s="1402" t="s">
        <v>194</v>
      </c>
      <c r="G160" s="1402"/>
      <c r="H160" s="1403"/>
      <c r="I160" s="390"/>
      <c r="J160" s="386"/>
      <c r="L160" s="146"/>
    </row>
    <row r="161" spans="1:12" s="166" customFormat="1" ht="29.95" customHeight="1">
      <c r="A161" s="1046"/>
      <c r="B161" s="350"/>
      <c r="C161" s="378"/>
      <c r="D161" s="373"/>
      <c r="E161" s="1453" t="s">
        <v>193</v>
      </c>
      <c r="F161" s="1453"/>
      <c r="G161" s="1453"/>
      <c r="H161" s="1454"/>
      <c r="I161" s="390"/>
      <c r="J161" s="386"/>
      <c r="L161" s="146"/>
    </row>
    <row r="162" spans="1:12" s="166" customFormat="1" ht="17.3" customHeight="1">
      <c r="A162" s="1046"/>
      <c r="B162" s="344"/>
      <c r="C162" s="379" t="s">
        <v>89</v>
      </c>
      <c r="D162" s="422"/>
      <c r="E162" s="1414" t="s">
        <v>309</v>
      </c>
      <c r="F162" s="1414"/>
      <c r="G162" s="1414"/>
      <c r="H162" s="1175"/>
      <c r="I162" s="1180">
        <v>0.5</v>
      </c>
      <c r="J162" s="388">
        <f>IF(L162,I162,0)</f>
        <v>0</v>
      </c>
      <c r="L162" s="146" t="b">
        <v>0</v>
      </c>
    </row>
    <row r="163" spans="1:12" s="166" customFormat="1" ht="15" customHeight="1">
      <c r="A163" s="1046"/>
      <c r="B163" s="343"/>
      <c r="C163" s="378"/>
      <c r="D163" s="373"/>
      <c r="E163" s="1441"/>
      <c r="F163" s="1441"/>
      <c r="G163" s="1441"/>
      <c r="H163" s="346"/>
      <c r="I163" s="390"/>
      <c r="J163" s="386"/>
      <c r="L163" s="146"/>
    </row>
    <row r="164" spans="1:12" s="166" customFormat="1" ht="17.3" customHeight="1">
      <c r="A164" s="1046"/>
      <c r="B164" s="344"/>
      <c r="C164" s="379" t="s">
        <v>88</v>
      </c>
      <c r="D164" s="422"/>
      <c r="E164" s="1413" t="s">
        <v>985</v>
      </c>
      <c r="F164" s="1413"/>
      <c r="G164" s="1413"/>
      <c r="H164" s="1194"/>
      <c r="I164" s="1180">
        <v>0.5</v>
      </c>
      <c r="J164" s="388">
        <f t="shared" ref="J164:J204" si="6">IF(L164,I164,0)</f>
        <v>0</v>
      </c>
      <c r="L164" s="146" t="b">
        <v>0</v>
      </c>
    </row>
    <row r="165" spans="1:12" s="166" customFormat="1" ht="70.599999999999994" customHeight="1">
      <c r="A165" s="1046"/>
      <c r="B165" s="343"/>
      <c r="C165" s="378"/>
      <c r="D165" s="373"/>
      <c r="E165" s="1409" t="s">
        <v>986</v>
      </c>
      <c r="F165" s="1409"/>
      <c r="G165" s="1409"/>
      <c r="H165" s="1161"/>
      <c r="I165" s="390"/>
      <c r="J165" s="386"/>
      <c r="L165" s="146"/>
    </row>
    <row r="166" spans="1:12" s="166" customFormat="1" ht="41.2" customHeight="1">
      <c r="A166" s="1046"/>
      <c r="B166" s="350"/>
      <c r="C166" s="378"/>
      <c r="D166" s="373"/>
      <c r="E166" s="1453" t="s">
        <v>1226</v>
      </c>
      <c r="F166" s="1453"/>
      <c r="G166" s="1453"/>
      <c r="H166" s="1454"/>
      <c r="I166" s="390"/>
      <c r="J166" s="386"/>
      <c r="L166" s="146"/>
    </row>
    <row r="167" spans="1:12" s="166" customFormat="1" ht="17.3" customHeight="1">
      <c r="A167" s="1046"/>
      <c r="B167" s="344"/>
      <c r="C167" s="379" t="s">
        <v>87</v>
      </c>
      <c r="D167" s="422"/>
      <c r="E167" s="1458" t="s">
        <v>212</v>
      </c>
      <c r="F167" s="1458"/>
      <c r="G167" s="1458"/>
      <c r="H167" s="1175"/>
      <c r="I167" s="1180">
        <v>3</v>
      </c>
      <c r="J167" s="388">
        <f t="shared" si="6"/>
        <v>3</v>
      </c>
      <c r="L167" s="146" t="b">
        <v>1</v>
      </c>
    </row>
    <row r="168" spans="1:12" s="166" customFormat="1" ht="15" customHeight="1">
      <c r="A168" s="1046"/>
      <c r="B168" s="343"/>
      <c r="C168" s="378"/>
      <c r="D168" s="373"/>
      <c r="E168" s="1429"/>
      <c r="F168" s="1429"/>
      <c r="G168" s="1429"/>
      <c r="H168" s="346"/>
      <c r="I168" s="390"/>
      <c r="J168" s="386"/>
      <c r="L168" s="146"/>
    </row>
    <row r="169" spans="1:12" s="166" customFormat="1" ht="12.85" customHeight="1">
      <c r="A169" s="1046"/>
      <c r="B169" s="348"/>
      <c r="C169" s="378"/>
      <c r="D169" s="373"/>
      <c r="E169" s="1122" t="s">
        <v>211</v>
      </c>
      <c r="F169" s="1122"/>
      <c r="G169" s="154"/>
      <c r="H169" s="154"/>
      <c r="I169" s="390"/>
      <c r="J169" s="386"/>
      <c r="L169" s="146"/>
    </row>
    <row r="170" spans="1:12" s="166" customFormat="1" ht="12.85" customHeight="1">
      <c r="A170" s="1046"/>
      <c r="B170" s="348"/>
      <c r="C170" s="378"/>
      <c r="D170" s="373"/>
      <c r="E170" s="1160" t="s">
        <v>98</v>
      </c>
      <c r="F170" s="1121" t="s">
        <v>213</v>
      </c>
      <c r="G170" s="267"/>
      <c r="H170" s="267"/>
      <c r="I170" s="390"/>
      <c r="J170" s="386"/>
      <c r="L170" s="146"/>
    </row>
    <row r="171" spans="1:12" s="166" customFormat="1" ht="12.85" customHeight="1">
      <c r="A171" s="1046"/>
      <c r="B171" s="348"/>
      <c r="C171" s="378"/>
      <c r="D171" s="373"/>
      <c r="E171" s="1160" t="s">
        <v>98</v>
      </c>
      <c r="F171" s="1121" t="s">
        <v>210</v>
      </c>
      <c r="G171" s="267"/>
      <c r="H171" s="267"/>
      <c r="I171" s="390"/>
      <c r="J171" s="386"/>
      <c r="L171" s="146"/>
    </row>
    <row r="172" spans="1:12" s="166" customFormat="1" ht="12.85" customHeight="1">
      <c r="A172" s="1046"/>
      <c r="B172" s="348"/>
      <c r="C172" s="378"/>
      <c r="D172" s="373"/>
      <c r="E172" s="1160" t="s">
        <v>98</v>
      </c>
      <c r="F172" s="1121" t="s">
        <v>209</v>
      </c>
      <c r="G172" s="267"/>
      <c r="H172" s="267"/>
      <c r="I172" s="390"/>
      <c r="J172" s="386"/>
      <c r="L172" s="146"/>
    </row>
    <row r="173" spans="1:12" s="166" customFormat="1" ht="12.85" customHeight="1">
      <c r="A173" s="1046"/>
      <c r="B173" s="348"/>
      <c r="C173" s="378"/>
      <c r="D173" s="373"/>
      <c r="E173" s="1122" t="s">
        <v>208</v>
      </c>
      <c r="F173" s="1122"/>
      <c r="G173" s="39"/>
      <c r="H173" s="39"/>
      <c r="I173" s="390"/>
      <c r="J173" s="386"/>
      <c r="L173" s="146"/>
    </row>
    <row r="174" spans="1:12" s="166" customFormat="1" ht="12.85" customHeight="1">
      <c r="A174" s="1046"/>
      <c r="B174" s="348"/>
      <c r="C174" s="378"/>
      <c r="D174" s="373"/>
      <c r="E174" s="1160" t="s">
        <v>98</v>
      </c>
      <c r="F174" s="1121" t="s">
        <v>234</v>
      </c>
      <c r="G174" s="36"/>
      <c r="H174" s="36"/>
      <c r="I174" s="390"/>
      <c r="J174" s="386"/>
      <c r="L174" s="146"/>
    </row>
    <row r="175" spans="1:12" s="166" customFormat="1">
      <c r="A175" s="1046"/>
      <c r="B175" s="349"/>
      <c r="C175" s="378"/>
      <c r="D175" s="373"/>
      <c r="E175" s="1124"/>
      <c r="F175" s="1119"/>
      <c r="G175" s="78"/>
      <c r="H175" s="78"/>
      <c r="I175" s="390"/>
      <c r="J175" s="386"/>
      <c r="L175" s="146"/>
    </row>
    <row r="176" spans="1:12" s="166" customFormat="1" ht="12.85" customHeight="1">
      <c r="A176" s="1046"/>
      <c r="B176" s="348"/>
      <c r="C176" s="378"/>
      <c r="D176" s="373"/>
      <c r="E176" s="1160" t="s">
        <v>98</v>
      </c>
      <c r="F176" s="1121" t="s">
        <v>235</v>
      </c>
      <c r="G176" s="36"/>
      <c r="H176" s="36"/>
      <c r="I176" s="390"/>
      <c r="J176" s="386"/>
      <c r="L176" s="146"/>
    </row>
    <row r="177" spans="1:15" s="166" customFormat="1">
      <c r="A177" s="1046"/>
      <c r="B177" s="349"/>
      <c r="C177" s="378"/>
      <c r="D177" s="373"/>
      <c r="E177" s="1124"/>
      <c r="F177" s="1119"/>
      <c r="G177" s="78"/>
      <c r="H177" s="78"/>
      <c r="I177" s="390"/>
      <c r="J177" s="386"/>
      <c r="L177" s="146"/>
    </row>
    <row r="178" spans="1:15" s="166" customFormat="1" ht="12.85" customHeight="1">
      <c r="A178" s="1046"/>
      <c r="B178" s="348"/>
      <c r="C178" s="378"/>
      <c r="D178" s="373"/>
      <c r="E178" s="1160" t="s">
        <v>98</v>
      </c>
      <c r="F178" s="1121" t="s">
        <v>236</v>
      </c>
      <c r="G178" s="36"/>
      <c r="H178" s="36"/>
      <c r="I178" s="390"/>
      <c r="J178" s="386"/>
      <c r="L178" s="146"/>
    </row>
    <row r="179" spans="1:15" s="166" customFormat="1">
      <c r="A179" s="1046"/>
      <c r="B179" s="349"/>
      <c r="C179" s="378"/>
      <c r="D179" s="373"/>
      <c r="E179" s="1124"/>
      <c r="F179" s="1119"/>
      <c r="G179" s="78"/>
      <c r="H179" s="78"/>
      <c r="I179" s="390"/>
      <c r="J179" s="386"/>
      <c r="L179" s="146"/>
    </row>
    <row r="180" spans="1:15" s="166" customFormat="1" ht="12.85" customHeight="1">
      <c r="A180" s="1046"/>
      <c r="B180" s="348"/>
      <c r="C180" s="378"/>
      <c r="D180" s="373"/>
      <c r="E180" s="1122" t="s">
        <v>207</v>
      </c>
      <c r="F180" s="1122"/>
      <c r="G180" s="39"/>
      <c r="H180" s="39"/>
      <c r="I180" s="390"/>
      <c r="J180" s="386"/>
      <c r="L180" s="146"/>
    </row>
    <row r="181" spans="1:15" s="166" customFormat="1" ht="12.85" customHeight="1">
      <c r="A181" s="1046"/>
      <c r="B181" s="348"/>
      <c r="C181" s="378"/>
      <c r="D181" s="373"/>
      <c r="E181" s="1160" t="s">
        <v>98</v>
      </c>
      <c r="F181" s="1121" t="s">
        <v>206</v>
      </c>
      <c r="G181" s="36"/>
      <c r="H181" s="36"/>
      <c r="I181" s="390"/>
      <c r="J181" s="386"/>
      <c r="L181" s="146"/>
    </row>
    <row r="182" spans="1:15" s="166" customFormat="1" ht="12.85" customHeight="1">
      <c r="A182" s="1046"/>
      <c r="B182" s="348"/>
      <c r="C182" s="378"/>
      <c r="D182" s="373"/>
      <c r="E182" s="1160" t="s">
        <v>98</v>
      </c>
      <c r="F182" s="1121" t="s">
        <v>205</v>
      </c>
      <c r="G182" s="36"/>
      <c r="H182" s="36"/>
      <c r="I182" s="390"/>
      <c r="J182" s="386"/>
      <c r="L182" s="146"/>
    </row>
    <row r="183" spans="1:15" s="166" customFormat="1" ht="12.85" customHeight="1">
      <c r="A183" s="1046"/>
      <c r="B183" s="348"/>
      <c r="C183" s="378"/>
      <c r="D183" s="373"/>
      <c r="E183" s="1160" t="s">
        <v>98</v>
      </c>
      <c r="F183" s="1121" t="s">
        <v>204</v>
      </c>
      <c r="G183" s="36"/>
      <c r="H183" s="36"/>
      <c r="I183" s="390"/>
      <c r="J183" s="386"/>
      <c r="L183" s="146"/>
    </row>
    <row r="184" spans="1:15" s="166" customFormat="1" ht="12.85" customHeight="1">
      <c r="A184" s="1046"/>
      <c r="B184" s="348"/>
      <c r="C184" s="378"/>
      <c r="D184" s="373"/>
      <c r="E184" s="1160" t="s">
        <v>98</v>
      </c>
      <c r="F184" s="1121" t="s">
        <v>203</v>
      </c>
      <c r="G184" s="36"/>
      <c r="H184" s="36"/>
      <c r="I184" s="390"/>
      <c r="J184" s="386"/>
      <c r="L184" s="146"/>
    </row>
    <row r="185" spans="1:15" s="166" customFormat="1" ht="12.85" customHeight="1">
      <c r="A185" s="1046"/>
      <c r="B185" s="348"/>
      <c r="C185" s="378"/>
      <c r="D185" s="373"/>
      <c r="E185" s="1160" t="s">
        <v>98</v>
      </c>
      <c r="F185" s="1121" t="s">
        <v>202</v>
      </c>
      <c r="G185" s="36"/>
      <c r="H185" s="36"/>
      <c r="I185" s="390"/>
      <c r="J185" s="386"/>
      <c r="L185" s="146"/>
    </row>
    <row r="186" spans="1:15" s="166" customFormat="1" ht="12.85" customHeight="1">
      <c r="A186" s="1046"/>
      <c r="B186" s="348"/>
      <c r="C186" s="378"/>
      <c r="D186" s="373"/>
      <c r="E186" s="1122" t="s">
        <v>201</v>
      </c>
      <c r="F186" s="1122"/>
      <c r="G186" s="39"/>
      <c r="H186" s="39"/>
      <c r="I186" s="390"/>
      <c r="J186" s="386"/>
      <c r="L186" s="146"/>
    </row>
    <row r="187" spans="1:15" s="166" customFormat="1" ht="12.85" customHeight="1">
      <c r="A187" s="1046"/>
      <c r="B187" s="348"/>
      <c r="C187" s="378"/>
      <c r="D187" s="373"/>
      <c r="E187" s="1160" t="s">
        <v>98</v>
      </c>
      <c r="F187" s="1121" t="s">
        <v>200</v>
      </c>
      <c r="G187" s="36"/>
      <c r="H187" s="36"/>
      <c r="I187" s="390"/>
      <c r="J187" s="386"/>
      <c r="L187" s="146"/>
    </row>
    <row r="188" spans="1:15" s="166" customFormat="1" ht="12.85" customHeight="1">
      <c r="A188" s="1046"/>
      <c r="B188" s="348"/>
      <c r="C188" s="378"/>
      <c r="D188" s="373"/>
      <c r="E188" s="1160" t="s">
        <v>98</v>
      </c>
      <c r="F188" s="1121" t="s">
        <v>199</v>
      </c>
      <c r="G188" s="36"/>
      <c r="H188" s="36"/>
      <c r="I188" s="390"/>
      <c r="J188" s="386"/>
      <c r="L188" s="146"/>
      <c r="O188" t="s">
        <v>217</v>
      </c>
    </row>
    <row r="189" spans="1:15" s="166" customFormat="1" ht="12.85" customHeight="1">
      <c r="A189" s="1046"/>
      <c r="B189" s="348"/>
      <c r="C189" s="378"/>
      <c r="D189" s="373"/>
      <c r="E189" s="1160" t="s">
        <v>98</v>
      </c>
      <c r="F189" s="1121" t="s">
        <v>198</v>
      </c>
      <c r="G189" s="36"/>
      <c r="H189" s="36"/>
      <c r="I189" s="390"/>
      <c r="J189" s="386"/>
      <c r="L189" s="146"/>
    </row>
    <row r="190" spans="1:15" s="166" customFormat="1" ht="12.85" customHeight="1">
      <c r="A190" s="1046"/>
      <c r="B190" s="350"/>
      <c r="C190" s="378"/>
      <c r="D190" s="373"/>
      <c r="E190" s="1160" t="s">
        <v>98</v>
      </c>
      <c r="F190" s="1121" t="s">
        <v>197</v>
      </c>
      <c r="G190" s="36"/>
      <c r="H190" s="36"/>
      <c r="I190" s="390"/>
      <c r="J190" s="386"/>
      <c r="L190" s="146"/>
    </row>
    <row r="191" spans="1:15" s="166" customFormat="1" ht="17.3" customHeight="1">
      <c r="A191" s="1046"/>
      <c r="B191" s="344"/>
      <c r="C191" s="379" t="s">
        <v>104</v>
      </c>
      <c r="D191" s="422"/>
      <c r="E191" s="1414" t="s">
        <v>118</v>
      </c>
      <c r="F191" s="1414"/>
      <c r="G191" s="1414"/>
      <c r="H191" s="1194"/>
      <c r="I191" s="1180">
        <v>0.5</v>
      </c>
      <c r="J191" s="388">
        <f t="shared" si="6"/>
        <v>0.5</v>
      </c>
      <c r="L191" s="146" t="b">
        <v>1</v>
      </c>
    </row>
    <row r="192" spans="1:15" s="166" customFormat="1" ht="15" customHeight="1">
      <c r="A192" s="1046"/>
      <c r="B192" s="343"/>
      <c r="C192" s="378"/>
      <c r="D192" s="373"/>
      <c r="E192" s="1441"/>
      <c r="F192" s="1441"/>
      <c r="G192" s="1441"/>
      <c r="H192" s="346"/>
      <c r="I192" s="390"/>
      <c r="J192" s="386"/>
      <c r="L192" s="146"/>
    </row>
    <row r="193" spans="1:17" s="166" customFormat="1" ht="17.3" customHeight="1">
      <c r="A193" s="1046"/>
      <c r="B193" s="344"/>
      <c r="C193" s="379" t="s">
        <v>103</v>
      </c>
      <c r="D193" s="422"/>
      <c r="E193" s="1414" t="s">
        <v>102</v>
      </c>
      <c r="F193" s="1414"/>
      <c r="G193" s="1414"/>
      <c r="H193" s="1184"/>
      <c r="I193" s="1180">
        <v>0.5</v>
      </c>
      <c r="J193" s="388">
        <f t="shared" si="6"/>
        <v>0.5</v>
      </c>
      <c r="L193" s="146" t="b">
        <v>1</v>
      </c>
      <c r="Q193" s="169"/>
    </row>
    <row r="194" spans="1:17" s="166" customFormat="1" ht="15" customHeight="1">
      <c r="A194" s="1046"/>
      <c r="B194" s="343"/>
      <c r="C194" s="378"/>
      <c r="D194" s="373"/>
      <c r="E194" s="1441"/>
      <c r="F194" s="1441"/>
      <c r="G194" s="1441"/>
      <c r="H194" s="346"/>
      <c r="I194" s="390"/>
      <c r="J194" s="386"/>
      <c r="L194" s="146"/>
    </row>
    <row r="195" spans="1:17" s="166" customFormat="1" ht="17.3" customHeight="1">
      <c r="A195" s="1046"/>
      <c r="B195" s="344"/>
      <c r="C195" s="379" t="s">
        <v>101</v>
      </c>
      <c r="D195" s="1192"/>
      <c r="E195" s="1413" t="s">
        <v>637</v>
      </c>
      <c r="F195" s="1413"/>
      <c r="G195" s="1413"/>
      <c r="H195" s="1193"/>
      <c r="I195" s="1180">
        <v>1</v>
      </c>
      <c r="J195" s="388">
        <f t="shared" si="6"/>
        <v>1</v>
      </c>
      <c r="L195" s="146" t="b">
        <v>1</v>
      </c>
    </row>
    <row r="196" spans="1:17" s="166" customFormat="1" ht="29.95" customHeight="1">
      <c r="A196" s="1046"/>
      <c r="B196" s="348"/>
      <c r="C196" s="378"/>
      <c r="D196" s="373"/>
      <c r="E196" s="1409" t="s">
        <v>638</v>
      </c>
      <c r="F196" s="1409"/>
      <c r="G196" s="1409"/>
      <c r="H196" s="1161"/>
      <c r="I196" s="390"/>
      <c r="J196" s="386"/>
      <c r="L196" s="146"/>
    </row>
    <row r="197" spans="1:17" s="166" customFormat="1" ht="37.450000000000003" customHeight="1">
      <c r="A197" s="1046"/>
      <c r="B197" s="348"/>
      <c r="C197" s="378"/>
      <c r="D197" s="373"/>
      <c r="E197" s="1440" t="s">
        <v>1227</v>
      </c>
      <c r="F197" s="1440"/>
      <c r="G197" s="1440"/>
      <c r="H197" s="1457"/>
      <c r="I197" s="390"/>
      <c r="J197" s="386"/>
      <c r="L197" s="146"/>
    </row>
    <row r="198" spans="1:17" s="166" customFormat="1" ht="12.85" customHeight="1">
      <c r="A198" s="1046"/>
      <c r="B198" s="348"/>
      <c r="C198" s="378"/>
      <c r="D198" s="373"/>
      <c r="E198" s="40" t="s">
        <v>98</v>
      </c>
      <c r="F198" s="1121" t="s">
        <v>216</v>
      </c>
      <c r="G198" s="36"/>
      <c r="H198" s="36"/>
      <c r="I198" s="390"/>
      <c r="J198" s="386"/>
      <c r="L198" s="146"/>
    </row>
    <row r="199" spans="1:17" s="166" customFormat="1" ht="12.85" customHeight="1">
      <c r="A199" s="1046"/>
      <c r="B199" s="348"/>
      <c r="C199" s="378"/>
      <c r="D199" s="373"/>
      <c r="E199" s="40" t="s">
        <v>98</v>
      </c>
      <c r="F199" s="1121" t="s">
        <v>215</v>
      </c>
      <c r="G199" s="36"/>
      <c r="H199" s="36"/>
      <c r="I199" s="390"/>
      <c r="J199" s="386"/>
      <c r="L199" s="146"/>
    </row>
    <row r="200" spans="1:17" s="166" customFormat="1" ht="12.85" customHeight="1">
      <c r="A200" s="1046"/>
      <c r="B200" s="350"/>
      <c r="C200" s="378"/>
      <c r="D200" s="373"/>
      <c r="E200" s="40" t="s">
        <v>98</v>
      </c>
      <c r="F200" s="1121" t="s">
        <v>214</v>
      </c>
      <c r="G200" s="36"/>
      <c r="H200" s="36"/>
      <c r="I200" s="390"/>
      <c r="J200" s="386"/>
      <c r="L200" s="146"/>
    </row>
    <row r="201" spans="1:17" s="166" customFormat="1" ht="17.3" customHeight="1">
      <c r="A201" s="1046"/>
      <c r="B201" s="344"/>
      <c r="C201" s="379" t="s">
        <v>100</v>
      </c>
      <c r="D201" s="422"/>
      <c r="E201" s="1414" t="s">
        <v>310</v>
      </c>
      <c r="F201" s="1414"/>
      <c r="G201" s="1414"/>
      <c r="H201" s="1175"/>
      <c r="I201" s="1180">
        <v>0.5</v>
      </c>
      <c r="J201" s="388">
        <f t="shared" si="6"/>
        <v>0.5</v>
      </c>
      <c r="L201" s="146" t="b">
        <v>1</v>
      </c>
    </row>
    <row r="202" spans="1:17" s="166" customFormat="1" ht="15" customHeight="1">
      <c r="A202" s="1046"/>
      <c r="B202" s="343"/>
      <c r="C202" s="378"/>
      <c r="D202" s="373"/>
      <c r="E202" s="1429"/>
      <c r="F202" s="1429"/>
      <c r="G202" s="1429"/>
      <c r="H202" s="346"/>
      <c r="I202" s="390"/>
      <c r="J202" s="386"/>
      <c r="L202" s="146"/>
    </row>
    <row r="203" spans="1:17" s="166" customFormat="1" ht="76.5" customHeight="1">
      <c r="A203" s="1046"/>
      <c r="B203" s="350"/>
      <c r="C203" s="378"/>
      <c r="D203" s="373"/>
      <c r="E203" s="1410" t="s">
        <v>374</v>
      </c>
      <c r="F203" s="1410"/>
      <c r="G203" s="1410"/>
      <c r="H203" s="1410"/>
      <c r="I203" s="390"/>
      <c r="J203" s="386"/>
      <c r="L203" s="146"/>
    </row>
    <row r="204" spans="1:17" s="166" customFormat="1" ht="17.3" customHeight="1">
      <c r="A204" s="1046"/>
      <c r="B204" s="344"/>
      <c r="C204" s="379" t="s">
        <v>99</v>
      </c>
      <c r="D204" s="422"/>
      <c r="E204" s="1414" t="s">
        <v>305</v>
      </c>
      <c r="F204" s="1414"/>
      <c r="G204" s="1414"/>
      <c r="H204" s="1181"/>
      <c r="I204" s="1180">
        <v>0.5</v>
      </c>
      <c r="J204" s="388">
        <f t="shared" si="6"/>
        <v>0.5</v>
      </c>
      <c r="L204" s="146" t="b">
        <v>1</v>
      </c>
    </row>
    <row r="205" spans="1:17" s="166" customFormat="1" ht="15" customHeight="1">
      <c r="A205" s="1046"/>
      <c r="B205" s="343"/>
      <c r="C205" s="378"/>
      <c r="D205" s="373"/>
      <c r="E205" s="1429"/>
      <c r="F205" s="1429"/>
      <c r="G205" s="1429"/>
      <c r="H205" s="346"/>
      <c r="I205" s="390"/>
      <c r="J205" s="386"/>
      <c r="L205" s="146"/>
    </row>
    <row r="206" spans="1:17" s="166" customFormat="1" ht="26.25" customHeight="1">
      <c r="A206" s="1046"/>
      <c r="B206" s="350"/>
      <c r="C206" s="378"/>
      <c r="D206" s="373"/>
      <c r="E206" s="1453" t="s">
        <v>218</v>
      </c>
      <c r="F206" s="1453"/>
      <c r="G206" s="1453"/>
      <c r="H206" s="1454"/>
      <c r="I206" s="390"/>
      <c r="J206" s="386"/>
      <c r="L206" s="146"/>
    </row>
    <row r="207" spans="1:17" s="166" customFormat="1" ht="17.3" customHeight="1">
      <c r="A207" s="1046"/>
      <c r="B207" s="174"/>
      <c r="C207" s="1186"/>
      <c r="D207" s="422"/>
      <c r="E207" s="1187" t="s">
        <v>629</v>
      </c>
      <c r="F207" s="1175"/>
      <c r="G207" s="1175"/>
      <c r="H207" s="1175"/>
      <c r="I207" s="1188"/>
      <c r="J207" s="388">
        <f>IF(L207,IF(AND($L$14,$M$13),I207+20,I207),0)</f>
        <v>0</v>
      </c>
      <c r="L207" s="146" t="b">
        <f>IF(AND($L$14,$M$13),L14,FALSE)</f>
        <v>0</v>
      </c>
    </row>
    <row r="208" spans="1:17" s="166" customFormat="1" ht="16.600000000000001" customHeight="1" thickBot="1">
      <c r="A208" s="1046"/>
      <c r="B208" s="343"/>
      <c r="C208" s="378"/>
      <c r="D208" s="373"/>
      <c r="E208" s="1436" t="s">
        <v>930</v>
      </c>
      <c r="F208" s="1437"/>
      <c r="G208" s="1161"/>
      <c r="H208" s="1161"/>
      <c r="I208" s="393"/>
      <c r="J208" s="386"/>
      <c r="L208" s="146"/>
    </row>
    <row r="209" spans="1:12" s="166" customFormat="1" ht="22.5" customHeight="1" thickBot="1">
      <c r="A209" s="1046"/>
      <c r="B209" s="353"/>
      <c r="C209" s="364"/>
      <c r="D209" s="364"/>
      <c r="E209" s="354"/>
      <c r="F209" s="355"/>
      <c r="G209" s="355"/>
      <c r="H209" s="356" t="s">
        <v>944</v>
      </c>
      <c r="I209" s="396">
        <f>IF(Projektgrundlagen!$I$21,SUM(I118:I204),0)</f>
        <v>25</v>
      </c>
      <c r="J209" s="358">
        <f>IF($M$3,SUMIF(L118:L207,TRUE,J118:J207),0)</f>
        <v>23.5</v>
      </c>
      <c r="L209" s="146"/>
    </row>
    <row r="210" spans="1:12" s="166" customFormat="1" ht="7.5" customHeight="1">
      <c r="A210" s="1046"/>
      <c r="B210" s="368"/>
      <c r="C210" s="365"/>
      <c r="D210" s="365"/>
      <c r="E210" s="366"/>
      <c r="F210" s="79"/>
      <c r="G210" s="79"/>
      <c r="H210" s="352"/>
      <c r="I210" s="369"/>
      <c r="J210" s="367"/>
      <c r="L210" s="146"/>
    </row>
    <row r="211" spans="1:12" s="166" customFormat="1" ht="22.5" customHeight="1">
      <c r="A211" s="1046"/>
      <c r="B211" s="42" t="s">
        <v>122</v>
      </c>
      <c r="C211" s="43"/>
      <c r="D211" s="44"/>
      <c r="E211" s="43"/>
      <c r="F211" s="43"/>
      <c r="G211" s="77"/>
      <c r="H211" s="77"/>
      <c r="I211" s="397"/>
      <c r="J211" s="398"/>
      <c r="L211" s="146"/>
    </row>
    <row r="212" spans="1:12" s="166" customFormat="1" ht="17.3" customHeight="1">
      <c r="A212" s="1046"/>
      <c r="B212" s="344"/>
      <c r="C212" s="374" t="s">
        <v>86</v>
      </c>
      <c r="D212" s="417"/>
      <c r="E212" s="1408" t="s">
        <v>639</v>
      </c>
      <c r="F212" s="1408"/>
      <c r="G212" s="1408"/>
      <c r="H212" s="1171"/>
      <c r="I212" s="1182">
        <v>2</v>
      </c>
      <c r="J212" s="1195">
        <f>IF(L212,I212,0)</f>
        <v>2</v>
      </c>
      <c r="L212" s="146" t="b">
        <v>1</v>
      </c>
    </row>
    <row r="213" spans="1:12" s="166" customFormat="1" ht="60.05" customHeight="1">
      <c r="A213" s="1046"/>
      <c r="B213" s="348"/>
      <c r="C213" s="378"/>
      <c r="D213" s="373"/>
      <c r="E213" s="1409" t="s">
        <v>640</v>
      </c>
      <c r="F213" s="1409"/>
      <c r="G213" s="1409"/>
      <c r="H213" s="1161"/>
      <c r="I213" s="390"/>
      <c r="J213" s="426"/>
      <c r="L213" s="146"/>
    </row>
    <row r="214" spans="1:12" s="166" customFormat="1" ht="42.05" customHeight="1">
      <c r="A214" s="1046"/>
      <c r="B214" s="350"/>
      <c r="C214" s="378"/>
      <c r="D214" s="373"/>
      <c r="E214" s="1410" t="s">
        <v>219</v>
      </c>
      <c r="F214" s="1410"/>
      <c r="G214" s="1410"/>
      <c r="H214" s="1410"/>
      <c r="I214" s="390"/>
      <c r="J214" s="426"/>
      <c r="L214" s="146"/>
    </row>
    <row r="215" spans="1:12" s="166" customFormat="1" ht="17.3" customHeight="1">
      <c r="A215" s="1046"/>
      <c r="B215" s="344"/>
      <c r="C215" s="379" t="s">
        <v>85</v>
      </c>
      <c r="D215" s="422"/>
      <c r="E215" s="1196" t="s">
        <v>641</v>
      </c>
      <c r="F215" s="1174"/>
      <c r="G215" s="1174"/>
      <c r="H215" s="1175"/>
      <c r="I215" s="1180">
        <v>2</v>
      </c>
      <c r="J215" s="1197">
        <f>IF(L215,I215,0)</f>
        <v>2</v>
      </c>
      <c r="L215" s="146" t="b">
        <v>1</v>
      </c>
    </row>
    <row r="216" spans="1:12" s="166" customFormat="1" ht="15" customHeight="1">
      <c r="A216" s="1046"/>
      <c r="B216" s="348"/>
      <c r="C216" s="378"/>
      <c r="D216" s="373"/>
      <c r="E216" s="1409" t="s">
        <v>642</v>
      </c>
      <c r="F216" s="1409"/>
      <c r="G216" s="1409"/>
      <c r="H216" s="1161"/>
      <c r="I216" s="390"/>
      <c r="J216" s="426"/>
      <c r="L216" s="146"/>
    </row>
    <row r="217" spans="1:12" s="166" customFormat="1" ht="51" customHeight="1">
      <c r="A217" s="1046"/>
      <c r="B217" s="350"/>
      <c r="C217" s="378"/>
      <c r="D217" s="373"/>
      <c r="E217" s="1410" t="s">
        <v>220</v>
      </c>
      <c r="F217" s="1410"/>
      <c r="G217" s="1410"/>
      <c r="H217" s="1410"/>
      <c r="I217" s="390"/>
      <c r="J217" s="426"/>
      <c r="L217" s="146"/>
    </row>
    <row r="218" spans="1:12" s="166" customFormat="1" ht="17.3" customHeight="1">
      <c r="A218" s="1046"/>
      <c r="B218" s="344"/>
      <c r="C218" s="379" t="s">
        <v>84</v>
      </c>
      <c r="D218" s="422"/>
      <c r="E218" s="1196" t="s">
        <v>643</v>
      </c>
      <c r="F218" s="1174"/>
      <c r="G218" s="1174"/>
      <c r="H218" s="1175"/>
      <c r="I218" s="1180">
        <v>1</v>
      </c>
      <c r="J218" s="1197">
        <f t="shared" ref="J218" si="7">IF(L218,I218,0)</f>
        <v>1</v>
      </c>
      <c r="L218" s="146" t="b">
        <v>1</v>
      </c>
    </row>
    <row r="219" spans="1:12" s="166" customFormat="1" ht="30.85" customHeight="1">
      <c r="A219" s="1046"/>
      <c r="B219" s="348"/>
      <c r="C219" s="378"/>
      <c r="D219" s="373"/>
      <c r="E219" s="1409" t="s">
        <v>741</v>
      </c>
      <c r="F219" s="1409"/>
      <c r="G219" s="1409"/>
      <c r="H219" s="1161"/>
      <c r="I219" s="390"/>
      <c r="J219" s="426"/>
      <c r="L219" s="146"/>
    </row>
    <row r="220" spans="1:12" s="166" customFormat="1" ht="25.5" customHeight="1">
      <c r="A220" s="1046"/>
      <c r="B220" s="348"/>
      <c r="C220" s="378"/>
      <c r="D220" s="373"/>
      <c r="E220" s="1410" t="s">
        <v>359</v>
      </c>
      <c r="F220" s="1410"/>
      <c r="G220" s="1410"/>
      <c r="H220" s="1410"/>
      <c r="I220" s="390"/>
      <c r="J220" s="426"/>
      <c r="L220" s="146"/>
    </row>
    <row r="221" spans="1:12" s="166" customFormat="1" ht="12.85" customHeight="1">
      <c r="A221" s="1046"/>
      <c r="B221" s="348"/>
      <c r="C221" s="378"/>
      <c r="D221" s="373"/>
      <c r="E221" s="1117" t="s">
        <v>232</v>
      </c>
      <c r="F221" s="1121" t="s">
        <v>226</v>
      </c>
      <c r="G221" s="1121"/>
      <c r="H221" s="1121"/>
      <c r="I221" s="390"/>
      <c r="J221" s="426"/>
      <c r="L221" s="146"/>
    </row>
    <row r="222" spans="1:12" s="166" customFormat="1" ht="12.85" customHeight="1">
      <c r="A222" s="1046"/>
      <c r="B222" s="348"/>
      <c r="C222" s="378"/>
      <c r="D222" s="373"/>
      <c r="E222" s="1117" t="s">
        <v>232</v>
      </c>
      <c r="F222" s="1121" t="s">
        <v>225</v>
      </c>
      <c r="G222" s="1121"/>
      <c r="H222" s="1121"/>
      <c r="I222" s="390"/>
      <c r="J222" s="426"/>
      <c r="L222" s="146"/>
    </row>
    <row r="223" spans="1:12" s="166" customFormat="1" ht="12.85" customHeight="1">
      <c r="A223" s="1046"/>
      <c r="B223" s="348"/>
      <c r="C223" s="378"/>
      <c r="D223" s="373"/>
      <c r="E223" s="1117" t="s">
        <v>232</v>
      </c>
      <c r="F223" s="1121" t="s">
        <v>224</v>
      </c>
      <c r="G223" s="1121"/>
      <c r="H223" s="1121"/>
      <c r="I223" s="390"/>
      <c r="J223" s="426"/>
      <c r="L223" s="146"/>
    </row>
    <row r="224" spans="1:12" s="166" customFormat="1" ht="12.85" customHeight="1">
      <c r="A224" s="1046"/>
      <c r="B224" s="348"/>
      <c r="C224" s="378"/>
      <c r="D224" s="373"/>
      <c r="E224" s="1117" t="s">
        <v>232</v>
      </c>
      <c r="F224" s="1121" t="s">
        <v>223</v>
      </c>
      <c r="G224" s="1121"/>
      <c r="H224" s="1121"/>
      <c r="I224" s="390"/>
      <c r="J224" s="426"/>
      <c r="L224" s="146"/>
    </row>
    <row r="225" spans="1:12" s="166" customFormat="1" ht="12.85" customHeight="1">
      <c r="A225" s="1046"/>
      <c r="B225" s="348"/>
      <c r="C225" s="378"/>
      <c r="D225" s="373"/>
      <c r="E225" s="1117" t="s">
        <v>232</v>
      </c>
      <c r="F225" s="1121" t="s">
        <v>222</v>
      </c>
      <c r="G225" s="1121"/>
      <c r="H225" s="1121"/>
      <c r="I225" s="390"/>
      <c r="J225" s="426"/>
      <c r="L225" s="146"/>
    </row>
    <row r="226" spans="1:12" s="166" customFormat="1" ht="12.85" customHeight="1">
      <c r="A226" s="1046"/>
      <c r="B226" s="348"/>
      <c r="C226" s="378"/>
      <c r="D226" s="373"/>
      <c r="E226" s="1117" t="s">
        <v>232</v>
      </c>
      <c r="F226" s="1121" t="s">
        <v>221</v>
      </c>
      <c r="G226" s="1121"/>
      <c r="H226" s="1121"/>
      <c r="I226" s="390"/>
      <c r="J226" s="426"/>
      <c r="L226" s="146"/>
    </row>
    <row r="227" spans="1:12" s="166" customFormat="1" ht="12.85" customHeight="1">
      <c r="A227" s="1046"/>
      <c r="B227" s="348"/>
      <c r="C227" s="378"/>
      <c r="D227" s="373"/>
      <c r="E227" s="1117" t="s">
        <v>232</v>
      </c>
      <c r="F227" s="1121" t="s">
        <v>227</v>
      </c>
      <c r="G227" s="1121"/>
      <c r="H227" s="1121"/>
      <c r="I227" s="390"/>
      <c r="J227" s="426"/>
      <c r="L227" s="146"/>
    </row>
    <row r="228" spans="1:12" s="166" customFormat="1" ht="12.85" customHeight="1">
      <c r="A228" s="1046"/>
      <c r="B228" s="348"/>
      <c r="C228" s="378"/>
      <c r="D228" s="373"/>
      <c r="E228" s="1117" t="s">
        <v>232</v>
      </c>
      <c r="F228" s="1121" t="s">
        <v>228</v>
      </c>
      <c r="G228" s="1121"/>
      <c r="H228" s="1121"/>
      <c r="I228" s="390"/>
      <c r="J228" s="426"/>
      <c r="L228" s="146"/>
    </row>
    <row r="229" spans="1:12" s="166" customFormat="1">
      <c r="A229" s="1046"/>
      <c r="B229" s="349"/>
      <c r="C229" s="378"/>
      <c r="D229" s="373"/>
      <c r="E229" s="1124"/>
      <c r="F229" s="1119"/>
      <c r="G229" s="1120"/>
      <c r="H229" s="1120"/>
      <c r="I229" s="390"/>
      <c r="J229" s="426"/>
      <c r="L229" s="146"/>
    </row>
    <row r="230" spans="1:12" s="166" customFormat="1" ht="12.85" customHeight="1">
      <c r="A230" s="1046"/>
      <c r="B230" s="348"/>
      <c r="C230" s="378"/>
      <c r="D230" s="373"/>
      <c r="E230" s="1411" t="s">
        <v>97</v>
      </c>
      <c r="F230" s="1411"/>
      <c r="G230" s="1411"/>
      <c r="H230" s="1118"/>
      <c r="I230" s="427"/>
      <c r="J230" s="428"/>
      <c r="L230" s="146"/>
    </row>
    <row r="231" spans="1:12" s="166" customFormat="1" ht="12.85" customHeight="1">
      <c r="A231" s="1046"/>
      <c r="B231" s="348"/>
      <c r="C231" s="376"/>
      <c r="D231" s="171"/>
      <c r="E231" s="1160" t="s">
        <v>98</v>
      </c>
      <c r="F231" s="1160" t="s">
        <v>96</v>
      </c>
      <c r="G231" s="1123"/>
      <c r="H231" s="1123"/>
      <c r="I231" s="427"/>
      <c r="J231" s="428"/>
      <c r="L231" s="146"/>
    </row>
    <row r="232" spans="1:12" s="166" customFormat="1" ht="12.85" customHeight="1">
      <c r="A232" s="1046"/>
      <c r="B232" s="348"/>
      <c r="C232" s="376"/>
      <c r="D232" s="171"/>
      <c r="E232" s="1160" t="s">
        <v>98</v>
      </c>
      <c r="F232" s="1160" t="s">
        <v>95</v>
      </c>
      <c r="G232" s="1123"/>
      <c r="H232" s="1123"/>
      <c r="I232" s="427"/>
      <c r="J232" s="428"/>
      <c r="L232" s="146"/>
    </row>
    <row r="233" spans="1:12" s="166" customFormat="1" ht="63.8" customHeight="1">
      <c r="A233" s="1046"/>
      <c r="B233" s="350"/>
      <c r="C233" s="376"/>
      <c r="D233" s="171"/>
      <c r="E233" s="1410" t="s">
        <v>94</v>
      </c>
      <c r="F233" s="1410"/>
      <c r="G233" s="1410"/>
      <c r="H233" s="1410"/>
      <c r="I233" s="427"/>
      <c r="J233" s="428"/>
      <c r="L233" s="146"/>
    </row>
    <row r="234" spans="1:12" s="166" customFormat="1" ht="17.3" customHeight="1">
      <c r="A234" s="1046"/>
      <c r="B234" s="344"/>
      <c r="C234" s="379" t="s">
        <v>93</v>
      </c>
      <c r="D234" s="422"/>
      <c r="E234" s="1198" t="s">
        <v>229</v>
      </c>
      <c r="F234" s="1199"/>
      <c r="G234" s="1199"/>
      <c r="H234" s="1200"/>
      <c r="I234" s="1180">
        <v>1</v>
      </c>
      <c r="J234" s="1197">
        <f>IF(L234,I234,0)</f>
        <v>1</v>
      </c>
      <c r="L234" s="146" t="b">
        <v>1</v>
      </c>
    </row>
    <row r="235" spans="1:12" s="166" customFormat="1" ht="15" customHeight="1">
      <c r="A235" s="1046"/>
      <c r="B235" s="343"/>
      <c r="C235" s="378"/>
      <c r="D235" s="373"/>
      <c r="E235" s="1429"/>
      <c r="F235" s="1429"/>
      <c r="G235" s="1429"/>
      <c r="H235" s="346"/>
      <c r="I235" s="390"/>
      <c r="J235" s="386"/>
      <c r="L235" s="146"/>
    </row>
    <row r="236" spans="1:12" s="166" customFormat="1" ht="27.1" customHeight="1">
      <c r="A236" s="1046"/>
      <c r="B236" s="350"/>
      <c r="C236" s="378"/>
      <c r="D236" s="373"/>
      <c r="E236" s="1453" t="s">
        <v>230</v>
      </c>
      <c r="F236" s="1453"/>
      <c r="G236" s="1453"/>
      <c r="H236" s="1454"/>
      <c r="I236" s="390"/>
      <c r="J236" s="426"/>
      <c r="L236" s="146"/>
    </row>
    <row r="237" spans="1:12" s="166" customFormat="1" ht="17.3" customHeight="1">
      <c r="A237" s="1046"/>
      <c r="B237" s="344"/>
      <c r="C237" s="379" t="s">
        <v>92</v>
      </c>
      <c r="D237" s="422"/>
      <c r="E237" s="1196" t="s">
        <v>602</v>
      </c>
      <c r="F237" s="1196"/>
      <c r="G237" s="1196"/>
      <c r="H237" s="1201"/>
      <c r="I237" s="1180">
        <v>1</v>
      </c>
      <c r="J237" s="1197">
        <f>IF(L237,I237,0)</f>
        <v>1</v>
      </c>
      <c r="L237" s="146" t="b">
        <v>1</v>
      </c>
    </row>
    <row r="238" spans="1:12" s="166" customFormat="1" ht="15" customHeight="1">
      <c r="A238" s="1046"/>
      <c r="B238" s="348"/>
      <c r="C238" s="378"/>
      <c r="D238" s="373"/>
      <c r="E238" s="1159" t="s">
        <v>603</v>
      </c>
      <c r="F238" s="1159"/>
      <c r="G238" s="1159"/>
      <c r="H238" s="1161"/>
      <c r="I238" s="390"/>
      <c r="J238" s="426"/>
      <c r="L238" s="146"/>
    </row>
    <row r="239" spans="1:12" s="166" customFormat="1" ht="25.5" customHeight="1">
      <c r="A239" s="1046"/>
      <c r="B239" s="350"/>
      <c r="C239" s="378"/>
      <c r="D239" s="373"/>
      <c r="E239" s="1410" t="s">
        <v>231</v>
      </c>
      <c r="F239" s="1410"/>
      <c r="G239" s="1410"/>
      <c r="H239" s="1410"/>
      <c r="I239" s="429"/>
      <c r="J239" s="426"/>
      <c r="L239" s="146"/>
    </row>
    <row r="240" spans="1:12" s="166" customFormat="1" ht="17.3" customHeight="1">
      <c r="A240" s="1046"/>
      <c r="B240" s="344"/>
      <c r="C240" s="379" t="s">
        <v>91</v>
      </c>
      <c r="D240" s="422"/>
      <c r="E240" s="1413" t="s">
        <v>987</v>
      </c>
      <c r="F240" s="1413"/>
      <c r="G240" s="1413"/>
      <c r="H240" s="1175"/>
      <c r="I240" s="1180">
        <v>1</v>
      </c>
      <c r="J240" s="1197">
        <f>IF(L240,I240,0)</f>
        <v>1</v>
      </c>
      <c r="L240" s="146" t="b">
        <v>1</v>
      </c>
    </row>
    <row r="241" spans="1:12" s="166" customFormat="1" ht="15" customHeight="1" thickBot="1">
      <c r="A241" s="1046"/>
      <c r="B241" s="348"/>
      <c r="C241" s="378"/>
      <c r="D241" s="373"/>
      <c r="E241" s="1409" t="s">
        <v>988</v>
      </c>
      <c r="F241" s="1409"/>
      <c r="G241" s="1409"/>
      <c r="H241" s="1161"/>
      <c r="I241" s="390"/>
      <c r="J241" s="426"/>
      <c r="L241" s="146"/>
    </row>
    <row r="242" spans="1:12" s="166" customFormat="1" ht="22.5" customHeight="1" thickBot="1">
      <c r="A242" s="1046"/>
      <c r="B242" s="353"/>
      <c r="C242" s="364"/>
      <c r="D242" s="364"/>
      <c r="E242" s="354"/>
      <c r="F242" s="355"/>
      <c r="G242" s="355"/>
      <c r="H242" s="356" t="s">
        <v>943</v>
      </c>
      <c r="I242" s="399">
        <f>IF($M$3,SUM(I212:I240),)</f>
        <v>8</v>
      </c>
      <c r="J242" s="358">
        <f>IF($M$3,SUMIF(L211:L240,TRUE,J211:J240),0)</f>
        <v>8</v>
      </c>
      <c r="L242" s="146"/>
    </row>
    <row r="243" spans="1:12" s="166" customFormat="1" ht="7.5" customHeight="1">
      <c r="A243" s="1046"/>
      <c r="B243" s="368"/>
      <c r="C243" s="365"/>
      <c r="D243" s="365"/>
      <c r="E243" s="366"/>
      <c r="F243" s="79"/>
      <c r="G243" s="79"/>
      <c r="H243" s="352"/>
      <c r="I243" s="369"/>
      <c r="J243" s="367"/>
      <c r="L243" s="146"/>
    </row>
    <row r="244" spans="1:12" s="166" customFormat="1" ht="22.5" customHeight="1">
      <c r="A244" s="1046"/>
      <c r="B244" s="42" t="s">
        <v>123</v>
      </c>
      <c r="C244" s="43"/>
      <c r="D244" s="44"/>
      <c r="E244" s="43"/>
      <c r="F244" s="43"/>
      <c r="G244" s="77"/>
      <c r="H244" s="77"/>
      <c r="I244" s="384"/>
      <c r="J244" s="385"/>
      <c r="L244" s="146"/>
    </row>
    <row r="245" spans="1:12" s="166" customFormat="1" ht="17.3" customHeight="1">
      <c r="A245" s="1046"/>
      <c r="B245" s="344"/>
      <c r="C245" s="1202" t="s">
        <v>86</v>
      </c>
      <c r="D245" s="373"/>
      <c r="E245" s="1157" t="s">
        <v>644</v>
      </c>
      <c r="F245" s="1157"/>
      <c r="G245" s="1157"/>
      <c r="H245" s="152"/>
      <c r="I245" s="1182">
        <v>4</v>
      </c>
      <c r="J245" s="1195">
        <f>IF(L245,I245,0)</f>
        <v>4</v>
      </c>
      <c r="L245" s="146" t="b">
        <v>1</v>
      </c>
    </row>
    <row r="246" spans="1:12" s="166" customFormat="1" ht="45.1" customHeight="1">
      <c r="A246" s="1046"/>
      <c r="B246" s="348"/>
      <c r="C246" s="378"/>
      <c r="D246" s="373"/>
      <c r="E246" s="1409" t="s">
        <v>645</v>
      </c>
      <c r="F246" s="1409"/>
      <c r="G246" s="1409"/>
      <c r="H246" s="1161"/>
      <c r="I246" s="390"/>
      <c r="J246" s="426"/>
      <c r="L246" s="146"/>
    </row>
    <row r="247" spans="1:12" s="166" customFormat="1" ht="65.25" customHeight="1">
      <c r="A247" s="1046"/>
      <c r="B247" s="348"/>
      <c r="C247" s="376"/>
      <c r="D247" s="171"/>
      <c r="E247" s="1410" t="s">
        <v>360</v>
      </c>
      <c r="F247" s="1410"/>
      <c r="G247" s="1410"/>
      <c r="H247" s="1410"/>
      <c r="I247" s="427"/>
      <c r="J247" s="428"/>
      <c r="L247" s="146"/>
    </row>
    <row r="248" spans="1:12" s="166" customFormat="1" ht="38.299999999999997" customHeight="1">
      <c r="A248" s="1046"/>
      <c r="B248" s="348"/>
      <c r="C248" s="376"/>
      <c r="D248" s="171"/>
      <c r="E248" s="1410" t="s">
        <v>340</v>
      </c>
      <c r="F248" s="1410"/>
      <c r="G248" s="1410"/>
      <c r="H248" s="1410"/>
      <c r="I248" s="427"/>
      <c r="J248" s="428"/>
      <c r="L248" s="146"/>
    </row>
    <row r="249" spans="1:12" s="166" customFormat="1" ht="24.8" customHeight="1">
      <c r="A249" s="1046"/>
      <c r="B249" s="350"/>
      <c r="C249" s="376"/>
      <c r="D249" s="171"/>
      <c r="E249" s="1410" t="s">
        <v>375</v>
      </c>
      <c r="F249" s="1410"/>
      <c r="G249" s="1410"/>
      <c r="H249" s="1410"/>
      <c r="I249" s="427"/>
      <c r="J249" s="428"/>
      <c r="L249" s="146"/>
    </row>
    <row r="250" spans="1:12" s="166" customFormat="1" ht="17.3" customHeight="1">
      <c r="A250" s="1046"/>
      <c r="B250" s="344"/>
      <c r="C250" s="379" t="s">
        <v>85</v>
      </c>
      <c r="D250" s="422"/>
      <c r="E250" s="1196" t="s">
        <v>646</v>
      </c>
      <c r="F250" s="1196"/>
      <c r="G250" s="1196"/>
      <c r="H250" s="1201"/>
      <c r="I250" s="1180">
        <v>8</v>
      </c>
      <c r="J250" s="1197">
        <f t="shared" ref="J250" si="8">IF(L250,I250,0)</f>
        <v>8</v>
      </c>
      <c r="L250" s="146" t="b">
        <v>1</v>
      </c>
    </row>
    <row r="251" spans="1:12" s="166" customFormat="1" ht="29.95" customHeight="1">
      <c r="A251" s="1046"/>
      <c r="B251" s="348"/>
      <c r="C251" s="378"/>
      <c r="D251" s="373"/>
      <c r="E251" s="1409" t="s">
        <v>647</v>
      </c>
      <c r="F251" s="1409"/>
      <c r="G251" s="1409"/>
      <c r="H251" s="1161"/>
      <c r="I251" s="390"/>
      <c r="J251" s="426"/>
      <c r="L251" s="146"/>
    </row>
    <row r="252" spans="1:12" s="166" customFormat="1" ht="12.85" customHeight="1">
      <c r="A252" s="1046"/>
      <c r="B252" s="348"/>
      <c r="C252" s="378"/>
      <c r="D252" s="373"/>
      <c r="E252" s="1431" t="s">
        <v>341</v>
      </c>
      <c r="F252" s="1431"/>
      <c r="G252" s="1431"/>
      <c r="H252" s="1121"/>
      <c r="I252" s="390"/>
      <c r="J252" s="426"/>
      <c r="L252" s="146"/>
    </row>
    <row r="253" spans="1:12" s="166" customFormat="1" ht="12.85" customHeight="1">
      <c r="A253" s="1046"/>
      <c r="B253" s="348"/>
      <c r="C253" s="378"/>
      <c r="D253" s="373"/>
      <c r="E253" s="1160" t="s">
        <v>98</v>
      </c>
      <c r="F253" s="1121" t="s">
        <v>233</v>
      </c>
      <c r="G253" s="1121"/>
      <c r="H253" s="1121"/>
      <c r="I253" s="390"/>
      <c r="J253" s="426"/>
      <c r="L253" s="146"/>
    </row>
    <row r="254" spans="1:12" s="166" customFormat="1" ht="12.85" customHeight="1">
      <c r="A254" s="1046"/>
      <c r="B254" s="348"/>
      <c r="C254" s="376"/>
      <c r="D254" s="171"/>
      <c r="E254" s="1117" t="s">
        <v>232</v>
      </c>
      <c r="F254" s="1121" t="s">
        <v>238</v>
      </c>
      <c r="G254" s="1121"/>
      <c r="H254" s="1121"/>
      <c r="I254" s="391"/>
      <c r="J254" s="428"/>
      <c r="L254" s="146"/>
    </row>
    <row r="255" spans="1:12" s="166" customFormat="1">
      <c r="A255" s="1046"/>
      <c r="B255" s="349"/>
      <c r="C255" s="378"/>
      <c r="D255" s="373"/>
      <c r="E255" s="1125"/>
      <c r="F255" s="1119"/>
      <c r="G255" s="1120"/>
      <c r="H255" s="1120"/>
      <c r="I255" s="390"/>
      <c r="J255" s="426"/>
      <c r="L255" s="146"/>
    </row>
    <row r="256" spans="1:12" s="166" customFormat="1" ht="12.85" customHeight="1">
      <c r="A256" s="1046"/>
      <c r="B256" s="348"/>
      <c r="C256" s="376"/>
      <c r="D256" s="171"/>
      <c r="E256" s="1117" t="s">
        <v>232</v>
      </c>
      <c r="F256" s="1121" t="s">
        <v>237</v>
      </c>
      <c r="G256" s="1121"/>
      <c r="H256" s="1121"/>
      <c r="I256" s="391"/>
      <c r="J256" s="428"/>
      <c r="L256" s="146"/>
    </row>
    <row r="257" spans="1:12" s="166" customFormat="1">
      <c r="A257" s="1046"/>
      <c r="B257" s="349"/>
      <c r="C257" s="378"/>
      <c r="D257" s="373"/>
      <c r="E257" s="1125"/>
      <c r="F257" s="1119"/>
      <c r="G257" s="1120"/>
      <c r="H257" s="1120"/>
      <c r="I257" s="390"/>
      <c r="J257" s="426"/>
      <c r="L257" s="146"/>
    </row>
    <row r="258" spans="1:12" s="166" customFormat="1" ht="12.85" customHeight="1">
      <c r="A258" s="1046"/>
      <c r="B258" s="348"/>
      <c r="C258" s="376"/>
      <c r="D258" s="171"/>
      <c r="E258" s="1117" t="s">
        <v>232</v>
      </c>
      <c r="F258" s="1121" t="s">
        <v>239</v>
      </c>
      <c r="G258" s="1121"/>
      <c r="H258" s="1121"/>
      <c r="I258" s="391"/>
      <c r="J258" s="428"/>
      <c r="L258" s="146"/>
    </row>
    <row r="259" spans="1:12" s="166" customFormat="1">
      <c r="A259" s="1046"/>
      <c r="B259" s="349"/>
      <c r="C259" s="378"/>
      <c r="D259" s="373"/>
      <c r="E259" s="1125"/>
      <c r="F259" s="1119"/>
      <c r="G259" s="1120"/>
      <c r="H259" s="1120"/>
      <c r="I259" s="390"/>
      <c r="J259" s="426"/>
      <c r="L259" s="146"/>
    </row>
    <row r="260" spans="1:12" s="166" customFormat="1" ht="12.85" customHeight="1">
      <c r="A260" s="1046"/>
      <c r="B260" s="348"/>
      <c r="C260" s="376"/>
      <c r="D260" s="171"/>
      <c r="E260" s="1117" t="s">
        <v>232</v>
      </c>
      <c r="F260" s="1121" t="s">
        <v>240</v>
      </c>
      <c r="G260" s="1121"/>
      <c r="H260" s="1121"/>
      <c r="I260" s="391"/>
      <c r="J260" s="428"/>
      <c r="L260" s="146"/>
    </row>
    <row r="261" spans="1:12" s="166" customFormat="1" ht="12.85" customHeight="1">
      <c r="A261" s="1046"/>
      <c r="B261" s="348"/>
      <c r="C261" s="378"/>
      <c r="D261" s="373"/>
      <c r="E261" s="1160" t="s">
        <v>98</v>
      </c>
      <c r="F261" s="1121" t="s">
        <v>241</v>
      </c>
      <c r="G261" s="1121"/>
      <c r="H261" s="1121"/>
      <c r="I261" s="390"/>
      <c r="J261" s="426"/>
      <c r="L261" s="146"/>
    </row>
    <row r="262" spans="1:12" s="166" customFormat="1" ht="12.85" customHeight="1">
      <c r="A262" s="1046"/>
      <c r="B262" s="348"/>
      <c r="C262" s="376"/>
      <c r="D262" s="171"/>
      <c r="E262" s="1117" t="s">
        <v>232</v>
      </c>
      <c r="F262" s="1121" t="s">
        <v>242</v>
      </c>
      <c r="G262" s="1121"/>
      <c r="H262" s="1121"/>
      <c r="I262" s="391"/>
      <c r="J262" s="428"/>
      <c r="L262" s="146"/>
    </row>
    <row r="263" spans="1:12" s="166" customFormat="1" ht="12.85" customHeight="1">
      <c r="A263" s="1046"/>
      <c r="B263" s="348"/>
      <c r="C263" s="376"/>
      <c r="D263" s="171"/>
      <c r="E263" s="1117" t="s">
        <v>232</v>
      </c>
      <c r="F263" s="1121" t="s">
        <v>243</v>
      </c>
      <c r="G263" s="1121"/>
      <c r="H263" s="1121"/>
      <c r="I263" s="391"/>
      <c r="J263" s="428"/>
      <c r="L263" s="146"/>
    </row>
    <row r="264" spans="1:12" s="166" customFormat="1" ht="12.85" customHeight="1">
      <c r="A264" s="1046"/>
      <c r="B264" s="348"/>
      <c r="C264" s="376"/>
      <c r="D264" s="171"/>
      <c r="E264" s="1117" t="s">
        <v>232</v>
      </c>
      <c r="F264" s="1121" t="s">
        <v>244</v>
      </c>
      <c r="G264" s="1121"/>
      <c r="H264" s="1121"/>
      <c r="I264" s="391"/>
      <c r="J264" s="428"/>
      <c r="L264" s="146"/>
    </row>
    <row r="265" spans="1:12" s="166" customFormat="1" ht="25.5" customHeight="1">
      <c r="A265" s="1046"/>
      <c r="B265" s="348"/>
      <c r="C265" s="378"/>
      <c r="D265" s="373"/>
      <c r="E265" s="1160" t="s">
        <v>98</v>
      </c>
      <c r="F265" s="1402" t="s">
        <v>361</v>
      </c>
      <c r="G265" s="1402"/>
      <c r="H265" s="1403"/>
      <c r="I265" s="390"/>
      <c r="J265" s="426"/>
      <c r="L265" s="146"/>
    </row>
    <row r="266" spans="1:12" s="166" customFormat="1" ht="12.85" customHeight="1">
      <c r="A266" s="1046"/>
      <c r="B266" s="348"/>
      <c r="C266" s="378"/>
      <c r="D266" s="373"/>
      <c r="E266" s="1431" t="s">
        <v>342</v>
      </c>
      <c r="F266" s="1431"/>
      <c r="G266" s="1431"/>
      <c r="H266" s="1121"/>
      <c r="I266" s="390"/>
      <c r="J266" s="426"/>
      <c r="L266" s="146"/>
    </row>
    <row r="267" spans="1:12" s="166" customFormat="1" ht="12.85" customHeight="1">
      <c r="A267" s="1046"/>
      <c r="B267" s="348"/>
      <c r="C267" s="378"/>
      <c r="D267" s="373"/>
      <c r="E267" s="1160" t="s">
        <v>98</v>
      </c>
      <c r="F267" s="1121" t="s">
        <v>245</v>
      </c>
      <c r="G267" s="1121"/>
      <c r="H267" s="1121"/>
      <c r="I267" s="390"/>
      <c r="J267" s="426"/>
      <c r="L267" s="146"/>
    </row>
    <row r="268" spans="1:12" s="166" customFormat="1" ht="12.85" customHeight="1">
      <c r="A268" s="1046"/>
      <c r="B268" s="348"/>
      <c r="C268" s="376"/>
      <c r="D268" s="171"/>
      <c r="E268" s="1117" t="s">
        <v>232</v>
      </c>
      <c r="F268" s="1121" t="s">
        <v>249</v>
      </c>
      <c r="G268" s="1121"/>
      <c r="H268" s="1121"/>
      <c r="I268" s="391"/>
      <c r="J268" s="428"/>
      <c r="L268" s="146"/>
    </row>
    <row r="269" spans="1:12" s="166" customFormat="1">
      <c r="A269" s="1046"/>
      <c r="B269" s="349"/>
      <c r="C269" s="378"/>
      <c r="D269" s="373"/>
      <c r="E269" s="1124"/>
      <c r="F269" s="1119"/>
      <c r="G269" s="1120"/>
      <c r="H269" s="1120"/>
      <c r="I269" s="390"/>
      <c r="J269" s="426"/>
      <c r="L269" s="146"/>
    </row>
    <row r="270" spans="1:12" s="166" customFormat="1" ht="12.85" customHeight="1">
      <c r="A270" s="1046"/>
      <c r="B270" s="348"/>
      <c r="C270" s="376"/>
      <c r="D270" s="171"/>
      <c r="E270" s="1117" t="s">
        <v>232</v>
      </c>
      <c r="F270" s="1121" t="s">
        <v>250</v>
      </c>
      <c r="G270" s="1121"/>
      <c r="H270" s="1121"/>
      <c r="I270" s="391"/>
      <c r="J270" s="428"/>
      <c r="L270" s="146"/>
    </row>
    <row r="271" spans="1:12" s="166" customFormat="1">
      <c r="A271" s="1046"/>
      <c r="B271" s="349"/>
      <c r="C271" s="378"/>
      <c r="D271" s="373"/>
      <c r="E271" s="1124"/>
      <c r="F271" s="1119"/>
      <c r="G271" s="1120"/>
      <c r="H271" s="1120"/>
      <c r="I271" s="390"/>
      <c r="J271" s="426"/>
      <c r="L271" s="146"/>
    </row>
    <row r="272" spans="1:12" s="166" customFormat="1" ht="12.85" customHeight="1">
      <c r="A272" s="1046"/>
      <c r="B272" s="348"/>
      <c r="C272" s="376"/>
      <c r="D272" s="171"/>
      <c r="E272" s="1117" t="s">
        <v>232</v>
      </c>
      <c r="F272" s="1121" t="s">
        <v>251</v>
      </c>
      <c r="G272" s="1121"/>
      <c r="H272" s="1121"/>
      <c r="I272" s="391"/>
      <c r="J272" s="428"/>
      <c r="L272" s="146"/>
    </row>
    <row r="273" spans="1:12" s="166" customFormat="1">
      <c r="A273" s="1046"/>
      <c r="B273" s="349"/>
      <c r="C273" s="378"/>
      <c r="D273" s="373"/>
      <c r="E273" s="1124"/>
      <c r="F273" s="1119"/>
      <c r="G273" s="1120"/>
      <c r="H273" s="1120"/>
      <c r="I273" s="390"/>
      <c r="J273" s="426"/>
      <c r="L273" s="146"/>
    </row>
    <row r="274" spans="1:12" s="166" customFormat="1" ht="12.85" customHeight="1">
      <c r="A274" s="1046"/>
      <c r="B274" s="348"/>
      <c r="C274" s="376"/>
      <c r="D274" s="171"/>
      <c r="E274" s="1117" t="s">
        <v>232</v>
      </c>
      <c r="F274" s="1121" t="s">
        <v>252</v>
      </c>
      <c r="G274" s="1121"/>
      <c r="H274" s="1121"/>
      <c r="I274" s="391"/>
      <c r="J274" s="428"/>
      <c r="L274" s="146"/>
    </row>
    <row r="275" spans="1:12" s="166" customFormat="1">
      <c r="A275" s="1046"/>
      <c r="B275" s="349"/>
      <c r="C275" s="378"/>
      <c r="D275" s="373"/>
      <c r="E275" s="1124"/>
      <c r="F275" s="1119"/>
      <c r="G275" s="1120"/>
      <c r="H275" s="1120"/>
      <c r="I275" s="390"/>
      <c r="J275" s="426"/>
      <c r="L275" s="146"/>
    </row>
    <row r="276" spans="1:12" s="166" customFormat="1" ht="12.85" customHeight="1">
      <c r="A276" s="1046"/>
      <c r="B276" s="348"/>
      <c r="C276" s="376"/>
      <c r="D276" s="171"/>
      <c r="E276" s="1117" t="s">
        <v>232</v>
      </c>
      <c r="F276" s="1121" t="s">
        <v>312</v>
      </c>
      <c r="G276" s="1121"/>
      <c r="H276" s="1121"/>
      <c r="I276" s="391"/>
      <c r="J276" s="428"/>
      <c r="L276" s="146"/>
    </row>
    <row r="277" spans="1:12" s="166" customFormat="1">
      <c r="A277" s="1046"/>
      <c r="B277" s="349"/>
      <c r="C277" s="378"/>
      <c r="D277" s="373"/>
      <c r="E277" s="1124"/>
      <c r="F277" s="1119"/>
      <c r="G277" s="1120"/>
      <c r="H277" s="1120"/>
      <c r="I277" s="390"/>
      <c r="J277" s="426"/>
      <c r="L277" s="146"/>
    </row>
    <row r="278" spans="1:12" s="166" customFormat="1" ht="12.85" customHeight="1">
      <c r="A278" s="1046"/>
      <c r="B278" s="348"/>
      <c r="C278" s="378"/>
      <c r="D278" s="373"/>
      <c r="E278" s="1160" t="s">
        <v>98</v>
      </c>
      <c r="F278" s="1121" t="s">
        <v>253</v>
      </c>
      <c r="G278" s="1121"/>
      <c r="H278" s="1121"/>
      <c r="I278" s="390"/>
      <c r="J278" s="426"/>
      <c r="L278" s="146"/>
    </row>
    <row r="279" spans="1:12" s="166" customFormat="1" ht="12.85" customHeight="1">
      <c r="A279" s="1046"/>
      <c r="B279" s="348"/>
      <c r="C279" s="378"/>
      <c r="D279" s="373"/>
      <c r="E279" s="1160" t="s">
        <v>98</v>
      </c>
      <c r="F279" s="1121" t="s">
        <v>254</v>
      </c>
      <c r="G279" s="1121"/>
      <c r="H279" s="1121"/>
      <c r="I279" s="390"/>
      <c r="J279" s="426"/>
      <c r="L279" s="146"/>
    </row>
    <row r="280" spans="1:12" s="166" customFormat="1" ht="12.85" customHeight="1">
      <c r="A280" s="1046"/>
      <c r="B280" s="348"/>
      <c r="C280" s="376"/>
      <c r="D280" s="171"/>
      <c r="E280" s="1117" t="s">
        <v>232</v>
      </c>
      <c r="F280" s="1121" t="s">
        <v>255</v>
      </c>
      <c r="G280" s="1121"/>
      <c r="H280" s="1121"/>
      <c r="I280" s="391"/>
      <c r="J280" s="428"/>
      <c r="L280" s="146"/>
    </row>
    <row r="281" spans="1:12" s="166" customFormat="1" ht="12.85" customHeight="1">
      <c r="A281" s="1046"/>
      <c r="B281" s="348"/>
      <c r="C281" s="376"/>
      <c r="D281" s="171"/>
      <c r="E281" s="1117" t="s">
        <v>232</v>
      </c>
      <c r="F281" s="1121" t="s">
        <v>256</v>
      </c>
      <c r="G281" s="1121"/>
      <c r="H281" s="1121"/>
      <c r="I281" s="391"/>
      <c r="J281" s="428"/>
      <c r="L281" s="146"/>
    </row>
    <row r="282" spans="1:12" s="166" customFormat="1" ht="12.85" customHeight="1">
      <c r="A282" s="1046"/>
      <c r="B282" s="348"/>
      <c r="C282" s="376"/>
      <c r="D282" s="171"/>
      <c r="E282" s="1117" t="s">
        <v>232</v>
      </c>
      <c r="F282" s="1121" t="s">
        <v>257</v>
      </c>
      <c r="G282" s="1121"/>
      <c r="H282" s="1121"/>
      <c r="I282" s="391"/>
      <c r="J282" s="428"/>
      <c r="L282" s="146"/>
    </row>
    <row r="283" spans="1:12" s="166" customFormat="1" ht="12.85" customHeight="1">
      <c r="A283" s="1046"/>
      <c r="B283" s="348"/>
      <c r="C283" s="376"/>
      <c r="D283" s="171"/>
      <c r="E283" s="1117" t="s">
        <v>232</v>
      </c>
      <c r="F283" s="1121" t="s">
        <v>258</v>
      </c>
      <c r="G283" s="1121"/>
      <c r="H283" s="1121"/>
      <c r="I283" s="391"/>
      <c r="J283" s="428"/>
      <c r="L283" s="146"/>
    </row>
    <row r="284" spans="1:12" s="166" customFormat="1">
      <c r="A284" s="1046"/>
      <c r="B284" s="359"/>
      <c r="C284" s="378"/>
      <c r="D284" s="373"/>
      <c r="E284" s="1124"/>
      <c r="F284" s="1119"/>
      <c r="G284" s="1120"/>
      <c r="H284" s="1120"/>
      <c r="I284" s="390"/>
      <c r="J284" s="426"/>
      <c r="L284" s="146"/>
    </row>
    <row r="285" spans="1:12" s="166" customFormat="1" ht="17.3" customHeight="1">
      <c r="A285" s="1046"/>
      <c r="B285" s="344"/>
      <c r="C285" s="379" t="s">
        <v>84</v>
      </c>
      <c r="D285" s="422"/>
      <c r="E285" s="1196" t="s">
        <v>648</v>
      </c>
      <c r="F285" s="1196"/>
      <c r="G285" s="1196"/>
      <c r="H285" s="1201"/>
      <c r="I285" s="1180">
        <v>2</v>
      </c>
      <c r="J285" s="1197">
        <f>IF(L285,I285,0)</f>
        <v>2</v>
      </c>
      <c r="L285" s="146" t="b">
        <v>1</v>
      </c>
    </row>
    <row r="286" spans="1:12" s="166" customFormat="1" ht="29.95" customHeight="1">
      <c r="A286" s="1046"/>
      <c r="B286" s="348"/>
      <c r="C286" s="378"/>
      <c r="D286" s="373"/>
      <c r="E286" s="1409" t="s">
        <v>649</v>
      </c>
      <c r="F286" s="1409"/>
      <c r="G286" s="1409"/>
      <c r="H286" s="1161"/>
      <c r="I286" s="390"/>
      <c r="J286" s="426"/>
      <c r="L286" s="146"/>
    </row>
    <row r="287" spans="1:12" s="166" customFormat="1" ht="41.2" customHeight="1">
      <c r="A287" s="1046"/>
      <c r="B287" s="350"/>
      <c r="C287" s="378"/>
      <c r="D287" s="373"/>
      <c r="E287" s="1402" t="s">
        <v>1214</v>
      </c>
      <c r="F287" s="1402"/>
      <c r="G287" s="1402"/>
      <c r="H287" s="1402"/>
      <c r="I287" s="390"/>
      <c r="J287" s="426"/>
      <c r="L287" s="146"/>
    </row>
    <row r="288" spans="1:12" s="166" customFormat="1" ht="17.3" customHeight="1">
      <c r="A288" s="1046"/>
      <c r="B288" s="344"/>
      <c r="C288" s="379" t="s">
        <v>93</v>
      </c>
      <c r="D288" s="422"/>
      <c r="E288" s="1414" t="s">
        <v>260</v>
      </c>
      <c r="F288" s="1414"/>
      <c r="G288" s="1414"/>
      <c r="H288" s="1181"/>
      <c r="I288" s="1180">
        <v>1</v>
      </c>
      <c r="J288" s="1197">
        <f>IF(L288,I288,0)</f>
        <v>1</v>
      </c>
      <c r="L288" s="146" t="b">
        <v>1</v>
      </c>
    </row>
    <row r="289" spans="1:12" s="166" customFormat="1" ht="15" customHeight="1">
      <c r="A289" s="1046"/>
      <c r="B289" s="343"/>
      <c r="C289" s="378"/>
      <c r="D289" s="373"/>
      <c r="E289" s="1429"/>
      <c r="F289" s="1429"/>
      <c r="G289" s="1429"/>
      <c r="H289" s="346"/>
      <c r="I289" s="390"/>
      <c r="J289" s="386"/>
      <c r="L289" s="146"/>
    </row>
    <row r="290" spans="1:12" s="166" customFormat="1" ht="12.85" customHeight="1" thickBot="1">
      <c r="A290" s="1046"/>
      <c r="B290" s="350"/>
      <c r="C290" s="375"/>
      <c r="D290" s="371"/>
      <c r="E290" s="1434" t="s">
        <v>259</v>
      </c>
      <c r="F290" s="1434"/>
      <c r="G290" s="1434"/>
      <c r="H290" s="1435"/>
      <c r="I290" s="393"/>
      <c r="J290" s="426"/>
      <c r="L290" s="146"/>
    </row>
    <row r="291" spans="1:12" s="166" customFormat="1" ht="22.5" customHeight="1" thickBot="1">
      <c r="A291" s="1046"/>
      <c r="B291" s="353"/>
      <c r="C291" s="364"/>
      <c r="D291" s="364"/>
      <c r="E291" s="354"/>
      <c r="F291" s="355"/>
      <c r="G291" s="355"/>
      <c r="H291" s="356" t="s">
        <v>942</v>
      </c>
      <c r="I291" s="357">
        <f>IF($M$3,SUM(I245:I288),0)</f>
        <v>15</v>
      </c>
      <c r="J291" s="358">
        <f>IF($M$3,SUMIF(L245:L288,TRUE,J245:J288),0)</f>
        <v>15</v>
      </c>
      <c r="L291" s="146"/>
    </row>
    <row r="292" spans="1:12" s="166" customFormat="1" ht="7.5" customHeight="1">
      <c r="A292" s="1046"/>
      <c r="B292" s="368"/>
      <c r="C292" s="365"/>
      <c r="D292" s="365"/>
      <c r="E292" s="366"/>
      <c r="F292" s="79"/>
      <c r="G292" s="79"/>
      <c r="H292" s="352"/>
      <c r="I292" s="369"/>
      <c r="J292" s="367"/>
      <c r="L292" s="146"/>
    </row>
    <row r="293" spans="1:12" s="170" customFormat="1" ht="22.5" customHeight="1">
      <c r="A293" s="1052"/>
      <c r="B293" s="416" t="s">
        <v>124</v>
      </c>
      <c r="C293" s="415"/>
      <c r="D293" s="423"/>
      <c r="E293" s="415"/>
      <c r="F293" s="415"/>
      <c r="G293" s="77"/>
      <c r="H293" s="77"/>
      <c r="I293" s="400"/>
      <c r="J293" s="401"/>
      <c r="L293" s="150"/>
    </row>
    <row r="294" spans="1:12" s="166" customFormat="1" ht="17.3" customHeight="1">
      <c r="A294" s="1046"/>
      <c r="B294" s="344"/>
      <c r="C294" s="374" t="s">
        <v>86</v>
      </c>
      <c r="D294" s="417"/>
      <c r="E294" s="1408" t="s">
        <v>994</v>
      </c>
      <c r="F294" s="1408"/>
      <c r="G294" s="1408"/>
      <c r="H294" s="1203"/>
      <c r="I294" s="1182">
        <v>5</v>
      </c>
      <c r="J294" s="1195">
        <f>IF(L294,I294,0)</f>
        <v>5</v>
      </c>
      <c r="L294" s="146" t="b">
        <v>1</v>
      </c>
    </row>
    <row r="295" spans="1:12" s="166" customFormat="1" ht="15" customHeight="1">
      <c r="A295" s="1046"/>
      <c r="B295" s="348"/>
      <c r="C295" s="378"/>
      <c r="D295" s="373"/>
      <c r="E295" s="1429" t="s">
        <v>995</v>
      </c>
      <c r="F295" s="1429"/>
      <c r="G295" s="1429"/>
      <c r="H295" s="1161"/>
      <c r="I295" s="390"/>
      <c r="J295" s="426"/>
      <c r="L295" s="146"/>
    </row>
    <row r="296" spans="1:12" s="166" customFormat="1" ht="78.8" customHeight="1">
      <c r="A296" s="1046"/>
      <c r="B296" s="350"/>
      <c r="C296" s="378"/>
      <c r="D296" s="373"/>
      <c r="E296" s="1402" t="s">
        <v>1215</v>
      </c>
      <c r="F296" s="1402"/>
      <c r="G296" s="1402"/>
      <c r="H296" s="1402"/>
      <c r="I296" s="390"/>
      <c r="J296" s="426"/>
      <c r="L296" s="146"/>
    </row>
    <row r="297" spans="1:12" s="166" customFormat="1" ht="17.3" customHeight="1">
      <c r="A297" s="1046"/>
      <c r="B297" s="344"/>
      <c r="C297" s="379" t="s">
        <v>85</v>
      </c>
      <c r="D297" s="422"/>
      <c r="E297" s="1413" t="s">
        <v>652</v>
      </c>
      <c r="F297" s="1413"/>
      <c r="G297" s="1413"/>
      <c r="H297" s="1201"/>
      <c r="I297" s="1180">
        <v>2</v>
      </c>
      <c r="J297" s="1197">
        <f>IF(L297,I297,0)</f>
        <v>2</v>
      </c>
      <c r="L297" s="146" t="b">
        <v>1</v>
      </c>
    </row>
    <row r="298" spans="1:12" s="166" customFormat="1" ht="29.95" customHeight="1">
      <c r="A298" s="1046"/>
      <c r="B298" s="348"/>
      <c r="C298" s="378"/>
      <c r="D298" s="373"/>
      <c r="E298" s="1409" t="s">
        <v>653</v>
      </c>
      <c r="F298" s="1409"/>
      <c r="G298" s="1409"/>
      <c r="H298" s="1161"/>
      <c r="I298" s="390"/>
      <c r="J298" s="426"/>
      <c r="L298" s="146"/>
    </row>
    <row r="299" spans="1:12" s="166" customFormat="1" ht="90" customHeight="1">
      <c r="A299" s="1046"/>
      <c r="B299" s="350"/>
      <c r="C299" s="378"/>
      <c r="D299" s="373"/>
      <c r="E299" s="1402" t="s">
        <v>261</v>
      </c>
      <c r="F299" s="1402"/>
      <c r="G299" s="1402"/>
      <c r="H299" s="1402"/>
      <c r="I299" s="390"/>
      <c r="J299" s="426"/>
      <c r="L299" s="146"/>
    </row>
    <row r="300" spans="1:12" s="166" customFormat="1" ht="17.3" customHeight="1">
      <c r="A300" s="1046"/>
      <c r="B300" s="344"/>
      <c r="C300" s="379" t="s">
        <v>84</v>
      </c>
      <c r="D300" s="422"/>
      <c r="E300" s="1413" t="s">
        <v>992</v>
      </c>
      <c r="F300" s="1413"/>
      <c r="G300" s="1413"/>
      <c r="H300" s="1201"/>
      <c r="I300" s="1180">
        <v>0.5</v>
      </c>
      <c r="J300" s="1197">
        <f t="shared" ref="J300" si="9">IF(L300,I300,0)</f>
        <v>0.5</v>
      </c>
      <c r="L300" s="146" t="b">
        <v>1</v>
      </c>
    </row>
    <row r="301" spans="1:12" s="166" customFormat="1" ht="15" customHeight="1">
      <c r="A301" s="1046"/>
      <c r="B301" s="348"/>
      <c r="C301" s="378"/>
      <c r="D301" s="373"/>
      <c r="E301" s="1409" t="s">
        <v>993</v>
      </c>
      <c r="F301" s="1409"/>
      <c r="G301" s="1409"/>
      <c r="H301" s="1161"/>
      <c r="I301" s="390"/>
      <c r="J301" s="426"/>
      <c r="L301" s="146"/>
    </row>
    <row r="302" spans="1:12" s="166" customFormat="1" ht="25.5" customHeight="1">
      <c r="A302" s="1046"/>
      <c r="B302" s="348"/>
      <c r="C302" s="378"/>
      <c r="D302" s="373"/>
      <c r="E302" s="1402" t="s">
        <v>262</v>
      </c>
      <c r="F302" s="1402"/>
      <c r="G302" s="1402"/>
      <c r="H302" s="1402"/>
      <c r="I302" s="390"/>
      <c r="J302" s="426"/>
      <c r="L302" s="146"/>
    </row>
    <row r="303" spans="1:12" s="166" customFormat="1">
      <c r="A303" s="1046"/>
      <c r="B303" s="349"/>
      <c r="C303" s="378"/>
      <c r="D303" s="373"/>
      <c r="E303" s="1124"/>
      <c r="F303" s="1119"/>
      <c r="G303" s="1120"/>
      <c r="H303" s="1120"/>
      <c r="I303" s="390"/>
      <c r="J303" s="426"/>
      <c r="L303" s="146"/>
    </row>
    <row r="304" spans="1:12" s="166" customFormat="1" ht="72.75" customHeight="1">
      <c r="A304" s="1046"/>
      <c r="B304" s="350"/>
      <c r="C304" s="378"/>
      <c r="D304" s="373"/>
      <c r="E304" s="1402" t="s">
        <v>362</v>
      </c>
      <c r="F304" s="1402"/>
      <c r="G304" s="1402"/>
      <c r="H304" s="1402"/>
      <c r="I304" s="390"/>
      <c r="J304" s="426"/>
      <c r="L304" s="146"/>
    </row>
    <row r="305" spans="1:12" s="166" customFormat="1" ht="17.3" customHeight="1">
      <c r="A305" s="1046"/>
      <c r="B305" s="344"/>
      <c r="C305" s="379" t="s">
        <v>93</v>
      </c>
      <c r="D305" s="422"/>
      <c r="E305" s="1414" t="s">
        <v>263</v>
      </c>
      <c r="F305" s="1414"/>
      <c r="G305" s="1414"/>
      <c r="H305" s="1181"/>
      <c r="I305" s="1180">
        <v>0.5</v>
      </c>
      <c r="J305" s="1197">
        <f>IF(L305,I305,0)</f>
        <v>0.5</v>
      </c>
      <c r="L305" s="146" t="b">
        <v>1</v>
      </c>
    </row>
    <row r="306" spans="1:12" s="166" customFormat="1" ht="15" customHeight="1">
      <c r="A306" s="1046"/>
      <c r="B306" s="343"/>
      <c r="C306" s="378"/>
      <c r="D306" s="373"/>
      <c r="E306" s="1429"/>
      <c r="F306" s="1429"/>
      <c r="G306" s="1429"/>
      <c r="H306" s="346"/>
      <c r="I306" s="390"/>
      <c r="J306" s="386"/>
      <c r="L306" s="146"/>
    </row>
    <row r="307" spans="1:12" s="166" customFormat="1" ht="25.5" customHeight="1">
      <c r="A307" s="1046"/>
      <c r="B307" s="350"/>
      <c r="C307" s="378"/>
      <c r="D307" s="373"/>
      <c r="E307" s="1402" t="s">
        <v>363</v>
      </c>
      <c r="F307" s="1402"/>
      <c r="G307" s="1402"/>
      <c r="H307" s="1402"/>
      <c r="I307" s="390"/>
      <c r="J307" s="426"/>
      <c r="L307" s="146"/>
    </row>
    <row r="308" spans="1:12" s="166" customFormat="1" ht="17.3" customHeight="1">
      <c r="A308" s="1046"/>
      <c r="B308" s="344"/>
      <c r="C308" s="379" t="s">
        <v>92</v>
      </c>
      <c r="D308" s="422"/>
      <c r="E308" s="1413" t="s">
        <v>654</v>
      </c>
      <c r="F308" s="1413"/>
      <c r="G308" s="1413"/>
      <c r="H308" s="1181"/>
      <c r="I308" s="1180">
        <v>1</v>
      </c>
      <c r="J308" s="1197">
        <f>IF(L308,I308,0)</f>
        <v>1</v>
      </c>
      <c r="L308" s="146" t="b">
        <v>1</v>
      </c>
    </row>
    <row r="309" spans="1:12" s="166" customFormat="1" ht="15" customHeight="1">
      <c r="A309" s="1046"/>
      <c r="B309" s="348"/>
      <c r="C309" s="378"/>
      <c r="D309" s="373"/>
      <c r="E309" s="1415" t="s">
        <v>655</v>
      </c>
      <c r="F309" s="1415"/>
      <c r="G309" s="1415"/>
      <c r="H309" s="1161"/>
      <c r="I309" s="390"/>
      <c r="J309" s="426"/>
      <c r="L309" s="146"/>
    </row>
    <row r="310" spans="1:12" s="166" customFormat="1">
      <c r="A310" s="1046"/>
      <c r="B310" s="350"/>
      <c r="C310" s="378"/>
      <c r="D310" s="373"/>
      <c r="E310" s="1432" t="s">
        <v>264</v>
      </c>
      <c r="F310" s="1432"/>
      <c r="G310" s="1432"/>
      <c r="H310" s="1433"/>
      <c r="I310" s="390"/>
      <c r="J310" s="426"/>
      <c r="L310" s="146"/>
    </row>
    <row r="311" spans="1:12" s="166" customFormat="1" ht="17.3" customHeight="1">
      <c r="A311" s="1046"/>
      <c r="B311" s="344"/>
      <c r="C311" s="379" t="s">
        <v>91</v>
      </c>
      <c r="D311" s="422"/>
      <c r="E311" s="1443" t="s">
        <v>750</v>
      </c>
      <c r="F311" s="1443"/>
      <c r="G311" s="1443"/>
      <c r="H311" s="1193"/>
      <c r="I311" s="1180">
        <v>0.5</v>
      </c>
      <c r="J311" s="1197">
        <f>IF(L311,I311,0)</f>
        <v>0.5</v>
      </c>
      <c r="L311" s="146" t="b">
        <v>1</v>
      </c>
    </row>
    <row r="312" spans="1:12" s="166" customFormat="1" ht="15" customHeight="1">
      <c r="A312" s="1046"/>
      <c r="B312" s="348"/>
      <c r="C312" s="378"/>
      <c r="D312" s="373"/>
      <c r="E312" s="1415" t="s">
        <v>989</v>
      </c>
      <c r="F312" s="1415"/>
      <c r="G312" s="1415"/>
      <c r="H312" s="1161"/>
      <c r="I312" s="390"/>
      <c r="J312" s="426"/>
      <c r="L312" s="146"/>
    </row>
    <row r="313" spans="1:12" s="166" customFormat="1" ht="25.5" customHeight="1">
      <c r="A313" s="1046"/>
      <c r="B313" s="350"/>
      <c r="C313" s="378"/>
      <c r="D313" s="373"/>
      <c r="E313" s="1402" t="s">
        <v>265</v>
      </c>
      <c r="F313" s="1402"/>
      <c r="G313" s="1402"/>
      <c r="H313" s="1402"/>
      <c r="I313" s="390"/>
      <c r="J313" s="426"/>
      <c r="L313" s="146"/>
    </row>
    <row r="314" spans="1:12" s="166" customFormat="1" ht="17.3" customHeight="1">
      <c r="A314" s="1046"/>
      <c r="B314" s="370"/>
      <c r="C314" s="379" t="s">
        <v>90</v>
      </c>
      <c r="D314" s="422"/>
      <c r="E314" s="1414" t="s">
        <v>413</v>
      </c>
      <c r="F314" s="1414"/>
      <c r="G314" s="1414"/>
      <c r="H314" s="1181"/>
      <c r="I314" s="1180">
        <v>0.5</v>
      </c>
      <c r="J314" s="1197">
        <f>IF(L314,I314-0.5,0)</f>
        <v>0</v>
      </c>
      <c r="L314" s="148" t="b">
        <v>0</v>
      </c>
    </row>
    <row r="315" spans="1:12" s="166" customFormat="1" ht="15" customHeight="1">
      <c r="A315" s="1046"/>
      <c r="B315" s="343"/>
      <c r="C315" s="378"/>
      <c r="D315" s="373"/>
      <c r="E315" s="1429"/>
      <c r="F315" s="1429"/>
      <c r="G315" s="1429"/>
      <c r="H315" s="346"/>
      <c r="I315" s="390"/>
      <c r="J315" s="386"/>
      <c r="L315" s="146"/>
    </row>
    <row r="316" spans="1:12" s="166" customFormat="1" ht="15" customHeight="1">
      <c r="A316" s="1046"/>
      <c r="B316" s="351"/>
      <c r="C316" s="378"/>
      <c r="D316" s="373"/>
      <c r="E316" s="1165" t="s">
        <v>931</v>
      </c>
      <c r="F316" s="1204"/>
      <c r="G316" s="1204"/>
      <c r="H316" s="1204"/>
      <c r="I316" s="1178"/>
      <c r="J316" s="426"/>
      <c r="L316" s="146"/>
    </row>
    <row r="317" spans="1:12" s="166" customFormat="1" ht="51" customHeight="1">
      <c r="A317" s="1046"/>
      <c r="B317" s="348"/>
      <c r="C317" s="378"/>
      <c r="D317" s="373"/>
      <c r="E317" s="1402" t="s">
        <v>266</v>
      </c>
      <c r="F317" s="1402"/>
      <c r="G317" s="1402"/>
      <c r="H317" s="1402"/>
      <c r="I317" s="390"/>
      <c r="J317" s="426"/>
      <c r="L317" s="146"/>
    </row>
    <row r="318" spans="1:12" s="166" customFormat="1" ht="17.3" thickBot="1">
      <c r="A318" s="1046"/>
      <c r="B318" s="359"/>
      <c r="C318" s="375"/>
      <c r="D318" s="371"/>
      <c r="E318" s="1126"/>
      <c r="F318" s="1119"/>
      <c r="G318" s="1127"/>
      <c r="H318" s="1127"/>
      <c r="I318" s="393"/>
      <c r="J318" s="426"/>
      <c r="L318" s="146"/>
    </row>
    <row r="319" spans="1:12" s="166" customFormat="1" ht="22.5" customHeight="1" thickBot="1">
      <c r="A319" s="1046"/>
      <c r="B319" s="353"/>
      <c r="C319" s="364"/>
      <c r="D319" s="364"/>
      <c r="E319" s="354"/>
      <c r="F319" s="355"/>
      <c r="G319" s="355"/>
      <c r="H319" s="356" t="s">
        <v>941</v>
      </c>
      <c r="I319" s="357">
        <f>IF($M$3,SUM(I294:I318),0)</f>
        <v>10</v>
      </c>
      <c r="J319" s="358">
        <f>IF($M$3,SUMIF(L294:L318,TRUE,J294:J318),0)</f>
        <v>9.5</v>
      </c>
      <c r="L319" s="146"/>
    </row>
    <row r="320" spans="1:12" s="166" customFormat="1" ht="7.5" customHeight="1">
      <c r="A320" s="1046"/>
      <c r="B320" s="368"/>
      <c r="C320" s="365"/>
      <c r="D320" s="365"/>
      <c r="E320" s="366"/>
      <c r="F320" s="79"/>
      <c r="G320" s="79"/>
      <c r="H320" s="352"/>
      <c r="I320" s="369"/>
      <c r="J320" s="367"/>
      <c r="L320" s="146"/>
    </row>
    <row r="321" spans="1:12" s="166" customFormat="1" ht="22.5" customHeight="1">
      <c r="A321" s="1046"/>
      <c r="B321" s="42" t="s">
        <v>126</v>
      </c>
      <c r="C321" s="43"/>
      <c r="D321" s="44"/>
      <c r="E321" s="43"/>
      <c r="F321" s="43"/>
      <c r="G321" s="77"/>
      <c r="H321" s="77"/>
      <c r="I321" s="384"/>
      <c r="J321" s="385"/>
      <c r="L321" s="146"/>
    </row>
    <row r="322" spans="1:12" s="166" customFormat="1" ht="17.3" customHeight="1">
      <c r="A322" s="1046"/>
      <c r="B322" s="370"/>
      <c r="C322" s="1202" t="s">
        <v>86</v>
      </c>
      <c r="D322" s="373"/>
      <c r="E322" s="1449" t="s">
        <v>414</v>
      </c>
      <c r="F322" s="1449"/>
      <c r="G322" s="1449"/>
      <c r="H322" s="37"/>
      <c r="I322" s="1182">
        <v>0.25</v>
      </c>
      <c r="J322" s="1195">
        <f>IF(L322,I322-0.25,0)</f>
        <v>0</v>
      </c>
      <c r="L322" s="148" t="b">
        <v>0</v>
      </c>
    </row>
    <row r="323" spans="1:12" s="166" customFormat="1" ht="15" customHeight="1">
      <c r="A323" s="1046"/>
      <c r="B323" s="343"/>
      <c r="C323" s="378"/>
      <c r="D323" s="373"/>
      <c r="E323" s="1429"/>
      <c r="F323" s="1429"/>
      <c r="G323" s="1429"/>
      <c r="H323" s="346"/>
      <c r="I323" s="390"/>
      <c r="J323" s="386"/>
      <c r="L323" s="146"/>
    </row>
    <row r="324" spans="1:12" s="166" customFormat="1" ht="15" customHeight="1">
      <c r="A324" s="1046"/>
      <c r="B324" s="351"/>
      <c r="C324" s="378"/>
      <c r="D324" s="373"/>
      <c r="E324" s="1165" t="s">
        <v>932</v>
      </c>
      <c r="F324" s="1204"/>
      <c r="G324" s="1204"/>
      <c r="H324" s="1204"/>
      <c r="I324" s="1178"/>
      <c r="J324" s="426"/>
      <c r="L324" s="146"/>
    </row>
    <row r="325" spans="1:12" s="166" customFormat="1" ht="12.85" customHeight="1">
      <c r="A325" s="1046"/>
      <c r="B325" s="350"/>
      <c r="C325" s="378"/>
      <c r="D325" s="373"/>
      <c r="E325" s="1416" t="s">
        <v>267</v>
      </c>
      <c r="F325" s="1416"/>
      <c r="G325" s="1416"/>
      <c r="H325" s="1417"/>
      <c r="I325" s="390"/>
      <c r="J325" s="426"/>
      <c r="L325" s="146"/>
    </row>
    <row r="326" spans="1:12" s="166" customFormat="1" ht="17.3" customHeight="1">
      <c r="A326" s="1046"/>
      <c r="B326" s="344"/>
      <c r="C326" s="379" t="s">
        <v>85</v>
      </c>
      <c r="D326" s="422"/>
      <c r="E326" s="1414" t="s">
        <v>415</v>
      </c>
      <c r="F326" s="1414"/>
      <c r="G326" s="1414"/>
      <c r="H326" s="1181"/>
      <c r="I326" s="1180">
        <v>1</v>
      </c>
      <c r="J326" s="1197">
        <f>IF(L326,I326-0.5,0)</f>
        <v>0</v>
      </c>
      <c r="L326" s="146" t="b">
        <v>0</v>
      </c>
    </row>
    <row r="327" spans="1:12" s="166" customFormat="1" ht="15" customHeight="1">
      <c r="A327" s="1046"/>
      <c r="B327" s="343"/>
      <c r="C327" s="378"/>
      <c r="D327" s="373"/>
      <c r="E327" s="1429"/>
      <c r="F327" s="1429"/>
      <c r="G327" s="1429"/>
      <c r="H327" s="346"/>
      <c r="I327" s="390"/>
      <c r="J327" s="386"/>
      <c r="L327" s="146"/>
    </row>
    <row r="328" spans="1:12" s="166" customFormat="1" ht="24.05" customHeight="1">
      <c r="A328" s="1046"/>
      <c r="B328" s="351"/>
      <c r="C328" s="378"/>
      <c r="D328" s="373"/>
      <c r="E328" s="1405" t="s">
        <v>933</v>
      </c>
      <c r="F328" s="1405"/>
      <c r="G328" s="1405"/>
      <c r="H328" s="1405"/>
      <c r="I328" s="1178"/>
      <c r="J328" s="426"/>
      <c r="L328" s="146"/>
    </row>
    <row r="329" spans="1:12" s="166" customFormat="1" ht="25.5" customHeight="1">
      <c r="A329" s="1046"/>
      <c r="B329" s="350"/>
      <c r="C329" s="378"/>
      <c r="D329" s="373"/>
      <c r="E329" s="1406" t="s">
        <v>364</v>
      </c>
      <c r="F329" s="1406"/>
      <c r="G329" s="1406"/>
      <c r="H329" s="1407"/>
      <c r="I329" s="390"/>
      <c r="J329" s="426"/>
      <c r="L329" s="146"/>
    </row>
    <row r="330" spans="1:12" s="166" customFormat="1" ht="17.3" customHeight="1">
      <c r="A330" s="1046"/>
      <c r="B330" s="344"/>
      <c r="C330" s="379" t="s">
        <v>84</v>
      </c>
      <c r="D330" s="422"/>
      <c r="E330" s="1413" t="s">
        <v>656</v>
      </c>
      <c r="F330" s="1413"/>
      <c r="G330" s="1413"/>
      <c r="H330" s="1181"/>
      <c r="I330" s="1180">
        <v>0.5</v>
      </c>
      <c r="J330" s="1197">
        <f t="shared" ref="J330:J347" si="10">IF(L330,I330,0)</f>
        <v>0</v>
      </c>
      <c r="L330" s="146" t="b">
        <v>0</v>
      </c>
    </row>
    <row r="331" spans="1:12" s="166" customFormat="1" ht="15" customHeight="1">
      <c r="A331" s="1046"/>
      <c r="B331" s="348"/>
      <c r="C331" s="378"/>
      <c r="D331" s="373"/>
      <c r="E331" s="1415" t="s">
        <v>657</v>
      </c>
      <c r="F331" s="1415"/>
      <c r="G331" s="1415"/>
      <c r="H331" s="1161"/>
      <c r="I331" s="390"/>
      <c r="J331" s="426"/>
      <c r="L331" s="146"/>
    </row>
    <row r="332" spans="1:12" s="166" customFormat="1" ht="25.2" customHeight="1">
      <c r="A332" s="1046"/>
      <c r="B332" s="350"/>
      <c r="C332" s="378"/>
      <c r="D332" s="373"/>
      <c r="E332" s="1402" t="s">
        <v>376</v>
      </c>
      <c r="F332" s="1402"/>
      <c r="G332" s="1402"/>
      <c r="H332" s="1402"/>
      <c r="I332" s="390"/>
      <c r="J332" s="426"/>
      <c r="L332" s="146"/>
    </row>
    <row r="333" spans="1:12" s="166" customFormat="1" ht="17.3" customHeight="1">
      <c r="A333" s="1046"/>
      <c r="B333" s="344"/>
      <c r="C333" s="379" t="s">
        <v>93</v>
      </c>
      <c r="D333" s="422"/>
      <c r="E333" s="1414" t="s">
        <v>416</v>
      </c>
      <c r="F333" s="1414"/>
      <c r="G333" s="1414"/>
      <c r="H333" s="1175"/>
      <c r="I333" s="1180">
        <v>0.5</v>
      </c>
      <c r="J333" s="1197">
        <f>IF(L333,I333-0.2,0)</f>
        <v>0</v>
      </c>
      <c r="L333" s="146" t="b">
        <v>0</v>
      </c>
    </row>
    <row r="334" spans="1:12" s="166" customFormat="1" ht="15" customHeight="1">
      <c r="A334" s="1046"/>
      <c r="B334" s="343"/>
      <c r="C334" s="378"/>
      <c r="D334" s="373"/>
      <c r="E334" s="1429"/>
      <c r="F334" s="1429"/>
      <c r="G334" s="1429"/>
      <c r="H334" s="346"/>
      <c r="I334" s="390"/>
      <c r="J334" s="386"/>
      <c r="L334" s="146"/>
    </row>
    <row r="335" spans="1:12" s="166" customFormat="1" ht="25.2" customHeight="1">
      <c r="A335" s="1046"/>
      <c r="B335" s="351"/>
      <c r="C335" s="378"/>
      <c r="D335" s="373"/>
      <c r="E335" s="1405" t="s">
        <v>934</v>
      </c>
      <c r="F335" s="1405"/>
      <c r="G335" s="1405"/>
      <c r="H335" s="1204"/>
      <c r="I335" s="1178"/>
      <c r="J335" s="426"/>
      <c r="L335" s="146"/>
    </row>
    <row r="336" spans="1:12" s="166" customFormat="1" ht="29.25" customHeight="1">
      <c r="A336" s="1046"/>
      <c r="B336" s="350"/>
      <c r="C336" s="378"/>
      <c r="D336" s="373"/>
      <c r="E336" s="1406" t="s">
        <v>268</v>
      </c>
      <c r="F336" s="1406"/>
      <c r="G336" s="1406"/>
      <c r="H336" s="1407"/>
      <c r="I336" s="390"/>
      <c r="J336" s="426"/>
      <c r="L336" s="146"/>
    </row>
    <row r="337" spans="1:12" s="166" customFormat="1" ht="17.3" customHeight="1">
      <c r="A337" s="1046"/>
      <c r="B337" s="344"/>
      <c r="C337" s="379" t="s">
        <v>92</v>
      </c>
      <c r="D337" s="422"/>
      <c r="E337" s="1414" t="s">
        <v>270</v>
      </c>
      <c r="F337" s="1414"/>
      <c r="G337" s="1414"/>
      <c r="H337" s="1181"/>
      <c r="I337" s="1180">
        <v>0.5</v>
      </c>
      <c r="J337" s="1197">
        <f t="shared" si="10"/>
        <v>0</v>
      </c>
      <c r="L337" s="146" t="b">
        <v>0</v>
      </c>
    </row>
    <row r="338" spans="1:12" s="166" customFormat="1" ht="15" customHeight="1">
      <c r="A338" s="1046"/>
      <c r="B338" s="343"/>
      <c r="C338" s="378"/>
      <c r="D338" s="373"/>
      <c r="E338" s="1429"/>
      <c r="F338" s="1429"/>
      <c r="G338" s="1429"/>
      <c r="H338" s="346"/>
      <c r="I338" s="390"/>
      <c r="J338" s="386"/>
      <c r="L338" s="146"/>
    </row>
    <row r="339" spans="1:12" s="166" customFormat="1">
      <c r="A339" s="1046"/>
      <c r="B339" s="350"/>
      <c r="C339" s="378"/>
      <c r="D339" s="373"/>
      <c r="E339" s="1432" t="s">
        <v>269</v>
      </c>
      <c r="F339" s="1432"/>
      <c r="G339" s="1432"/>
      <c r="H339" s="1433"/>
      <c r="I339" s="390"/>
      <c r="J339" s="426"/>
      <c r="L339" s="146"/>
    </row>
    <row r="340" spans="1:12" s="166" customFormat="1" ht="17.3" customHeight="1">
      <c r="A340" s="1046"/>
      <c r="B340" s="344"/>
      <c r="C340" s="379" t="s">
        <v>91</v>
      </c>
      <c r="D340" s="422"/>
      <c r="E340" s="1414" t="s">
        <v>419</v>
      </c>
      <c r="F340" s="1414"/>
      <c r="G340" s="1414"/>
      <c r="H340" s="1181"/>
      <c r="I340" s="1180">
        <v>0.5</v>
      </c>
      <c r="J340" s="1197">
        <f>IF(L340,I340-0.15,0)</f>
        <v>0</v>
      </c>
      <c r="L340" s="146" t="b">
        <v>0</v>
      </c>
    </row>
    <row r="341" spans="1:12" s="166" customFormat="1" ht="15" customHeight="1">
      <c r="A341" s="1046"/>
      <c r="B341" s="343"/>
      <c r="C341" s="378"/>
      <c r="D341" s="373"/>
      <c r="E341" s="1429"/>
      <c r="F341" s="1429"/>
      <c r="G341" s="1429"/>
      <c r="H341" s="346"/>
      <c r="I341" s="390"/>
      <c r="J341" s="386"/>
      <c r="L341" s="146"/>
    </row>
    <row r="342" spans="1:12" s="166" customFormat="1" ht="27.1" customHeight="1">
      <c r="A342" s="1046"/>
      <c r="B342" s="351"/>
      <c r="C342" s="378"/>
      <c r="D342" s="373"/>
      <c r="E342" s="1451" t="s">
        <v>935</v>
      </c>
      <c r="F342" s="1451"/>
      <c r="G342" s="1451"/>
      <c r="H342" s="1452"/>
      <c r="I342" s="1178"/>
      <c r="J342" s="426"/>
      <c r="L342" s="146"/>
    </row>
    <row r="343" spans="1:12" s="166" customFormat="1">
      <c r="A343" s="1046"/>
      <c r="B343" s="350"/>
      <c r="C343" s="378"/>
      <c r="D343" s="373"/>
      <c r="E343" s="1459" t="s">
        <v>417</v>
      </c>
      <c r="F343" s="1459"/>
      <c r="G343" s="1459"/>
      <c r="H343" s="1460"/>
      <c r="I343" s="390"/>
      <c r="J343" s="426"/>
      <c r="L343" s="146"/>
    </row>
    <row r="344" spans="1:12" s="166" customFormat="1" ht="16.850000000000001" customHeight="1">
      <c r="A344" s="1046"/>
      <c r="B344" s="344"/>
      <c r="C344" s="379" t="s">
        <v>90</v>
      </c>
      <c r="D344" s="422"/>
      <c r="E344" s="1414" t="s">
        <v>658</v>
      </c>
      <c r="F344" s="1414"/>
      <c r="G344" s="1414"/>
      <c r="H344" s="1181"/>
      <c r="I344" s="1180">
        <v>0.5</v>
      </c>
      <c r="J344" s="1197">
        <f t="shared" si="10"/>
        <v>0</v>
      </c>
      <c r="L344" s="146" t="b">
        <v>0</v>
      </c>
    </row>
    <row r="345" spans="1:12" s="166" customFormat="1" ht="15" customHeight="1">
      <c r="A345" s="1046"/>
      <c r="B345" s="348"/>
      <c r="C345" s="378"/>
      <c r="D345" s="373"/>
      <c r="E345" s="1415" t="s">
        <v>659</v>
      </c>
      <c r="F345" s="1415"/>
      <c r="G345" s="1415"/>
      <c r="H345" s="1161"/>
      <c r="I345" s="390"/>
      <c r="J345" s="426"/>
      <c r="L345" s="146"/>
    </row>
    <row r="346" spans="1:12" s="166" customFormat="1" ht="25.5" customHeight="1">
      <c r="A346" s="1046"/>
      <c r="B346" s="350"/>
      <c r="C346" s="378"/>
      <c r="D346" s="373"/>
      <c r="E346" s="1402" t="s">
        <v>398</v>
      </c>
      <c r="F346" s="1402"/>
      <c r="G346" s="1402"/>
      <c r="H346" s="1402"/>
      <c r="I346" s="390"/>
      <c r="J346" s="426"/>
      <c r="L346" s="146"/>
    </row>
    <row r="347" spans="1:12" s="166" customFormat="1" ht="17.3" customHeight="1">
      <c r="A347" s="1046"/>
      <c r="B347" s="344"/>
      <c r="C347" s="379" t="s">
        <v>89</v>
      </c>
      <c r="D347" s="422"/>
      <c r="E347" s="1414" t="s">
        <v>272</v>
      </c>
      <c r="F347" s="1414"/>
      <c r="G347" s="1414"/>
      <c r="H347" s="1181"/>
      <c r="I347" s="1180">
        <v>0.25</v>
      </c>
      <c r="J347" s="1197">
        <f t="shared" si="10"/>
        <v>0</v>
      </c>
      <c r="L347" s="146" t="b">
        <v>0</v>
      </c>
    </row>
    <row r="348" spans="1:12" s="166" customFormat="1" ht="15" customHeight="1">
      <c r="A348" s="1046"/>
      <c r="B348" s="343"/>
      <c r="C348" s="378"/>
      <c r="D348" s="373"/>
      <c r="E348" s="1429"/>
      <c r="F348" s="1429"/>
      <c r="G348" s="1429"/>
      <c r="H348" s="346"/>
      <c r="I348" s="390"/>
      <c r="J348" s="386"/>
      <c r="L348" s="146"/>
    </row>
    <row r="349" spans="1:12" s="166" customFormat="1" ht="25.5" customHeight="1" thickBot="1">
      <c r="A349" s="1046"/>
      <c r="B349" s="350"/>
      <c r="C349" s="375"/>
      <c r="D349" s="371"/>
      <c r="E349" s="1412" t="s">
        <v>271</v>
      </c>
      <c r="F349" s="1412"/>
      <c r="G349" s="1412"/>
      <c r="H349" s="1412"/>
      <c r="I349" s="390"/>
      <c r="J349" s="426"/>
      <c r="L349" s="146"/>
    </row>
    <row r="350" spans="1:12" s="166" customFormat="1" ht="22.5" customHeight="1" thickBot="1">
      <c r="A350" s="1046"/>
      <c r="B350" s="353"/>
      <c r="C350" s="364"/>
      <c r="D350" s="364"/>
      <c r="E350" s="354"/>
      <c r="F350" s="355"/>
      <c r="G350" s="355"/>
      <c r="H350" s="356" t="s">
        <v>940</v>
      </c>
      <c r="I350" s="357">
        <f>IF($M$3,SUM(I322:I347),0)</f>
        <v>4</v>
      </c>
      <c r="J350" s="358">
        <f>IF($M$3,SUMIF(L322:L347,TRUE,J322:J347),0)</f>
        <v>0</v>
      </c>
      <c r="L350" s="146"/>
    </row>
    <row r="351" spans="1:12" s="166" customFormat="1" ht="7.5" customHeight="1">
      <c r="A351" s="1046"/>
      <c r="B351" s="368"/>
      <c r="C351" s="365"/>
      <c r="D351" s="365"/>
      <c r="E351" s="366"/>
      <c r="F351" s="79"/>
      <c r="G351" s="79"/>
      <c r="H351" s="352"/>
      <c r="I351" s="369"/>
      <c r="J351" s="367"/>
      <c r="L351" s="146"/>
    </row>
    <row r="352" spans="1:12" s="166" customFormat="1" ht="22.5" customHeight="1">
      <c r="A352" s="1046"/>
      <c r="B352" s="42" t="s">
        <v>125</v>
      </c>
      <c r="C352" s="43"/>
      <c r="D352" s="44"/>
      <c r="E352" s="43"/>
      <c r="F352" s="43"/>
      <c r="G352" s="77"/>
      <c r="H352" s="77"/>
      <c r="I352" s="384"/>
      <c r="J352" s="385"/>
      <c r="L352" s="146"/>
    </row>
    <row r="353" spans="1:12" s="166" customFormat="1" ht="16.850000000000001" customHeight="1">
      <c r="A353" s="1046"/>
      <c r="B353" s="344"/>
      <c r="C353" s="379" t="s">
        <v>86</v>
      </c>
      <c r="D353" s="422"/>
      <c r="E353" s="1408" t="s">
        <v>660</v>
      </c>
      <c r="F353" s="1408"/>
      <c r="G353" s="1408"/>
      <c r="H353" s="1184"/>
      <c r="I353" s="1182">
        <v>4</v>
      </c>
      <c r="J353" s="1195">
        <f>IF(L353,IF('StB-D1 Besondere Lstg'!M152,I353-2,I353),0)</f>
        <v>2</v>
      </c>
      <c r="L353" s="146" t="b">
        <v>1</v>
      </c>
    </row>
    <row r="354" spans="1:12" s="166" customFormat="1" ht="45.1" customHeight="1">
      <c r="A354" s="1046"/>
      <c r="B354" s="348"/>
      <c r="C354" s="378"/>
      <c r="D354" s="373"/>
      <c r="E354" s="1409" t="s">
        <v>661</v>
      </c>
      <c r="F354" s="1409"/>
      <c r="G354" s="1409"/>
      <c r="H354" s="431"/>
      <c r="I354" s="390"/>
      <c r="J354" s="426"/>
      <c r="L354" s="146"/>
    </row>
    <row r="355" spans="1:12" s="166" customFormat="1" ht="24.8" customHeight="1">
      <c r="A355" s="1046"/>
      <c r="B355" s="351"/>
      <c r="C355" s="378"/>
      <c r="D355" s="373"/>
      <c r="E355" s="1405" t="s">
        <v>936</v>
      </c>
      <c r="F355" s="1405"/>
      <c r="G355" s="1405"/>
      <c r="H355" s="1405"/>
      <c r="I355" s="1178"/>
      <c r="J355" s="426"/>
      <c r="L355" s="146"/>
    </row>
    <row r="356" spans="1:12" s="166" customFormat="1" ht="112.5" customHeight="1">
      <c r="A356" s="1046"/>
      <c r="B356" s="350"/>
      <c r="C356" s="432"/>
      <c r="D356" s="373"/>
      <c r="E356" s="1402" t="s">
        <v>991</v>
      </c>
      <c r="F356" s="1402"/>
      <c r="G356" s="1402"/>
      <c r="H356" s="1402"/>
      <c r="I356" s="390"/>
      <c r="J356" s="426"/>
      <c r="L356" s="146"/>
    </row>
    <row r="357" spans="1:12" s="166" customFormat="1" ht="17.3" customHeight="1">
      <c r="A357" s="1046"/>
      <c r="B357" s="344"/>
      <c r="C357" s="379" t="s">
        <v>85</v>
      </c>
      <c r="D357" s="422"/>
      <c r="E357" s="1414" t="s">
        <v>274</v>
      </c>
      <c r="F357" s="1414"/>
      <c r="G357" s="1414"/>
      <c r="H357" s="1181"/>
      <c r="I357" s="1180">
        <v>1</v>
      </c>
      <c r="J357" s="1197">
        <f t="shared" ref="J357:J378" si="11">IF(L357,I357,0)</f>
        <v>1</v>
      </c>
      <c r="L357" s="146" t="b">
        <v>1</v>
      </c>
    </row>
    <row r="358" spans="1:12" s="166" customFormat="1" ht="15" customHeight="1">
      <c r="A358" s="1046"/>
      <c r="B358" s="343"/>
      <c r="C358" s="378"/>
      <c r="D358" s="373"/>
      <c r="E358" s="1429"/>
      <c r="F358" s="1429"/>
      <c r="G358" s="1429"/>
      <c r="H358" s="346"/>
      <c r="I358" s="390"/>
      <c r="J358" s="386"/>
      <c r="L358" s="146"/>
    </row>
    <row r="359" spans="1:12" s="166" customFormat="1" ht="12.85" customHeight="1">
      <c r="A359" s="1046"/>
      <c r="B359" s="350"/>
      <c r="C359" s="378"/>
      <c r="D359" s="373"/>
      <c r="E359" s="1416" t="s">
        <v>273</v>
      </c>
      <c r="F359" s="1416"/>
      <c r="G359" s="1416"/>
      <c r="H359" s="1417"/>
      <c r="I359" s="390"/>
      <c r="J359" s="426"/>
      <c r="L359" s="146"/>
    </row>
    <row r="360" spans="1:12" s="166" customFormat="1" ht="17.3" customHeight="1">
      <c r="A360" s="1046"/>
      <c r="B360" s="344"/>
      <c r="C360" s="379" t="s">
        <v>84</v>
      </c>
      <c r="D360" s="422"/>
      <c r="E360" s="1413" t="s">
        <v>662</v>
      </c>
      <c r="F360" s="1413"/>
      <c r="G360" s="1413"/>
      <c r="H360" s="1175"/>
      <c r="I360" s="1180">
        <v>1</v>
      </c>
      <c r="J360" s="1197">
        <f t="shared" si="11"/>
        <v>1</v>
      </c>
      <c r="L360" s="146" t="b">
        <v>1</v>
      </c>
    </row>
    <row r="361" spans="1:12" s="166" customFormat="1" ht="15" customHeight="1">
      <c r="A361" s="1046"/>
      <c r="B361" s="348"/>
      <c r="C361" s="378"/>
      <c r="D361" s="373"/>
      <c r="E361" s="1415" t="s">
        <v>663</v>
      </c>
      <c r="F361" s="1415"/>
      <c r="G361" s="1415"/>
      <c r="H361" s="1161"/>
      <c r="I361" s="390"/>
      <c r="J361" s="426"/>
      <c r="L361" s="146"/>
    </row>
    <row r="362" spans="1:12" s="166" customFormat="1" ht="25.5" customHeight="1">
      <c r="A362" s="1046"/>
      <c r="B362" s="350"/>
      <c r="C362" s="378"/>
      <c r="D362" s="373"/>
      <c r="E362" s="1402" t="s">
        <v>365</v>
      </c>
      <c r="F362" s="1402"/>
      <c r="G362" s="1402"/>
      <c r="H362" s="1402"/>
      <c r="I362" s="390"/>
      <c r="J362" s="426"/>
      <c r="L362" s="146"/>
    </row>
    <row r="363" spans="1:12" s="166" customFormat="1" ht="17.3" customHeight="1">
      <c r="A363" s="1046"/>
      <c r="B363" s="344"/>
      <c r="C363" s="379" t="s">
        <v>93</v>
      </c>
      <c r="D363" s="422"/>
      <c r="E363" s="1414" t="s">
        <v>275</v>
      </c>
      <c r="F363" s="1414"/>
      <c r="G363" s="1414"/>
      <c r="H363" s="1175"/>
      <c r="I363" s="1180">
        <v>1</v>
      </c>
      <c r="J363" s="1197">
        <f t="shared" si="11"/>
        <v>1</v>
      </c>
      <c r="L363" s="146" t="b">
        <v>1</v>
      </c>
    </row>
    <row r="364" spans="1:12" s="166" customFormat="1" ht="15" customHeight="1">
      <c r="A364" s="1046"/>
      <c r="B364" s="343"/>
      <c r="C364" s="378"/>
      <c r="D364" s="373"/>
      <c r="E364" s="1429"/>
      <c r="F364" s="1429"/>
      <c r="G364" s="1429"/>
      <c r="H364" s="346"/>
      <c r="I364" s="390"/>
      <c r="J364" s="386"/>
      <c r="L364" s="146"/>
    </row>
    <row r="365" spans="1:12" s="166" customFormat="1" ht="25.5" customHeight="1">
      <c r="A365" s="1046"/>
      <c r="B365" s="350"/>
      <c r="C365" s="378"/>
      <c r="D365" s="373"/>
      <c r="E365" s="1406" t="s">
        <v>276</v>
      </c>
      <c r="F365" s="1406"/>
      <c r="G365" s="1406"/>
      <c r="H365" s="1407"/>
      <c r="I365" s="390"/>
      <c r="J365" s="426"/>
      <c r="L365" s="146"/>
    </row>
    <row r="366" spans="1:12" s="166" customFormat="1" ht="16.850000000000001" customHeight="1">
      <c r="A366" s="1046"/>
      <c r="B366" s="344"/>
      <c r="C366" s="379" t="s">
        <v>92</v>
      </c>
      <c r="D366" s="422"/>
      <c r="E366" s="1413" t="s">
        <v>664</v>
      </c>
      <c r="F366" s="1413"/>
      <c r="G366" s="1413"/>
      <c r="H366" s="1175"/>
      <c r="I366" s="1180">
        <v>1</v>
      </c>
      <c r="J366" s="1197">
        <f t="shared" si="11"/>
        <v>1</v>
      </c>
      <c r="L366" s="146" t="b">
        <v>1</v>
      </c>
    </row>
    <row r="367" spans="1:12" s="166" customFormat="1" ht="45.1" customHeight="1">
      <c r="A367" s="1046"/>
      <c r="B367" s="348"/>
      <c r="C367" s="378"/>
      <c r="D367" s="373"/>
      <c r="E367" s="1409" t="s">
        <v>665</v>
      </c>
      <c r="F367" s="1409"/>
      <c r="G367" s="1409"/>
      <c r="H367" s="1161"/>
      <c r="I367" s="390"/>
      <c r="J367" s="426"/>
      <c r="L367" s="146"/>
    </row>
    <row r="368" spans="1:12" s="166" customFormat="1" ht="90.75" customHeight="1">
      <c r="A368" s="1046"/>
      <c r="B368" s="350"/>
      <c r="C368" s="378"/>
      <c r="D368" s="373"/>
      <c r="E368" s="1402" t="s">
        <v>990</v>
      </c>
      <c r="F368" s="1402"/>
      <c r="G368" s="1402"/>
      <c r="H368" s="1402"/>
      <c r="I368" s="390"/>
      <c r="J368" s="426"/>
      <c r="L368" s="146"/>
    </row>
    <row r="369" spans="1:12" s="166" customFormat="1" ht="17.3" customHeight="1">
      <c r="A369" s="1046"/>
      <c r="B369" s="344"/>
      <c r="C369" s="379" t="s">
        <v>91</v>
      </c>
      <c r="D369" s="422"/>
      <c r="E369" s="1414" t="s">
        <v>277</v>
      </c>
      <c r="F369" s="1414"/>
      <c r="G369" s="1414"/>
      <c r="H369" s="1175"/>
      <c r="I369" s="1180">
        <v>1</v>
      </c>
      <c r="J369" s="1197">
        <f t="shared" si="11"/>
        <v>1</v>
      </c>
      <c r="L369" s="146" t="b">
        <v>1</v>
      </c>
    </row>
    <row r="370" spans="1:12" s="166" customFormat="1" ht="15" customHeight="1">
      <c r="A370" s="1046"/>
      <c r="B370" s="343"/>
      <c r="C370" s="378"/>
      <c r="D370" s="373"/>
      <c r="E370" s="1429"/>
      <c r="F370" s="1429"/>
      <c r="G370" s="1429"/>
      <c r="H370" s="346"/>
      <c r="I370" s="390"/>
      <c r="J370" s="386"/>
      <c r="L370" s="146"/>
    </row>
    <row r="371" spans="1:12" s="166" customFormat="1" ht="25.5" customHeight="1">
      <c r="A371" s="1046"/>
      <c r="B371" s="350"/>
      <c r="C371" s="378"/>
      <c r="D371" s="373"/>
      <c r="E371" s="1406" t="s">
        <v>278</v>
      </c>
      <c r="F371" s="1406"/>
      <c r="G371" s="1406"/>
      <c r="H371" s="1407"/>
      <c r="I371" s="390"/>
      <c r="J371" s="426"/>
      <c r="L371" s="146"/>
    </row>
    <row r="372" spans="1:12" s="166" customFormat="1" ht="17.3" customHeight="1">
      <c r="A372" s="1046"/>
      <c r="B372" s="344"/>
      <c r="C372" s="379" t="s">
        <v>90</v>
      </c>
      <c r="D372" s="422"/>
      <c r="E372" s="1413" t="s">
        <v>666</v>
      </c>
      <c r="F372" s="1413"/>
      <c r="G372" s="1413"/>
      <c r="H372" s="1175"/>
      <c r="I372" s="1180">
        <v>2</v>
      </c>
      <c r="J372" s="1197">
        <f t="shared" si="11"/>
        <v>0</v>
      </c>
      <c r="L372" s="146" t="b">
        <v>0</v>
      </c>
    </row>
    <row r="373" spans="1:12" s="166" customFormat="1" ht="15" customHeight="1">
      <c r="A373" s="1046"/>
      <c r="B373" s="348"/>
      <c r="C373" s="378"/>
      <c r="D373" s="373"/>
      <c r="E373" s="1415" t="s">
        <v>667</v>
      </c>
      <c r="F373" s="1415"/>
      <c r="G373" s="1415"/>
      <c r="H373" s="1161"/>
      <c r="I373" s="390"/>
      <c r="J373" s="426"/>
      <c r="L373" s="146"/>
    </row>
    <row r="374" spans="1:12" s="166" customFormat="1" ht="25.5" customHeight="1">
      <c r="A374" s="1046"/>
      <c r="B374" s="350"/>
      <c r="C374" s="378"/>
      <c r="D374" s="373"/>
      <c r="E374" s="1406" t="s">
        <v>279</v>
      </c>
      <c r="F374" s="1406"/>
      <c r="G374" s="1406"/>
      <c r="H374" s="1407"/>
      <c r="I374" s="390"/>
      <c r="J374" s="426"/>
      <c r="L374" s="146"/>
    </row>
    <row r="375" spans="1:12" s="166" customFormat="1" ht="17.3" customHeight="1">
      <c r="A375" s="1046"/>
      <c r="B375" s="344"/>
      <c r="C375" s="379" t="s">
        <v>89</v>
      </c>
      <c r="D375" s="422"/>
      <c r="E375" s="1414" t="s">
        <v>280</v>
      </c>
      <c r="F375" s="1414"/>
      <c r="G375" s="1414"/>
      <c r="H375" s="1175"/>
      <c r="I375" s="1180">
        <v>1</v>
      </c>
      <c r="J375" s="1197">
        <f t="shared" si="11"/>
        <v>0</v>
      </c>
      <c r="L375" s="146" t="b">
        <v>0</v>
      </c>
    </row>
    <row r="376" spans="1:12" s="166" customFormat="1" ht="15" customHeight="1">
      <c r="A376" s="1046"/>
      <c r="B376" s="343"/>
      <c r="C376" s="378"/>
      <c r="D376" s="373"/>
      <c r="E376" s="1429"/>
      <c r="F376" s="1429"/>
      <c r="G376" s="1429"/>
      <c r="H376" s="346"/>
      <c r="I376" s="390"/>
      <c r="J376" s="386"/>
      <c r="L376" s="146"/>
    </row>
    <row r="377" spans="1:12" s="166" customFormat="1" ht="43.5" customHeight="1">
      <c r="A377" s="1046"/>
      <c r="B377" s="350"/>
      <c r="C377" s="378"/>
      <c r="D377" s="373"/>
      <c r="E377" s="1402" t="s">
        <v>399</v>
      </c>
      <c r="F377" s="1402"/>
      <c r="G377" s="1402"/>
      <c r="H377" s="1402"/>
      <c r="I377" s="390"/>
      <c r="J377" s="426"/>
      <c r="L377" s="146"/>
    </row>
    <row r="378" spans="1:12" s="166" customFormat="1" ht="17.3" customHeight="1">
      <c r="A378" s="1046"/>
      <c r="B378" s="344"/>
      <c r="C378" s="379" t="s">
        <v>88</v>
      </c>
      <c r="D378" s="422"/>
      <c r="E378" s="1414" t="s">
        <v>281</v>
      </c>
      <c r="F378" s="1414"/>
      <c r="G378" s="1414"/>
      <c r="H378" s="1175"/>
      <c r="I378" s="1180">
        <v>1</v>
      </c>
      <c r="J378" s="1197">
        <f t="shared" si="11"/>
        <v>0</v>
      </c>
      <c r="L378" s="146" t="b">
        <v>0</v>
      </c>
    </row>
    <row r="379" spans="1:12" s="166" customFormat="1" ht="15" customHeight="1">
      <c r="A379" s="1046"/>
      <c r="B379" s="343"/>
      <c r="C379" s="378"/>
      <c r="D379" s="373"/>
      <c r="E379" s="1429"/>
      <c r="F379" s="1429"/>
      <c r="G379" s="1429"/>
      <c r="H379" s="346"/>
      <c r="I379" s="390"/>
      <c r="J379" s="386"/>
      <c r="L379" s="146"/>
    </row>
    <row r="380" spans="1:12" s="166" customFormat="1" ht="27.8" customHeight="1">
      <c r="A380" s="1046"/>
      <c r="B380" s="350"/>
      <c r="C380" s="378"/>
      <c r="D380" s="373"/>
      <c r="E380" s="1402" t="s">
        <v>377</v>
      </c>
      <c r="F380" s="1402"/>
      <c r="G380" s="1402"/>
      <c r="H380" s="1402"/>
      <c r="I380" s="390"/>
      <c r="J380" s="426"/>
      <c r="L380" s="146"/>
    </row>
    <row r="381" spans="1:12" s="166" customFormat="1" ht="16.850000000000001" customHeight="1">
      <c r="A381" s="1046"/>
      <c r="B381" s="344"/>
      <c r="C381" s="379" t="s">
        <v>87</v>
      </c>
      <c r="D381" s="422"/>
      <c r="E381" s="1413" t="s">
        <v>668</v>
      </c>
      <c r="F381" s="1413"/>
      <c r="G381" s="1413"/>
      <c r="H381" s="1175"/>
      <c r="I381" s="1180">
        <v>2</v>
      </c>
      <c r="J381" s="1197">
        <f>IF(L381,I381,0)</f>
        <v>2</v>
      </c>
      <c r="L381" s="146" t="b">
        <v>1</v>
      </c>
    </row>
    <row r="382" spans="1:12" s="166" customFormat="1" ht="15" customHeight="1">
      <c r="A382" s="1046"/>
      <c r="B382" s="348"/>
      <c r="C382" s="378"/>
      <c r="D382" s="373"/>
      <c r="E382" s="1415" t="s">
        <v>669</v>
      </c>
      <c r="F382" s="1415"/>
      <c r="G382" s="1415"/>
      <c r="H382" s="1161"/>
      <c r="I382" s="390"/>
      <c r="J382" s="426"/>
      <c r="L382" s="146"/>
    </row>
    <row r="383" spans="1:12" s="166" customFormat="1" ht="49.55" customHeight="1" thickBot="1">
      <c r="A383" s="1046"/>
      <c r="B383" s="350"/>
      <c r="C383" s="375"/>
      <c r="D383" s="371"/>
      <c r="E383" s="1412" t="s">
        <v>378</v>
      </c>
      <c r="F383" s="1412"/>
      <c r="G383" s="1412"/>
      <c r="H383" s="1412"/>
      <c r="I383" s="393"/>
      <c r="J383" s="430"/>
      <c r="L383" s="146"/>
    </row>
    <row r="384" spans="1:12" s="166" customFormat="1" ht="22.5" customHeight="1" thickBot="1">
      <c r="A384" s="1046"/>
      <c r="B384" s="353"/>
      <c r="C384" s="364"/>
      <c r="D384" s="364"/>
      <c r="E384" s="354"/>
      <c r="F384" s="355"/>
      <c r="G384" s="355"/>
      <c r="H384" s="356" t="s">
        <v>939</v>
      </c>
      <c r="I384" s="357">
        <f>IF($M$3,SUM(I353:I381),0)</f>
        <v>15</v>
      </c>
      <c r="J384" s="358">
        <f>IF($M$3,SUMIF(L353:L381,TRUE,J353:J381),0)</f>
        <v>9</v>
      </c>
      <c r="L384" s="146"/>
    </row>
    <row r="385" spans="1:12" s="166" customFormat="1" ht="7.5" customHeight="1">
      <c r="A385" s="1046"/>
      <c r="B385" s="368"/>
      <c r="C385" s="365"/>
      <c r="D385" s="365"/>
      <c r="E385" s="366"/>
      <c r="F385" s="79"/>
      <c r="G385" s="79"/>
      <c r="H385" s="352"/>
      <c r="I385" s="369"/>
      <c r="J385" s="367"/>
      <c r="L385" s="146"/>
    </row>
    <row r="386" spans="1:12" s="166" customFormat="1" ht="22.5" customHeight="1">
      <c r="A386" s="1046"/>
      <c r="B386" s="42" t="s">
        <v>127</v>
      </c>
      <c r="C386" s="43"/>
      <c r="D386" s="44"/>
      <c r="E386" s="43"/>
      <c r="F386" s="43"/>
      <c r="G386" s="77"/>
      <c r="H386" s="77"/>
      <c r="I386" s="22"/>
      <c r="J386" s="22"/>
      <c r="L386" s="146"/>
    </row>
    <row r="387" spans="1:12" s="166" customFormat="1" ht="16.850000000000001" customHeight="1">
      <c r="A387" s="1046"/>
      <c r="B387" s="344"/>
      <c r="C387" s="379" t="s">
        <v>86</v>
      </c>
      <c r="D387" s="422"/>
      <c r="E387" s="1408" t="s">
        <v>670</v>
      </c>
      <c r="F387" s="1408"/>
      <c r="G387" s="1408"/>
      <c r="H387" s="1175"/>
      <c r="I387" s="1180">
        <v>0.3</v>
      </c>
      <c r="J387" s="1197">
        <f t="shared" ref="J387:J393" si="12">IF(L387,I387,0)</f>
        <v>0</v>
      </c>
      <c r="L387" s="146" t="b">
        <v>0</v>
      </c>
    </row>
    <row r="388" spans="1:12" s="166" customFormat="1" ht="45.1" customHeight="1">
      <c r="A388" s="1046"/>
      <c r="B388" s="348"/>
      <c r="C388" s="378"/>
      <c r="D388" s="373"/>
      <c r="E388" s="1409" t="s">
        <v>671</v>
      </c>
      <c r="F388" s="1409"/>
      <c r="G388" s="1409"/>
      <c r="H388" s="1161"/>
      <c r="I388" s="390"/>
      <c r="J388" s="426"/>
      <c r="L388" s="146"/>
    </row>
    <row r="389" spans="1:12" s="166" customFormat="1" ht="38.299999999999997" customHeight="1">
      <c r="A389" s="1046"/>
      <c r="B389" s="350"/>
      <c r="C389" s="378"/>
      <c r="D389" s="373"/>
      <c r="E389" s="1402" t="s">
        <v>366</v>
      </c>
      <c r="F389" s="1402"/>
      <c r="G389" s="1402"/>
      <c r="H389" s="1402"/>
      <c r="I389" s="390"/>
      <c r="J389" s="426"/>
      <c r="L389" s="146"/>
    </row>
    <row r="390" spans="1:12" s="166" customFormat="1" ht="16.850000000000001" customHeight="1">
      <c r="A390" s="1046"/>
      <c r="B390" s="344"/>
      <c r="C390" s="379" t="s">
        <v>85</v>
      </c>
      <c r="D390" s="422"/>
      <c r="E390" s="1413" t="s">
        <v>672</v>
      </c>
      <c r="F390" s="1413"/>
      <c r="G390" s="1413"/>
      <c r="H390" s="1175"/>
      <c r="I390" s="1180">
        <v>0.5</v>
      </c>
      <c r="J390" s="1197">
        <f t="shared" si="12"/>
        <v>0</v>
      </c>
      <c r="L390" s="146" t="b">
        <v>0</v>
      </c>
    </row>
    <row r="391" spans="1:12" s="166" customFormat="1" ht="15" customHeight="1">
      <c r="A391" s="1046"/>
      <c r="B391" s="348"/>
      <c r="C391" s="378"/>
      <c r="D391" s="373"/>
      <c r="E391" s="1415" t="s">
        <v>673</v>
      </c>
      <c r="F391" s="1415"/>
      <c r="G391" s="1415"/>
      <c r="H391" s="1161"/>
      <c r="I391" s="390"/>
      <c r="J391" s="426"/>
      <c r="L391" s="146"/>
    </row>
    <row r="392" spans="1:12" s="166" customFormat="1" ht="25.5" customHeight="1">
      <c r="A392" s="1046"/>
      <c r="B392" s="350"/>
      <c r="C392" s="378"/>
      <c r="D392" s="373"/>
      <c r="E392" s="1402" t="s">
        <v>367</v>
      </c>
      <c r="F392" s="1402"/>
      <c r="G392" s="1402"/>
      <c r="H392" s="1402"/>
      <c r="I392" s="390"/>
      <c r="J392" s="426"/>
      <c r="L392" s="146"/>
    </row>
    <row r="393" spans="1:12" s="166" customFormat="1" ht="17.3" customHeight="1">
      <c r="A393" s="1046"/>
      <c r="B393" s="344"/>
      <c r="C393" s="379" t="s">
        <v>84</v>
      </c>
      <c r="D393" s="422"/>
      <c r="E393" s="1413" t="s">
        <v>282</v>
      </c>
      <c r="F393" s="1413"/>
      <c r="G393" s="1413"/>
      <c r="H393" s="1175"/>
      <c r="I393" s="1180">
        <v>0.2</v>
      </c>
      <c r="J393" s="1197">
        <f t="shared" si="12"/>
        <v>0</v>
      </c>
      <c r="L393" s="146" t="b">
        <v>0</v>
      </c>
    </row>
    <row r="394" spans="1:12" s="166" customFormat="1" ht="15" customHeight="1">
      <c r="A394" s="1046"/>
      <c r="B394" s="343"/>
      <c r="C394" s="378"/>
      <c r="D394" s="373"/>
      <c r="E394" s="1429"/>
      <c r="F394" s="1429"/>
      <c r="G394" s="1429"/>
      <c r="H394" s="346"/>
      <c r="I394" s="390"/>
      <c r="J394" s="386"/>
      <c r="L394" s="146"/>
    </row>
    <row r="395" spans="1:12" s="166" customFormat="1" ht="25.5" customHeight="1" thickBot="1">
      <c r="A395" s="1046"/>
      <c r="B395" s="350"/>
      <c r="C395" s="375"/>
      <c r="D395" s="371"/>
      <c r="E395" s="1412" t="s">
        <v>368</v>
      </c>
      <c r="F395" s="1412"/>
      <c r="G395" s="1412"/>
      <c r="H395" s="1412"/>
      <c r="I395" s="390"/>
      <c r="J395" s="426"/>
      <c r="L395" s="146"/>
    </row>
    <row r="396" spans="1:12" s="166" customFormat="1" ht="22.5" customHeight="1" thickBot="1">
      <c r="A396" s="1046"/>
      <c r="B396" s="353"/>
      <c r="C396" s="364"/>
      <c r="D396" s="364"/>
      <c r="E396" s="354"/>
      <c r="F396" s="355"/>
      <c r="G396" s="355"/>
      <c r="H396" s="356" t="s">
        <v>938</v>
      </c>
      <c r="I396" s="357">
        <f>IF($M$3,SUM(I387:I393),0)</f>
        <v>1</v>
      </c>
      <c r="J396" s="358">
        <f>IF($M$3,SUMIF(L387:L393,TRUE,J387:J393),0)</f>
        <v>0</v>
      </c>
      <c r="L396" s="146"/>
    </row>
    <row r="397" spans="1:12" s="151" customFormat="1" ht="12.85" customHeight="1" thickBot="1">
      <c r="A397" s="1046"/>
      <c r="B397" s="37"/>
      <c r="C397" s="171"/>
      <c r="D397" s="171"/>
      <c r="E397" s="37"/>
      <c r="F397" s="37"/>
      <c r="G397" s="37"/>
      <c r="H397" s="37"/>
      <c r="I397" s="37"/>
      <c r="J397" s="37"/>
      <c r="L397" s="173"/>
    </row>
    <row r="398" spans="1:12" s="166" customFormat="1" ht="29.95" customHeight="1" thickBot="1">
      <c r="A398" s="1046"/>
      <c r="B398" s="1400" t="s">
        <v>937</v>
      </c>
      <c r="C398" s="1401"/>
      <c r="D398" s="1401"/>
      <c r="E398" s="1401"/>
      <c r="F398" s="1401"/>
      <c r="G398" s="1401"/>
      <c r="H398" s="1401"/>
      <c r="I398" s="434">
        <f>SUM(I42,I115,I209,I242,I291,I319,I350,I384,I396)</f>
        <v>100</v>
      </c>
      <c r="J398" s="433">
        <f>SUM(J42,J115,J209,J242,J291,J319,J350,J384,J396)</f>
        <v>85.7</v>
      </c>
      <c r="L398" s="146"/>
    </row>
    <row r="399" spans="1:12" ht="12.85" customHeight="1"/>
    <row r="400" spans="1:12" ht="12.85" hidden="1" customHeight="1"/>
  </sheetData>
  <sheetProtection sheet="1" formatRows="0"/>
  <mergeCells count="232">
    <mergeCell ref="E343:H343"/>
    <mergeCell ref="E83:H83"/>
    <mergeCell ref="F48:H48"/>
    <mergeCell ref="E34:H34"/>
    <mergeCell ref="E31:H31"/>
    <mergeCell ref="E19:H19"/>
    <mergeCell ref="E340:G340"/>
    <mergeCell ref="E337:G337"/>
    <mergeCell ref="E333:G333"/>
    <mergeCell ref="E330:G330"/>
    <mergeCell ref="E331:G331"/>
    <mergeCell ref="E326:G326"/>
    <mergeCell ref="E322:G322"/>
    <mergeCell ref="E339:H339"/>
    <mergeCell ref="E204:G204"/>
    <mergeCell ref="E240:G240"/>
    <mergeCell ref="E288:G288"/>
    <mergeCell ref="E305:G305"/>
    <mergeCell ref="E300:G300"/>
    <mergeCell ref="E297:G297"/>
    <mergeCell ref="E294:G294"/>
    <mergeCell ref="E295:G295"/>
    <mergeCell ref="E314:G314"/>
    <mergeCell ref="E311:G311"/>
    <mergeCell ref="E236:H236"/>
    <mergeCell ref="E206:H206"/>
    <mergeCell ref="E167:G167"/>
    <mergeCell ref="E164:G164"/>
    <mergeCell ref="E162:G162"/>
    <mergeCell ref="E205:G205"/>
    <mergeCell ref="E235:G235"/>
    <mergeCell ref="E289:G289"/>
    <mergeCell ref="E306:G306"/>
    <mergeCell ref="E233:H233"/>
    <mergeCell ref="E296:H296"/>
    <mergeCell ref="E239:H239"/>
    <mergeCell ref="E299:H299"/>
    <mergeCell ref="E213:G213"/>
    <mergeCell ref="E216:G216"/>
    <mergeCell ref="E219:G219"/>
    <mergeCell ref="E202:G202"/>
    <mergeCell ref="E191:G191"/>
    <mergeCell ref="E193:G193"/>
    <mergeCell ref="E195:G195"/>
    <mergeCell ref="E194:G194"/>
    <mergeCell ref="E166:H166"/>
    <mergeCell ref="E197:H197"/>
    <mergeCell ref="E161:H161"/>
    <mergeCell ref="E97:G97"/>
    <mergeCell ref="E94:G94"/>
    <mergeCell ref="E95:G95"/>
    <mergeCell ref="E142:G142"/>
    <mergeCell ref="E140:G140"/>
    <mergeCell ref="E141:G141"/>
    <mergeCell ref="E137:G137"/>
    <mergeCell ref="E134:G134"/>
    <mergeCell ref="E135:G135"/>
    <mergeCell ref="E118:G118"/>
    <mergeCell ref="E133:H133"/>
    <mergeCell ref="E109:H109"/>
    <mergeCell ref="E156:H156"/>
    <mergeCell ref="E157:F157"/>
    <mergeCell ref="E341:G341"/>
    <mergeCell ref="E348:G348"/>
    <mergeCell ref="E358:G358"/>
    <mergeCell ref="E364:G364"/>
    <mergeCell ref="E370:G370"/>
    <mergeCell ref="E376:G376"/>
    <mergeCell ref="E379:G379"/>
    <mergeCell ref="E394:G394"/>
    <mergeCell ref="E381:G381"/>
    <mergeCell ref="E382:G382"/>
    <mergeCell ref="E387:G387"/>
    <mergeCell ref="E390:G390"/>
    <mergeCell ref="E391:G391"/>
    <mergeCell ref="E393:G393"/>
    <mergeCell ref="E347:G347"/>
    <mergeCell ref="E344:G344"/>
    <mergeCell ref="E345:G345"/>
    <mergeCell ref="E392:H392"/>
    <mergeCell ref="E342:H342"/>
    <mergeCell ref="E378:G378"/>
    <mergeCell ref="E375:G375"/>
    <mergeCell ref="E372:G372"/>
    <mergeCell ref="E373:G373"/>
    <mergeCell ref="E369:G369"/>
    <mergeCell ref="E334:G334"/>
    <mergeCell ref="E338:G338"/>
    <mergeCell ref="E212:G212"/>
    <mergeCell ref="E329:H329"/>
    <mergeCell ref="E325:H325"/>
    <mergeCell ref="E36:G36"/>
    <mergeCell ref="E37:G37"/>
    <mergeCell ref="E40:G40"/>
    <mergeCell ref="E46:G46"/>
    <mergeCell ref="E76:G76"/>
    <mergeCell ref="E80:H80"/>
    <mergeCell ref="E108:G108"/>
    <mergeCell ref="E111:G111"/>
    <mergeCell ref="E163:G163"/>
    <mergeCell ref="E39:G39"/>
    <mergeCell ref="E45:G45"/>
    <mergeCell ref="E84:G84"/>
    <mergeCell ref="E81:G81"/>
    <mergeCell ref="E78:G78"/>
    <mergeCell ref="E79:G79"/>
    <mergeCell ref="E75:G75"/>
    <mergeCell ref="E154:G154"/>
    <mergeCell ref="E145:G145"/>
    <mergeCell ref="E201:G201"/>
    <mergeCell ref="E90:G90"/>
    <mergeCell ref="E110:G110"/>
    <mergeCell ref="E105:G105"/>
    <mergeCell ref="E106:G106"/>
    <mergeCell ref="E103:G103"/>
    <mergeCell ref="E100:G100"/>
    <mergeCell ref="E101:G101"/>
    <mergeCell ref="E41:H41"/>
    <mergeCell ref="E47:H47"/>
    <mergeCell ref="E96:H96"/>
    <mergeCell ref="E99:H99"/>
    <mergeCell ref="E91:F91"/>
    <mergeCell ref="E87:G87"/>
    <mergeCell ref="E38:H38"/>
    <mergeCell ref="E147:H147"/>
    <mergeCell ref="E82:G82"/>
    <mergeCell ref="E114:F114"/>
    <mergeCell ref="E208:F208"/>
    <mergeCell ref="E138:G138"/>
    <mergeCell ref="E196:G196"/>
    <mergeCell ref="E98:G98"/>
    <mergeCell ref="E85:G85"/>
    <mergeCell ref="E119:G119"/>
    <mergeCell ref="E86:F86"/>
    <mergeCell ref="E112:H112"/>
    <mergeCell ref="E120:H120"/>
    <mergeCell ref="E77:H77"/>
    <mergeCell ref="E89:H89"/>
    <mergeCell ref="E93:H93"/>
    <mergeCell ref="E139:F139"/>
    <mergeCell ref="E143:G143"/>
    <mergeCell ref="E155:G155"/>
    <mergeCell ref="E165:G165"/>
    <mergeCell ref="E136:H136"/>
    <mergeCell ref="E144:H144"/>
    <mergeCell ref="E168:G168"/>
    <mergeCell ref="E192:G192"/>
    <mergeCell ref="E328:H328"/>
    <mergeCell ref="E317:H317"/>
    <mergeCell ref="E332:H332"/>
    <mergeCell ref="E313:H313"/>
    <mergeCell ref="E307:H307"/>
    <mergeCell ref="E241:G241"/>
    <mergeCell ref="E251:G251"/>
    <mergeCell ref="E286:G286"/>
    <mergeCell ref="E301:G301"/>
    <mergeCell ref="E246:G246"/>
    <mergeCell ref="E298:G298"/>
    <mergeCell ref="E247:H247"/>
    <mergeCell ref="E248:H248"/>
    <mergeCell ref="E249:H249"/>
    <mergeCell ref="E252:G252"/>
    <mergeCell ref="E266:G266"/>
    <mergeCell ref="E315:G315"/>
    <mergeCell ref="E323:G323"/>
    <mergeCell ref="E327:G327"/>
    <mergeCell ref="E308:G308"/>
    <mergeCell ref="E309:G309"/>
    <mergeCell ref="E310:H310"/>
    <mergeCell ref="E290:H290"/>
    <mergeCell ref="E312:G312"/>
    <mergeCell ref="F7:J7"/>
    <mergeCell ref="F8:J8"/>
    <mergeCell ref="K2:K8"/>
    <mergeCell ref="I5:J5"/>
    <mergeCell ref="F6:J6"/>
    <mergeCell ref="I2:J2"/>
    <mergeCell ref="I3:J3"/>
    <mergeCell ref="E22:H22"/>
    <mergeCell ref="E35:H35"/>
    <mergeCell ref="B10:F10"/>
    <mergeCell ref="E13:J13"/>
    <mergeCell ref="E14:J14"/>
    <mergeCell ref="E17:G17"/>
    <mergeCell ref="E18:G18"/>
    <mergeCell ref="E32:G32"/>
    <mergeCell ref="E33:G33"/>
    <mergeCell ref="E395:H395"/>
    <mergeCell ref="E368:H368"/>
    <mergeCell ref="E377:H377"/>
    <mergeCell ref="E380:H380"/>
    <mergeCell ref="E383:H383"/>
    <mergeCell ref="E389:H389"/>
    <mergeCell ref="E388:G388"/>
    <mergeCell ref="E355:H355"/>
    <mergeCell ref="E346:H346"/>
    <mergeCell ref="E349:H349"/>
    <mergeCell ref="E356:H356"/>
    <mergeCell ref="E362:H362"/>
    <mergeCell ref="E366:G366"/>
    <mergeCell ref="E363:G363"/>
    <mergeCell ref="E360:G360"/>
    <mergeCell ref="E361:G361"/>
    <mergeCell ref="E357:G357"/>
    <mergeCell ref="E374:H374"/>
    <mergeCell ref="E371:H371"/>
    <mergeCell ref="E365:H365"/>
    <mergeCell ref="E359:H359"/>
    <mergeCell ref="B398:H398"/>
    <mergeCell ref="F122:H122"/>
    <mergeCell ref="F124:H124"/>
    <mergeCell ref="F132:H132"/>
    <mergeCell ref="F159:H159"/>
    <mergeCell ref="F160:H160"/>
    <mergeCell ref="F265:H265"/>
    <mergeCell ref="E92:G92"/>
    <mergeCell ref="E335:G335"/>
    <mergeCell ref="E336:H336"/>
    <mergeCell ref="E353:G353"/>
    <mergeCell ref="E354:G354"/>
    <mergeCell ref="E367:G367"/>
    <mergeCell ref="E102:H102"/>
    <mergeCell ref="E104:H104"/>
    <mergeCell ref="E146:G146"/>
    <mergeCell ref="E302:H302"/>
    <mergeCell ref="E304:H304"/>
    <mergeCell ref="E287:H287"/>
    <mergeCell ref="E203:H203"/>
    <mergeCell ref="E214:H214"/>
    <mergeCell ref="E217:H217"/>
    <mergeCell ref="E220:H220"/>
    <mergeCell ref="E230:G230"/>
  </mergeCells>
  <conditionalFormatting sqref="B13:B14">
    <cfRule type="expression" dxfId="1862" priority="188">
      <formula>AND(L13,NOT($M$13))</formula>
    </cfRule>
    <cfRule type="expression" dxfId="1861" priority="137">
      <formula>NOT($M$3)</formula>
    </cfRule>
  </conditionalFormatting>
  <conditionalFormatting sqref="B17">
    <cfRule type="expression" dxfId="1860" priority="136">
      <formula>NOT($M$3)</formula>
    </cfRule>
  </conditionalFormatting>
  <conditionalFormatting sqref="B20">
    <cfRule type="expression" dxfId="1859" priority="135">
      <formula>NOT($M$3)</formula>
    </cfRule>
  </conditionalFormatting>
  <conditionalFormatting sqref="B36">
    <cfRule type="expression" dxfId="1858" priority="134">
      <formula>NOT($M$3)</formula>
    </cfRule>
  </conditionalFormatting>
  <conditionalFormatting sqref="B39">
    <cfRule type="expression" dxfId="1857" priority="133">
      <formula>NOT($M$3)</formula>
    </cfRule>
  </conditionalFormatting>
  <conditionalFormatting sqref="B45">
    <cfRule type="expression" dxfId="1856" priority="132">
      <formula>NOT($M$3)</formula>
    </cfRule>
  </conditionalFormatting>
  <conditionalFormatting sqref="B75">
    <cfRule type="expression" dxfId="1855" priority="131">
      <formula>NOT($M$3)</formula>
    </cfRule>
  </conditionalFormatting>
  <conditionalFormatting sqref="B78">
    <cfRule type="expression" dxfId="1854" priority="130">
      <formula>NOT($M$3)</formula>
    </cfRule>
  </conditionalFormatting>
  <conditionalFormatting sqref="B81">
    <cfRule type="expression" dxfId="1853" priority="129">
      <formula>NOT($M$3)</formula>
    </cfRule>
  </conditionalFormatting>
  <conditionalFormatting sqref="B84">
    <cfRule type="expression" dxfId="1852" priority="128">
      <formula>NOT($M$3)</formula>
    </cfRule>
  </conditionalFormatting>
  <conditionalFormatting sqref="B94">
    <cfRule type="expression" dxfId="1851" priority="127">
      <formula>NOT($M$3)</formula>
    </cfRule>
  </conditionalFormatting>
  <conditionalFormatting sqref="B97">
    <cfRule type="expression" dxfId="1850" priority="126">
      <formula>NOT($M$3)</formula>
    </cfRule>
  </conditionalFormatting>
  <conditionalFormatting sqref="B100">
    <cfRule type="expression" dxfId="1849" priority="125">
      <formula>NOT($M$3)</formula>
    </cfRule>
  </conditionalFormatting>
  <conditionalFormatting sqref="B103">
    <cfRule type="expression" dxfId="1848" priority="124">
      <formula>NOT($M$3)</formula>
    </cfRule>
  </conditionalFormatting>
  <conditionalFormatting sqref="B105">
    <cfRule type="expression" dxfId="1847" priority="123">
      <formula>NOT($M$3)</formula>
    </cfRule>
  </conditionalFormatting>
  <conditionalFormatting sqref="B107">
    <cfRule type="expression" dxfId="1846" priority="122">
      <formula>NOT($M$3)</formula>
    </cfRule>
  </conditionalFormatting>
  <conditionalFormatting sqref="B110">
    <cfRule type="expression" dxfId="1845" priority="121">
      <formula>NOT($M$3)</formula>
    </cfRule>
  </conditionalFormatting>
  <conditionalFormatting sqref="B118">
    <cfRule type="expression" dxfId="1844" priority="120">
      <formula>NOT($M$3)</formula>
    </cfRule>
  </conditionalFormatting>
  <conditionalFormatting sqref="B134">
    <cfRule type="expression" dxfId="1843" priority="119">
      <formula>NOT($M$3)</formula>
    </cfRule>
  </conditionalFormatting>
  <conditionalFormatting sqref="B137">
    <cfRule type="expression" dxfId="1842" priority="118">
      <formula>NOT($M$3)</formula>
    </cfRule>
  </conditionalFormatting>
  <conditionalFormatting sqref="B140">
    <cfRule type="expression" dxfId="1841" priority="117">
      <formula>NOT($M$3)</formula>
    </cfRule>
  </conditionalFormatting>
  <conditionalFormatting sqref="B142">
    <cfRule type="expression" dxfId="1840" priority="116">
      <formula>NOT($M$3)</formula>
    </cfRule>
  </conditionalFormatting>
  <conditionalFormatting sqref="B145">
    <cfRule type="expression" dxfId="1839" priority="115">
      <formula>NOT($M$3)</formula>
    </cfRule>
  </conditionalFormatting>
  <conditionalFormatting sqref="B154">
    <cfRule type="expression" dxfId="1838" priority="114">
      <formula>NOT($M$3)</formula>
    </cfRule>
  </conditionalFormatting>
  <conditionalFormatting sqref="B162">
    <cfRule type="expression" dxfId="1837" priority="113">
      <formula>NOT($M$3)</formula>
    </cfRule>
  </conditionalFormatting>
  <conditionalFormatting sqref="B164">
    <cfRule type="expression" dxfId="1836" priority="112">
      <formula>NOT($M$3)</formula>
    </cfRule>
  </conditionalFormatting>
  <conditionalFormatting sqref="B167">
    <cfRule type="expression" dxfId="1835" priority="111">
      <formula>NOT($M$3)</formula>
    </cfRule>
  </conditionalFormatting>
  <conditionalFormatting sqref="B191">
    <cfRule type="expression" dxfId="1834" priority="110">
      <formula>NOT($M$3)</formula>
    </cfRule>
  </conditionalFormatting>
  <conditionalFormatting sqref="B193">
    <cfRule type="expression" dxfId="1833" priority="109">
      <formula>NOT($M$3)</formula>
    </cfRule>
  </conditionalFormatting>
  <conditionalFormatting sqref="B195">
    <cfRule type="expression" dxfId="1832" priority="108">
      <formula>NOT($M$3)</formula>
    </cfRule>
  </conditionalFormatting>
  <conditionalFormatting sqref="B201">
    <cfRule type="expression" dxfId="1831" priority="107">
      <formula>NOT($M$3)</formula>
    </cfRule>
  </conditionalFormatting>
  <conditionalFormatting sqref="B204">
    <cfRule type="expression" dxfId="1830" priority="106">
      <formula>NOT($M$3)</formula>
    </cfRule>
  </conditionalFormatting>
  <conditionalFormatting sqref="B212">
    <cfRule type="expression" dxfId="1829" priority="105">
      <formula>NOT($M$3)</formula>
    </cfRule>
  </conditionalFormatting>
  <conditionalFormatting sqref="B215">
    <cfRule type="expression" dxfId="1828" priority="104">
      <formula>NOT($M$3)</formula>
    </cfRule>
  </conditionalFormatting>
  <conditionalFormatting sqref="B218">
    <cfRule type="expression" dxfId="1827" priority="103">
      <formula>NOT($M$3)</formula>
    </cfRule>
  </conditionalFormatting>
  <conditionalFormatting sqref="B234">
    <cfRule type="expression" dxfId="1826" priority="102">
      <formula>NOT($M$3)</formula>
    </cfRule>
  </conditionalFormatting>
  <conditionalFormatting sqref="B237">
    <cfRule type="expression" dxfId="1825" priority="101">
      <formula>NOT($M$3)</formula>
    </cfRule>
  </conditionalFormatting>
  <conditionalFormatting sqref="B240">
    <cfRule type="expression" dxfId="1824" priority="100">
      <formula>NOT($M$3)</formula>
    </cfRule>
  </conditionalFormatting>
  <conditionalFormatting sqref="B245">
    <cfRule type="expression" dxfId="1823" priority="99">
      <formula>NOT($M$3)</formula>
    </cfRule>
  </conditionalFormatting>
  <conditionalFormatting sqref="B250">
    <cfRule type="expression" dxfId="1822" priority="98">
      <formula>NOT($M$3)</formula>
    </cfRule>
  </conditionalFormatting>
  <conditionalFormatting sqref="B285">
    <cfRule type="expression" dxfId="1821" priority="97">
      <formula>NOT($M$3)</formula>
    </cfRule>
  </conditionalFormatting>
  <conditionalFormatting sqref="B288">
    <cfRule type="expression" dxfId="1820" priority="96">
      <formula>NOT($M$3)</formula>
    </cfRule>
  </conditionalFormatting>
  <conditionalFormatting sqref="B294">
    <cfRule type="expression" dxfId="1819" priority="95">
      <formula>NOT($M$3)</formula>
    </cfRule>
  </conditionalFormatting>
  <conditionalFormatting sqref="B297">
    <cfRule type="expression" dxfId="1818" priority="94">
      <formula>NOT($M$3)</formula>
    </cfRule>
  </conditionalFormatting>
  <conditionalFormatting sqref="B300">
    <cfRule type="expression" dxfId="1817" priority="93">
      <formula>NOT($M$3)</formula>
    </cfRule>
  </conditionalFormatting>
  <conditionalFormatting sqref="B305">
    <cfRule type="expression" dxfId="1816" priority="92">
      <formula>NOT($M$3)</formula>
    </cfRule>
  </conditionalFormatting>
  <conditionalFormatting sqref="B308">
    <cfRule type="expression" dxfId="1815" priority="91">
      <formula>NOT($M$3)</formula>
    </cfRule>
  </conditionalFormatting>
  <conditionalFormatting sqref="B311">
    <cfRule type="expression" dxfId="1814" priority="90">
      <formula>NOT($M$3)</formula>
    </cfRule>
  </conditionalFormatting>
  <conditionalFormatting sqref="B326">
    <cfRule type="expression" dxfId="1813" priority="89">
      <formula>NOT($M$3)</formula>
    </cfRule>
  </conditionalFormatting>
  <conditionalFormatting sqref="B330">
    <cfRule type="expression" dxfId="1812" priority="88">
      <formula>NOT($M$3)</formula>
    </cfRule>
  </conditionalFormatting>
  <conditionalFormatting sqref="B333">
    <cfRule type="expression" dxfId="1811" priority="87">
      <formula>NOT($M$3)</formula>
    </cfRule>
  </conditionalFormatting>
  <conditionalFormatting sqref="B337">
    <cfRule type="expression" dxfId="1810" priority="86">
      <formula>NOT($M$3)</formula>
    </cfRule>
  </conditionalFormatting>
  <conditionalFormatting sqref="B340">
    <cfRule type="expression" dxfId="1809" priority="85">
      <formula>NOT($M$3)</formula>
    </cfRule>
  </conditionalFormatting>
  <conditionalFormatting sqref="B344">
    <cfRule type="expression" dxfId="1808" priority="84">
      <formula>NOT($M$3)</formula>
    </cfRule>
  </conditionalFormatting>
  <conditionalFormatting sqref="B347">
    <cfRule type="expression" dxfId="1807" priority="83">
      <formula>NOT($M$3)</formula>
    </cfRule>
  </conditionalFormatting>
  <conditionalFormatting sqref="B353">
    <cfRule type="expression" dxfId="1806" priority="82">
      <formula>NOT($M$3)</formula>
    </cfRule>
  </conditionalFormatting>
  <conditionalFormatting sqref="B357">
    <cfRule type="expression" dxfId="1805" priority="81">
      <formula>NOT($M$3)</formula>
    </cfRule>
  </conditionalFormatting>
  <conditionalFormatting sqref="B360">
    <cfRule type="expression" dxfId="1804" priority="80">
      <formula>NOT($M$3)</formula>
    </cfRule>
  </conditionalFormatting>
  <conditionalFormatting sqref="B363">
    <cfRule type="expression" dxfId="1803" priority="79">
      <formula>NOT($M$3)</formula>
    </cfRule>
  </conditionalFormatting>
  <conditionalFormatting sqref="B366">
    <cfRule type="expression" dxfId="1802" priority="78">
      <formula>NOT($M$3)</formula>
    </cfRule>
  </conditionalFormatting>
  <conditionalFormatting sqref="B369">
    <cfRule type="expression" dxfId="1801" priority="77">
      <formula>NOT($M$3)</formula>
    </cfRule>
  </conditionalFormatting>
  <conditionalFormatting sqref="B372">
    <cfRule type="expression" dxfId="1800" priority="76">
      <formula>NOT($M$3)</formula>
    </cfRule>
  </conditionalFormatting>
  <conditionalFormatting sqref="B375">
    <cfRule type="expression" dxfId="1799" priority="75">
      <formula>NOT($M$3)</formula>
    </cfRule>
  </conditionalFormatting>
  <conditionalFormatting sqref="B378">
    <cfRule type="expression" dxfId="1798" priority="74">
      <formula>NOT($M$3)</formula>
    </cfRule>
  </conditionalFormatting>
  <conditionalFormatting sqref="B381">
    <cfRule type="expression" dxfId="1797" priority="73">
      <formula>NOT($M$3)</formula>
    </cfRule>
  </conditionalFormatting>
  <conditionalFormatting sqref="B387">
    <cfRule type="expression" dxfId="1796" priority="72">
      <formula>NOT($M$3)</formula>
    </cfRule>
  </conditionalFormatting>
  <conditionalFormatting sqref="B390">
    <cfRule type="expression" dxfId="1795" priority="71">
      <formula>NOT($M$3)</formula>
    </cfRule>
  </conditionalFormatting>
  <conditionalFormatting sqref="B393">
    <cfRule type="expression" dxfId="1794" priority="70">
      <formula>NOT($M$3)</formula>
    </cfRule>
  </conditionalFormatting>
  <conditionalFormatting sqref="C31:E34 H32:J33 I34:J34 C35:J35">
    <cfRule type="expression" dxfId="1793" priority="67">
      <formula>NOT($M$3)</formula>
    </cfRule>
  </conditionalFormatting>
  <conditionalFormatting sqref="C36:E37 H36:J37">
    <cfRule type="expression" dxfId="1792" priority="32">
      <formula>NOT($M$3)</formula>
    </cfRule>
  </conditionalFormatting>
  <conditionalFormatting sqref="C39:E40 H39:J40">
    <cfRule type="expression" dxfId="1791" priority="31">
      <formula>NOT($M$3)</formula>
    </cfRule>
  </conditionalFormatting>
  <conditionalFormatting sqref="C45:E46 H45:J46">
    <cfRule type="expression" dxfId="1790" priority="30">
      <formula>NOT($M$3)</formula>
    </cfRule>
  </conditionalFormatting>
  <conditionalFormatting sqref="C75:E76 H75:J76">
    <cfRule type="expression" dxfId="1789" priority="29">
      <formula>NOT($M$3)</formula>
    </cfRule>
  </conditionalFormatting>
  <conditionalFormatting sqref="C78:E85 H84:J85 C86:J86 C87:E87 H87:J87 C88:J89 H90:J90 C90:E92 G91:J91 H92:J92 C93:J93">
    <cfRule type="expression" dxfId="1788" priority="59">
      <formula>NOT($M$3)</formula>
    </cfRule>
  </conditionalFormatting>
  <conditionalFormatting sqref="C94:E95 H94:J95 C96:J96">
    <cfRule type="expression" dxfId="1787" priority="58">
      <formula>NOT($M$3)</formula>
    </cfRule>
  </conditionalFormatting>
  <conditionalFormatting sqref="C97:E98 H97:J98 C99:J99">
    <cfRule type="expression" dxfId="1786" priority="57">
      <formula>NOT($M$3)</formula>
    </cfRule>
  </conditionalFormatting>
  <conditionalFormatting sqref="C100:E101 H100:J101 C102:J102">
    <cfRule type="expression" dxfId="1785" priority="56">
      <formula>NOT($M$3)</formula>
    </cfRule>
  </conditionalFormatting>
  <conditionalFormatting sqref="C103:E103 H103:J103 C104:J104">
    <cfRule type="expression" dxfId="1784" priority="55">
      <formula>NOT($M$3)</formula>
    </cfRule>
  </conditionalFormatting>
  <conditionalFormatting sqref="C105:E106 H105:J106">
    <cfRule type="expression" dxfId="1783" priority="54">
      <formula>NOT($M$3)</formula>
    </cfRule>
  </conditionalFormatting>
  <conditionalFormatting sqref="C108:E111 H110:J111">
    <cfRule type="expression" dxfId="1782" priority="27">
      <formula>NOT($M$3)</formula>
    </cfRule>
  </conditionalFormatting>
  <conditionalFormatting sqref="C118:E119 H118:J119 C120:J132 I133:J133">
    <cfRule type="expression" dxfId="1781" priority="50">
      <formula>NOT($M$3)</formula>
    </cfRule>
  </conditionalFormatting>
  <conditionalFormatting sqref="C133:E135 H134:J135 C136:J136">
    <cfRule type="expression" dxfId="1780" priority="49">
      <formula>NOT($M$3)</formula>
    </cfRule>
  </conditionalFormatting>
  <conditionalFormatting sqref="C137:E138 H137:J138 C139:J139">
    <cfRule type="expression" dxfId="1779" priority="48">
      <formula>NOT($M$3)</formula>
    </cfRule>
  </conditionalFormatting>
  <conditionalFormatting sqref="C140:E143 H140:J143 C144:J144">
    <cfRule type="expression" dxfId="1778" priority="46">
      <formula>NOT($M$3)</formula>
    </cfRule>
  </conditionalFormatting>
  <conditionalFormatting sqref="C145:E146 H145:J146 C147:J153">
    <cfRule type="expression" dxfId="1777" priority="45">
      <formula>NOT($M$3)</formula>
    </cfRule>
  </conditionalFormatting>
  <conditionalFormatting sqref="C154:E157 G157:J157">
    <cfRule type="expression" dxfId="1776" priority="3">
      <formula>NOT($M$3)</formula>
    </cfRule>
  </conditionalFormatting>
  <conditionalFormatting sqref="C161:E168 I166:J166">
    <cfRule type="expression" dxfId="1775" priority="2">
      <formula>NOT($M$3)</formula>
    </cfRule>
  </conditionalFormatting>
  <conditionalFormatting sqref="C191:E197 I197:J197">
    <cfRule type="expression" dxfId="1774" priority="1">
      <formula>NOT($M$3)</formula>
    </cfRule>
  </conditionalFormatting>
  <conditionalFormatting sqref="C201:E202 H201:J202">
    <cfRule type="expression" dxfId="1773" priority="22">
      <formula>NOT($M$3)</formula>
    </cfRule>
  </conditionalFormatting>
  <conditionalFormatting sqref="C212:E213 H212:J213 C214:J229 C230:E230 H230:J230 C231:J234 I236:J236 C237:J239 C240:E240 H240:J240 C241:J241">
    <cfRule type="expression" dxfId="1772" priority="38">
      <formula>NOT($M$3)</formula>
    </cfRule>
  </conditionalFormatting>
  <conditionalFormatting sqref="C294:E295 H294:J295 C296:J296 C297:E298 H297:J298 C299:J299 C300:E301 H300:J301 C302:J304 C307:J307 H308:J309 C308:E312 I310:J310 H311:J312 C313:J313 C316:J318">
    <cfRule type="expression" dxfId="1771" priority="36">
      <formula>NOT($M$3)</formula>
    </cfRule>
  </conditionalFormatting>
  <conditionalFormatting sqref="C305:E306 H305:J306">
    <cfRule type="expression" dxfId="1770" priority="18">
      <formula>NOT($M$3)</formula>
    </cfRule>
  </conditionalFormatting>
  <conditionalFormatting sqref="C314:E315 H314:J315">
    <cfRule type="expression" dxfId="1769" priority="17">
      <formula>NOT($M$3)</formula>
    </cfRule>
  </conditionalFormatting>
  <conditionalFormatting sqref="C322:E323 H322:J323">
    <cfRule type="expression" dxfId="1768" priority="16">
      <formula>NOT($M$3)</formula>
    </cfRule>
  </conditionalFormatting>
  <conditionalFormatting sqref="C325:E327 H326:J327">
    <cfRule type="expression" dxfId="1767" priority="15">
      <formula>NOT($M$3)</formula>
    </cfRule>
  </conditionalFormatting>
  <conditionalFormatting sqref="C333:E334 H333:J334">
    <cfRule type="expression" dxfId="1766" priority="14">
      <formula>NOT($M$3)</formula>
    </cfRule>
  </conditionalFormatting>
  <conditionalFormatting sqref="C337:E345 H340:J341">
    <cfRule type="expression" dxfId="1765" priority="12">
      <formula>NOT($M$3)</formula>
    </cfRule>
  </conditionalFormatting>
  <conditionalFormatting sqref="C347:E348 H347:J348">
    <cfRule type="expression" dxfId="1764" priority="11">
      <formula>NOT($M$3)</formula>
    </cfRule>
  </conditionalFormatting>
  <conditionalFormatting sqref="C369:E376 H375:J376">
    <cfRule type="expression" dxfId="1763" priority="7">
      <formula>NOT($M$3)</formula>
    </cfRule>
  </conditionalFormatting>
  <conditionalFormatting sqref="C378:E379 H378:J379">
    <cfRule type="expression" dxfId="1762" priority="6">
      <formula>NOT($M$3)</formula>
    </cfRule>
  </conditionalFormatting>
  <conditionalFormatting sqref="C387:E388 H387:J388 C389:J389 C390:E391 H390:J391 C392:J392 C395:J395">
    <cfRule type="expression" dxfId="1761" priority="33">
      <formula>NOT($M$3)</formula>
    </cfRule>
  </conditionalFormatting>
  <conditionalFormatting sqref="C393:E394 H393:J394">
    <cfRule type="expression" dxfId="1760" priority="5">
      <formula>NOT($M$3)</formula>
    </cfRule>
  </conditionalFormatting>
  <conditionalFormatting sqref="C20:J30 I31:J31">
    <cfRule type="expression" dxfId="1759" priority="68">
      <formula>NOT($M$3)</formula>
    </cfRule>
  </conditionalFormatting>
  <conditionalFormatting sqref="C38:J38">
    <cfRule type="expression" dxfId="1758" priority="66">
      <formula>NOT($M$3)</formula>
    </cfRule>
  </conditionalFormatting>
  <conditionalFormatting sqref="C41:J41">
    <cfRule type="expression" dxfId="1757" priority="65">
      <formula>NOT($M$3)</formula>
    </cfRule>
  </conditionalFormatting>
  <conditionalFormatting sqref="C47:J47 C48:F48 I48:J48 C49:J74">
    <cfRule type="expression" dxfId="1756" priority="64">
      <formula>NOT($M$3)</formula>
    </cfRule>
  </conditionalFormatting>
  <conditionalFormatting sqref="C77:J77">
    <cfRule type="expression" dxfId="1755" priority="63">
      <formula>NOT($M$3)</formula>
    </cfRule>
  </conditionalFormatting>
  <conditionalFormatting sqref="C107:J107 I109:J109">
    <cfRule type="expression" dxfId="1754" priority="53">
      <formula>NOT($M$3)</formula>
    </cfRule>
  </conditionalFormatting>
  <conditionalFormatting sqref="C112:J114">
    <cfRule type="expression" dxfId="1753" priority="51">
      <formula>NOT($M$3)</formula>
    </cfRule>
  </conditionalFormatting>
  <conditionalFormatting sqref="C169:J190 C198:J200 C203:J203 I206:J206 C207:J208">
    <cfRule type="expression" dxfId="1752" priority="39">
      <formula>NOT($M$3)</formula>
    </cfRule>
  </conditionalFormatting>
  <conditionalFormatting sqref="C245:J251 C252:E252 H252:J252 C253:J265 C266:E266 H266:J266 C267:J287 I290:J290">
    <cfRule type="expression" dxfId="1751" priority="37">
      <formula>NOT($M$3)</formula>
    </cfRule>
  </conditionalFormatting>
  <conditionalFormatting sqref="C324:J324 I325:J325 C328:J328 I329:J329 C329:E331 H330:J331 C332:J332 C335:J336 I339:J339 I342:J343 H344:J345 C346:J346 C349:J349">
    <cfRule type="expression" dxfId="1750" priority="35">
      <formula>NOT($M$3)</formula>
    </cfRule>
  </conditionalFormatting>
  <conditionalFormatting sqref="C353:J356 I359:J359 H360:J361 C362:J362 I365:J365 H366:J367 C368:J368 I371:J371 H372:J373 I374:J374 C377:J377 C380:J380 C381:E382 H381:J382 C383:J383">
    <cfRule type="expression" dxfId="1749" priority="34">
      <formula>NOT($M$3)</formula>
    </cfRule>
  </conditionalFormatting>
  <conditionalFormatting sqref="E13:E14">
    <cfRule type="expression" dxfId="1748" priority="191">
      <formula>NOT($M$3)</formula>
    </cfRule>
  </conditionalFormatting>
  <conditionalFormatting sqref="H17:J18 C17:E19 I19:J19">
    <cfRule type="expression" dxfId="1747" priority="69">
      <formula>NOT($M$3)</formula>
    </cfRule>
  </conditionalFormatting>
  <conditionalFormatting sqref="H78:J79 I80:J80">
    <cfRule type="expression" dxfId="1746" priority="62">
      <formula>NOT($M$3)</formula>
    </cfRule>
  </conditionalFormatting>
  <conditionalFormatting sqref="H81:J82 I83:J83">
    <cfRule type="expression" dxfId="1745" priority="61">
      <formula>NOT($M$3)</formula>
    </cfRule>
  </conditionalFormatting>
  <conditionalFormatting sqref="H108:J108">
    <cfRule type="expression" dxfId="1744" priority="28">
      <formula>NOT($M$3)</formula>
    </cfRule>
  </conditionalFormatting>
  <conditionalFormatting sqref="H154:J155 C158:J160 I161:J161">
    <cfRule type="expression" dxfId="1743" priority="43">
      <formula>NOT($M$3)</formula>
    </cfRule>
  </conditionalFormatting>
  <conditionalFormatting sqref="H162:J165">
    <cfRule type="expression" dxfId="1742" priority="26">
      <formula>NOT($M$3)</formula>
    </cfRule>
  </conditionalFormatting>
  <conditionalFormatting sqref="H167:J168">
    <cfRule type="expression" dxfId="1741" priority="25">
      <formula>NOT($M$3)</formula>
    </cfRule>
  </conditionalFormatting>
  <conditionalFormatting sqref="H191:J196">
    <cfRule type="expression" dxfId="1740" priority="23">
      <formula>NOT($M$3)</formula>
    </cfRule>
  </conditionalFormatting>
  <conditionalFormatting sqref="H204:J205 C204:E206">
    <cfRule type="expression" dxfId="1739" priority="21">
      <formula>NOT($M$3)</formula>
    </cfRule>
  </conditionalFormatting>
  <conditionalFormatting sqref="H235:J235 C235:E236">
    <cfRule type="expression" dxfId="1738" priority="20">
      <formula>NOT($M$3)</formula>
    </cfRule>
  </conditionalFormatting>
  <conditionalFormatting sqref="H288:J289 C288:E290">
    <cfRule type="expression" dxfId="1737" priority="19">
      <formula>NOT($M$3)</formula>
    </cfRule>
  </conditionalFormatting>
  <conditionalFormatting sqref="H337:J338">
    <cfRule type="expression" dxfId="1736" priority="13">
      <formula>NOT($M$3)</formula>
    </cfRule>
  </conditionalFormatting>
  <conditionalFormatting sqref="H357:J358 C357:E361">
    <cfRule type="expression" dxfId="1735" priority="10">
      <formula>NOT($M$3)</formula>
    </cfRule>
  </conditionalFormatting>
  <conditionalFormatting sqref="H363:J364 C363:E367">
    <cfRule type="expression" dxfId="1734" priority="9">
      <formula>NOT($M$3)</formula>
    </cfRule>
  </conditionalFormatting>
  <conditionalFormatting sqref="H369:J370">
    <cfRule type="expression" dxfId="1733" priority="8">
      <formula>NOT($M$3)</formula>
    </cfRule>
  </conditionalFormatting>
  <conditionalFormatting sqref="I156:J156">
    <cfRule type="expression" dxfId="1732" priority="4">
      <formula>NOT($M$3)</formula>
    </cfRule>
  </conditionalFormatting>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Mai 2024&amp;R&amp;P</oddFooter>
  </headerFooter>
  <rowBreaks count="9" manualBreakCount="9">
    <brk id="43" max="10" man="1"/>
    <brk id="141" max="10" man="1"/>
    <brk id="172" max="10" man="1"/>
    <brk id="210" max="10" man="1"/>
    <brk id="278" max="10" man="1"/>
    <brk id="304" max="10" man="1"/>
    <brk id="339" max="10" man="1"/>
    <brk id="365" max="10" man="1"/>
    <brk id="385"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90" r:id="rId4" name="Check Box 150">
              <controlPr defaultSize="0" autoFill="0" autoLine="0" autoPict="0" altText="">
                <anchor moveWithCells="1">
                  <from>
                    <xdr:col>1</xdr:col>
                    <xdr:colOff>0</xdr:colOff>
                    <xdr:row>19</xdr:row>
                    <xdr:rowOff>0</xdr:rowOff>
                  </from>
                  <to>
                    <xdr:col>2</xdr:col>
                    <xdr:colOff>7315</xdr:colOff>
                    <xdr:row>20</xdr:row>
                    <xdr:rowOff>0</xdr:rowOff>
                  </to>
                </anchor>
              </controlPr>
            </control>
          </mc:Choice>
        </mc:AlternateContent>
        <mc:AlternateContent xmlns:mc="http://schemas.openxmlformats.org/markup-compatibility/2006">
          <mc:Choice Requires="x14">
            <control shapeId="10391" r:id="rId5" name="Check Box 151">
              <controlPr defaultSize="0" autoFill="0" autoLine="0" autoPict="0" altText="">
                <anchor moveWithCells="1">
                  <from>
                    <xdr:col>1</xdr:col>
                    <xdr:colOff>0</xdr:colOff>
                    <xdr:row>31</xdr:row>
                    <xdr:rowOff>0</xdr:rowOff>
                  </from>
                  <to>
                    <xdr:col>2</xdr:col>
                    <xdr:colOff>7315</xdr:colOff>
                    <xdr:row>32</xdr:row>
                    <xdr:rowOff>0</xdr:rowOff>
                  </to>
                </anchor>
              </controlPr>
            </control>
          </mc:Choice>
        </mc:AlternateContent>
        <mc:AlternateContent xmlns:mc="http://schemas.openxmlformats.org/markup-compatibility/2006">
          <mc:Choice Requires="x14">
            <control shapeId="10392" r:id="rId6" name="Check Box 152">
              <controlPr defaultSize="0" autoFill="0" autoLine="0" autoPict="0" altText="">
                <anchor moveWithCells="1">
                  <from>
                    <xdr:col>1</xdr:col>
                    <xdr:colOff>0</xdr:colOff>
                    <xdr:row>35</xdr:row>
                    <xdr:rowOff>0</xdr:rowOff>
                  </from>
                  <to>
                    <xdr:col>2</xdr:col>
                    <xdr:colOff>7315</xdr:colOff>
                    <xdr:row>36</xdr:row>
                    <xdr:rowOff>0</xdr:rowOff>
                  </to>
                </anchor>
              </controlPr>
            </control>
          </mc:Choice>
        </mc:AlternateContent>
        <mc:AlternateContent xmlns:mc="http://schemas.openxmlformats.org/markup-compatibility/2006">
          <mc:Choice Requires="x14">
            <control shapeId="10394" r:id="rId7" name="Check Box 154">
              <controlPr defaultSize="0" autoFill="0" autoLine="0" autoPict="0" altText="">
                <anchor moveWithCells="1">
                  <from>
                    <xdr:col>1</xdr:col>
                    <xdr:colOff>0</xdr:colOff>
                    <xdr:row>37</xdr:row>
                    <xdr:rowOff>672998</xdr:rowOff>
                  </from>
                  <to>
                    <xdr:col>2</xdr:col>
                    <xdr:colOff>7315</xdr:colOff>
                    <xdr:row>39</xdr:row>
                    <xdr:rowOff>0</xdr:rowOff>
                  </to>
                </anchor>
              </controlPr>
            </control>
          </mc:Choice>
        </mc:AlternateContent>
        <mc:AlternateContent xmlns:mc="http://schemas.openxmlformats.org/markup-compatibility/2006">
          <mc:Choice Requires="x14">
            <control shapeId="10396" r:id="rId8" name="Check Box 156">
              <controlPr defaultSize="0" autoFill="0" autoLine="0" autoPict="0" altText="">
                <anchor moveWithCells="1">
                  <from>
                    <xdr:col>1</xdr:col>
                    <xdr:colOff>0</xdr:colOff>
                    <xdr:row>43</xdr:row>
                    <xdr:rowOff>248717</xdr:rowOff>
                  </from>
                  <to>
                    <xdr:col>2</xdr:col>
                    <xdr:colOff>7315</xdr:colOff>
                    <xdr:row>44</xdr:row>
                    <xdr:rowOff>182880</xdr:rowOff>
                  </to>
                </anchor>
              </controlPr>
            </control>
          </mc:Choice>
        </mc:AlternateContent>
        <mc:AlternateContent xmlns:mc="http://schemas.openxmlformats.org/markup-compatibility/2006">
          <mc:Choice Requires="x14">
            <control shapeId="10397" r:id="rId9" name="Check Box 157">
              <controlPr defaultSize="0" autoFill="0" autoLine="0" autoPict="0" altText="">
                <anchor moveWithCells="1">
                  <from>
                    <xdr:col>1</xdr:col>
                    <xdr:colOff>0</xdr:colOff>
                    <xdr:row>74</xdr:row>
                    <xdr:rowOff>0</xdr:rowOff>
                  </from>
                  <to>
                    <xdr:col>2</xdr:col>
                    <xdr:colOff>7315</xdr:colOff>
                    <xdr:row>75</xdr:row>
                    <xdr:rowOff>0</xdr:rowOff>
                  </to>
                </anchor>
              </controlPr>
            </control>
          </mc:Choice>
        </mc:AlternateContent>
        <mc:AlternateContent xmlns:mc="http://schemas.openxmlformats.org/markup-compatibility/2006">
          <mc:Choice Requires="x14">
            <control shapeId="10398" r:id="rId10" name="Check Box 158">
              <controlPr defaultSize="0" autoFill="0" autoLine="0" autoPict="0" altText="">
                <anchor moveWithCells="1">
                  <from>
                    <xdr:col>1</xdr:col>
                    <xdr:colOff>0</xdr:colOff>
                    <xdr:row>77</xdr:row>
                    <xdr:rowOff>0</xdr:rowOff>
                  </from>
                  <to>
                    <xdr:col>2</xdr:col>
                    <xdr:colOff>7315</xdr:colOff>
                    <xdr:row>78</xdr:row>
                    <xdr:rowOff>0</xdr:rowOff>
                  </to>
                </anchor>
              </controlPr>
            </control>
          </mc:Choice>
        </mc:AlternateContent>
        <mc:AlternateContent xmlns:mc="http://schemas.openxmlformats.org/markup-compatibility/2006">
          <mc:Choice Requires="x14">
            <control shapeId="10400" r:id="rId11" name="Check Box 160">
              <controlPr defaultSize="0" autoFill="0" autoLine="0" autoPict="0" altText="">
                <anchor moveWithCells="1">
                  <from>
                    <xdr:col>1</xdr:col>
                    <xdr:colOff>0</xdr:colOff>
                    <xdr:row>79</xdr:row>
                    <xdr:rowOff>321869</xdr:rowOff>
                  </from>
                  <to>
                    <xdr:col>2</xdr:col>
                    <xdr:colOff>7315</xdr:colOff>
                    <xdr:row>81</xdr:row>
                    <xdr:rowOff>0</xdr:rowOff>
                  </to>
                </anchor>
              </controlPr>
            </control>
          </mc:Choice>
        </mc:AlternateContent>
        <mc:AlternateContent xmlns:mc="http://schemas.openxmlformats.org/markup-compatibility/2006">
          <mc:Choice Requires="x14">
            <control shapeId="10401" r:id="rId12" name="Check Box 161">
              <controlPr defaultSize="0" autoFill="0" autoLine="0" autoPict="0" altText="">
                <anchor moveWithCells="1">
                  <from>
                    <xdr:col>1</xdr:col>
                    <xdr:colOff>0</xdr:colOff>
                    <xdr:row>83</xdr:row>
                    <xdr:rowOff>0</xdr:rowOff>
                  </from>
                  <to>
                    <xdr:col>2</xdr:col>
                    <xdr:colOff>7315</xdr:colOff>
                    <xdr:row>84</xdr:row>
                    <xdr:rowOff>0</xdr:rowOff>
                  </to>
                </anchor>
              </controlPr>
            </control>
          </mc:Choice>
        </mc:AlternateContent>
        <mc:AlternateContent xmlns:mc="http://schemas.openxmlformats.org/markup-compatibility/2006">
          <mc:Choice Requires="x14">
            <control shapeId="10402" r:id="rId13" name="Check Box 162">
              <controlPr defaultSize="0" autoFill="0" autoLine="0" autoPict="0" altText="">
                <anchor moveWithCells="1">
                  <from>
                    <xdr:col>1</xdr:col>
                    <xdr:colOff>0</xdr:colOff>
                    <xdr:row>93</xdr:row>
                    <xdr:rowOff>0</xdr:rowOff>
                  </from>
                  <to>
                    <xdr:col>2</xdr:col>
                    <xdr:colOff>7315</xdr:colOff>
                    <xdr:row>94</xdr:row>
                    <xdr:rowOff>0</xdr:rowOff>
                  </to>
                </anchor>
              </controlPr>
            </control>
          </mc:Choice>
        </mc:AlternateContent>
        <mc:AlternateContent xmlns:mc="http://schemas.openxmlformats.org/markup-compatibility/2006">
          <mc:Choice Requires="x14">
            <control shapeId="10403" r:id="rId14" name="Check Box 163">
              <controlPr defaultSize="0" autoFill="0" autoLine="0" autoPict="0" altText="">
                <anchor moveWithCells="1">
                  <from>
                    <xdr:col>1</xdr:col>
                    <xdr:colOff>0</xdr:colOff>
                    <xdr:row>96</xdr:row>
                    <xdr:rowOff>0</xdr:rowOff>
                  </from>
                  <to>
                    <xdr:col>2</xdr:col>
                    <xdr:colOff>7315</xdr:colOff>
                    <xdr:row>97</xdr:row>
                    <xdr:rowOff>0</xdr:rowOff>
                  </to>
                </anchor>
              </controlPr>
            </control>
          </mc:Choice>
        </mc:AlternateContent>
        <mc:AlternateContent xmlns:mc="http://schemas.openxmlformats.org/markup-compatibility/2006">
          <mc:Choice Requires="x14">
            <control shapeId="10404" r:id="rId15" name="Check Box 164">
              <controlPr defaultSize="0" autoFill="0" autoLine="0" autoPict="0" altText="3 Fahrstreifen">
                <anchor moveWithCells="1">
                  <from>
                    <xdr:col>1</xdr:col>
                    <xdr:colOff>0</xdr:colOff>
                    <xdr:row>99</xdr:row>
                    <xdr:rowOff>0</xdr:rowOff>
                  </from>
                  <to>
                    <xdr:col>2</xdr:col>
                    <xdr:colOff>7315</xdr:colOff>
                    <xdr:row>100</xdr:row>
                    <xdr:rowOff>0</xdr:rowOff>
                  </to>
                </anchor>
              </controlPr>
            </control>
          </mc:Choice>
        </mc:AlternateContent>
        <mc:AlternateContent xmlns:mc="http://schemas.openxmlformats.org/markup-compatibility/2006">
          <mc:Choice Requires="x14">
            <control shapeId="10405" r:id="rId16" name="Check Box 165">
              <controlPr defaultSize="0" autoFill="0" autoLine="0" autoPict="0" altText="">
                <anchor moveWithCells="1">
                  <from>
                    <xdr:col>1</xdr:col>
                    <xdr:colOff>0</xdr:colOff>
                    <xdr:row>102</xdr:row>
                    <xdr:rowOff>0</xdr:rowOff>
                  </from>
                  <to>
                    <xdr:col>2</xdr:col>
                    <xdr:colOff>7315</xdr:colOff>
                    <xdr:row>103</xdr:row>
                    <xdr:rowOff>0</xdr:rowOff>
                  </to>
                </anchor>
              </controlPr>
            </control>
          </mc:Choice>
        </mc:AlternateContent>
        <mc:AlternateContent xmlns:mc="http://schemas.openxmlformats.org/markup-compatibility/2006">
          <mc:Choice Requires="x14">
            <control shapeId="10406" r:id="rId17" name="Check Box 166">
              <controlPr defaultSize="0" autoFill="0" autoLine="0" autoPict="0" altText="">
                <anchor moveWithCells="1">
                  <from>
                    <xdr:col>1</xdr:col>
                    <xdr:colOff>0</xdr:colOff>
                    <xdr:row>104</xdr:row>
                    <xdr:rowOff>0</xdr:rowOff>
                  </from>
                  <to>
                    <xdr:col>2</xdr:col>
                    <xdr:colOff>7315</xdr:colOff>
                    <xdr:row>105</xdr:row>
                    <xdr:rowOff>0</xdr:rowOff>
                  </to>
                </anchor>
              </controlPr>
            </control>
          </mc:Choice>
        </mc:AlternateContent>
        <mc:AlternateContent xmlns:mc="http://schemas.openxmlformats.org/markup-compatibility/2006">
          <mc:Choice Requires="x14">
            <control shapeId="10407" r:id="rId18" name="Check Box 167">
              <controlPr defaultSize="0" autoFill="0" autoLine="0" autoPict="0" altText="">
                <anchor moveWithCells="1">
                  <from>
                    <xdr:col>1</xdr:col>
                    <xdr:colOff>0</xdr:colOff>
                    <xdr:row>106</xdr:row>
                    <xdr:rowOff>0</xdr:rowOff>
                  </from>
                  <to>
                    <xdr:col>2</xdr:col>
                    <xdr:colOff>7315</xdr:colOff>
                    <xdr:row>107</xdr:row>
                    <xdr:rowOff>0</xdr:rowOff>
                  </to>
                </anchor>
              </controlPr>
            </control>
          </mc:Choice>
        </mc:AlternateContent>
        <mc:AlternateContent xmlns:mc="http://schemas.openxmlformats.org/markup-compatibility/2006">
          <mc:Choice Requires="x14">
            <control shapeId="10408" r:id="rId19" name="Check Box 168">
              <controlPr defaultSize="0" autoFill="0" autoLine="0" autoPict="0" altText="">
                <anchor moveWithCells="1">
                  <from>
                    <xdr:col>1</xdr:col>
                    <xdr:colOff>0</xdr:colOff>
                    <xdr:row>109</xdr:row>
                    <xdr:rowOff>0</xdr:rowOff>
                  </from>
                  <to>
                    <xdr:col>2</xdr:col>
                    <xdr:colOff>7315</xdr:colOff>
                    <xdr:row>110</xdr:row>
                    <xdr:rowOff>0</xdr:rowOff>
                  </to>
                </anchor>
              </controlPr>
            </control>
          </mc:Choice>
        </mc:AlternateContent>
        <mc:AlternateContent xmlns:mc="http://schemas.openxmlformats.org/markup-compatibility/2006">
          <mc:Choice Requires="x14">
            <control shapeId="10437" r:id="rId20" name="Check Box 197">
              <controlPr defaultSize="0" autoFill="0" autoLine="0" autoPict="0" altText="">
                <anchor moveWithCells="1">
                  <from>
                    <xdr:col>1</xdr:col>
                    <xdr:colOff>0</xdr:colOff>
                    <xdr:row>133</xdr:row>
                    <xdr:rowOff>0</xdr:rowOff>
                  </from>
                  <to>
                    <xdr:col>2</xdr:col>
                    <xdr:colOff>7315</xdr:colOff>
                    <xdr:row>134</xdr:row>
                    <xdr:rowOff>0</xdr:rowOff>
                  </to>
                </anchor>
              </controlPr>
            </control>
          </mc:Choice>
        </mc:AlternateContent>
        <mc:AlternateContent xmlns:mc="http://schemas.openxmlformats.org/markup-compatibility/2006">
          <mc:Choice Requires="x14">
            <control shapeId="10438" r:id="rId21" name="Check Box 198">
              <controlPr defaultSize="0" autoFill="0" autoLine="0" autoPict="0" altText="">
                <anchor moveWithCells="1">
                  <from>
                    <xdr:col>1</xdr:col>
                    <xdr:colOff>0</xdr:colOff>
                    <xdr:row>136</xdr:row>
                    <xdr:rowOff>0</xdr:rowOff>
                  </from>
                  <to>
                    <xdr:col>2</xdr:col>
                    <xdr:colOff>7315</xdr:colOff>
                    <xdr:row>137</xdr:row>
                    <xdr:rowOff>0</xdr:rowOff>
                  </to>
                </anchor>
              </controlPr>
            </control>
          </mc:Choice>
        </mc:AlternateContent>
        <mc:AlternateContent xmlns:mc="http://schemas.openxmlformats.org/markup-compatibility/2006">
          <mc:Choice Requires="x14">
            <control shapeId="10439" r:id="rId22" name="Check Box 199">
              <controlPr defaultSize="0" autoFill="0" autoLine="0" autoPict="0" altText="">
                <anchor moveWithCells="1">
                  <from>
                    <xdr:col>1</xdr:col>
                    <xdr:colOff>0</xdr:colOff>
                    <xdr:row>139</xdr:row>
                    <xdr:rowOff>0</xdr:rowOff>
                  </from>
                  <to>
                    <xdr:col>2</xdr:col>
                    <xdr:colOff>7315</xdr:colOff>
                    <xdr:row>140</xdr:row>
                    <xdr:rowOff>21946</xdr:rowOff>
                  </to>
                </anchor>
              </controlPr>
            </control>
          </mc:Choice>
        </mc:AlternateContent>
        <mc:AlternateContent xmlns:mc="http://schemas.openxmlformats.org/markup-compatibility/2006">
          <mc:Choice Requires="x14">
            <control shapeId="10440" r:id="rId23" name="Check Box 200">
              <controlPr defaultSize="0" autoFill="0" autoLine="0" autoPict="0" altText="">
                <anchor moveWithCells="1">
                  <from>
                    <xdr:col>1</xdr:col>
                    <xdr:colOff>0</xdr:colOff>
                    <xdr:row>141</xdr:row>
                    <xdr:rowOff>0</xdr:rowOff>
                  </from>
                  <to>
                    <xdr:col>2</xdr:col>
                    <xdr:colOff>7315</xdr:colOff>
                    <xdr:row>142</xdr:row>
                    <xdr:rowOff>0</xdr:rowOff>
                  </to>
                </anchor>
              </controlPr>
            </control>
          </mc:Choice>
        </mc:AlternateContent>
        <mc:AlternateContent xmlns:mc="http://schemas.openxmlformats.org/markup-compatibility/2006">
          <mc:Choice Requires="x14">
            <control shapeId="10441" r:id="rId24" name="Check Box 201">
              <controlPr defaultSize="0" autoFill="0" autoLine="0" autoPict="0" altText="">
                <anchor moveWithCells="1">
                  <from>
                    <xdr:col>1</xdr:col>
                    <xdr:colOff>0</xdr:colOff>
                    <xdr:row>144</xdr:row>
                    <xdr:rowOff>0</xdr:rowOff>
                  </from>
                  <to>
                    <xdr:col>2</xdr:col>
                    <xdr:colOff>7315</xdr:colOff>
                    <xdr:row>145</xdr:row>
                    <xdr:rowOff>0</xdr:rowOff>
                  </to>
                </anchor>
              </controlPr>
            </control>
          </mc:Choice>
        </mc:AlternateContent>
        <mc:AlternateContent xmlns:mc="http://schemas.openxmlformats.org/markup-compatibility/2006">
          <mc:Choice Requires="x14">
            <control shapeId="10442" r:id="rId25" name="Check Box 202">
              <controlPr defaultSize="0" autoFill="0" autoLine="0" autoPict="0" altText="3 Fahrstreifen">
                <anchor moveWithCells="1">
                  <from>
                    <xdr:col>1</xdr:col>
                    <xdr:colOff>0</xdr:colOff>
                    <xdr:row>153</xdr:row>
                    <xdr:rowOff>0</xdr:rowOff>
                  </from>
                  <to>
                    <xdr:col>2</xdr:col>
                    <xdr:colOff>7315</xdr:colOff>
                    <xdr:row>154</xdr:row>
                    <xdr:rowOff>0</xdr:rowOff>
                  </to>
                </anchor>
              </controlPr>
            </control>
          </mc:Choice>
        </mc:AlternateContent>
        <mc:AlternateContent xmlns:mc="http://schemas.openxmlformats.org/markup-compatibility/2006">
          <mc:Choice Requires="x14">
            <control shapeId="10446" r:id="rId26" name="Check Box 206">
              <controlPr defaultSize="0" autoFill="0" autoLine="0" autoPict="0" altText="">
                <anchor moveWithCells="1">
                  <from>
                    <xdr:col>1</xdr:col>
                    <xdr:colOff>0</xdr:colOff>
                    <xdr:row>190</xdr:row>
                    <xdr:rowOff>0</xdr:rowOff>
                  </from>
                  <to>
                    <xdr:col>2</xdr:col>
                    <xdr:colOff>7315</xdr:colOff>
                    <xdr:row>191</xdr:row>
                    <xdr:rowOff>0</xdr:rowOff>
                  </to>
                </anchor>
              </controlPr>
            </control>
          </mc:Choice>
        </mc:AlternateContent>
        <mc:AlternateContent xmlns:mc="http://schemas.openxmlformats.org/markup-compatibility/2006">
          <mc:Choice Requires="x14">
            <control shapeId="10456" r:id="rId27" name="Check Box 216">
              <controlPr defaultSize="0" autoFill="0" autoLine="0" autoPict="0" altText="">
                <anchor moveWithCells="1">
                  <from>
                    <xdr:col>1</xdr:col>
                    <xdr:colOff>0</xdr:colOff>
                    <xdr:row>194</xdr:row>
                    <xdr:rowOff>0</xdr:rowOff>
                  </from>
                  <to>
                    <xdr:col>2</xdr:col>
                    <xdr:colOff>7315</xdr:colOff>
                    <xdr:row>195</xdr:row>
                    <xdr:rowOff>0</xdr:rowOff>
                  </to>
                </anchor>
              </controlPr>
            </control>
          </mc:Choice>
        </mc:AlternateContent>
        <mc:AlternateContent xmlns:mc="http://schemas.openxmlformats.org/markup-compatibility/2006">
          <mc:Choice Requires="x14">
            <control shapeId="10458" r:id="rId28" name="Check Box 218">
              <controlPr defaultSize="0" autoFill="0" autoLine="0" autoPict="0" altText="">
                <anchor moveWithCells="1">
                  <from>
                    <xdr:col>1</xdr:col>
                    <xdr:colOff>0</xdr:colOff>
                    <xdr:row>200</xdr:row>
                    <xdr:rowOff>0</xdr:rowOff>
                  </from>
                  <to>
                    <xdr:col>2</xdr:col>
                    <xdr:colOff>7315</xdr:colOff>
                    <xdr:row>201</xdr:row>
                    <xdr:rowOff>0</xdr:rowOff>
                  </to>
                </anchor>
              </controlPr>
            </control>
          </mc:Choice>
        </mc:AlternateContent>
        <mc:AlternateContent xmlns:mc="http://schemas.openxmlformats.org/markup-compatibility/2006">
          <mc:Choice Requires="x14">
            <control shapeId="10459" r:id="rId29" name="Check Box 219">
              <controlPr defaultSize="0" autoFill="0" autoLine="0" autoPict="0" altText="">
                <anchor moveWithCells="1">
                  <from>
                    <xdr:col>1</xdr:col>
                    <xdr:colOff>0</xdr:colOff>
                    <xdr:row>203</xdr:row>
                    <xdr:rowOff>0</xdr:rowOff>
                  </from>
                  <to>
                    <xdr:col>2</xdr:col>
                    <xdr:colOff>7315</xdr:colOff>
                    <xdr:row>204</xdr:row>
                    <xdr:rowOff>0</xdr:rowOff>
                  </to>
                </anchor>
              </controlPr>
            </control>
          </mc:Choice>
        </mc:AlternateContent>
        <mc:AlternateContent xmlns:mc="http://schemas.openxmlformats.org/markup-compatibility/2006">
          <mc:Choice Requires="x14">
            <control shapeId="10460" r:id="rId30" name="Check Box 220">
              <controlPr defaultSize="0" autoFill="0" autoLine="0" autoPict="0" altText="">
                <anchor moveWithCells="1">
                  <from>
                    <xdr:col>1</xdr:col>
                    <xdr:colOff>0</xdr:colOff>
                    <xdr:row>214</xdr:row>
                    <xdr:rowOff>0</xdr:rowOff>
                  </from>
                  <to>
                    <xdr:col>2</xdr:col>
                    <xdr:colOff>7315</xdr:colOff>
                    <xdr:row>215</xdr:row>
                    <xdr:rowOff>0</xdr:rowOff>
                  </to>
                </anchor>
              </controlPr>
            </control>
          </mc:Choice>
        </mc:AlternateContent>
        <mc:AlternateContent xmlns:mc="http://schemas.openxmlformats.org/markup-compatibility/2006">
          <mc:Choice Requires="x14">
            <control shapeId="10462" r:id="rId31" name="Check Box 222">
              <controlPr defaultSize="0" autoFill="0" autoLine="0" autoPict="0" altText="">
                <anchor moveWithCells="1">
                  <from>
                    <xdr:col>1</xdr:col>
                    <xdr:colOff>0</xdr:colOff>
                    <xdr:row>233</xdr:row>
                    <xdr:rowOff>0</xdr:rowOff>
                  </from>
                  <to>
                    <xdr:col>2</xdr:col>
                    <xdr:colOff>7315</xdr:colOff>
                    <xdr:row>234</xdr:row>
                    <xdr:rowOff>0</xdr:rowOff>
                  </to>
                </anchor>
              </controlPr>
            </control>
          </mc:Choice>
        </mc:AlternateContent>
        <mc:AlternateContent xmlns:mc="http://schemas.openxmlformats.org/markup-compatibility/2006">
          <mc:Choice Requires="x14">
            <control shapeId="10463" r:id="rId32" name="Check Box 223">
              <controlPr defaultSize="0" autoFill="0" autoLine="0" autoPict="0" altText="3 Fahrstreifen">
                <anchor moveWithCells="1">
                  <from>
                    <xdr:col>1</xdr:col>
                    <xdr:colOff>0</xdr:colOff>
                    <xdr:row>217</xdr:row>
                    <xdr:rowOff>0</xdr:rowOff>
                  </from>
                  <to>
                    <xdr:col>2</xdr:col>
                    <xdr:colOff>7315</xdr:colOff>
                    <xdr:row>218</xdr:row>
                    <xdr:rowOff>0</xdr:rowOff>
                  </to>
                </anchor>
              </controlPr>
            </control>
          </mc:Choice>
        </mc:AlternateContent>
        <mc:AlternateContent xmlns:mc="http://schemas.openxmlformats.org/markup-compatibility/2006">
          <mc:Choice Requires="x14">
            <control shapeId="10464" r:id="rId33" name="Check Box 224">
              <controlPr defaultSize="0" autoFill="0" autoLine="0" autoPict="0" altText="3 Fahrstreifen">
                <anchor moveWithCells="1">
                  <from>
                    <xdr:col>1</xdr:col>
                    <xdr:colOff>0</xdr:colOff>
                    <xdr:row>236</xdr:row>
                    <xdr:rowOff>0</xdr:rowOff>
                  </from>
                  <to>
                    <xdr:col>2</xdr:col>
                    <xdr:colOff>7315</xdr:colOff>
                    <xdr:row>237</xdr:row>
                    <xdr:rowOff>0</xdr:rowOff>
                  </to>
                </anchor>
              </controlPr>
            </control>
          </mc:Choice>
        </mc:AlternateContent>
        <mc:AlternateContent xmlns:mc="http://schemas.openxmlformats.org/markup-compatibility/2006">
          <mc:Choice Requires="x14">
            <control shapeId="10466" r:id="rId34" name="Check Box 226">
              <controlPr defaultSize="0" autoFill="0" autoLine="0" autoPict="0" altText="">
                <anchor moveWithCells="1">
                  <from>
                    <xdr:col>1</xdr:col>
                    <xdr:colOff>0</xdr:colOff>
                    <xdr:row>238</xdr:row>
                    <xdr:rowOff>314554</xdr:rowOff>
                  </from>
                  <to>
                    <xdr:col>2</xdr:col>
                    <xdr:colOff>7315</xdr:colOff>
                    <xdr:row>240</xdr:row>
                    <xdr:rowOff>0</xdr:rowOff>
                  </to>
                </anchor>
              </controlPr>
            </control>
          </mc:Choice>
        </mc:AlternateContent>
        <mc:AlternateContent xmlns:mc="http://schemas.openxmlformats.org/markup-compatibility/2006">
          <mc:Choice Requires="x14">
            <control shapeId="10467" r:id="rId35" name="Check Box 227">
              <controlPr defaultSize="0" autoFill="0" autoLine="0" autoPict="0" altText="">
                <anchor moveWithCells="1">
                  <from>
                    <xdr:col>1</xdr:col>
                    <xdr:colOff>0</xdr:colOff>
                    <xdr:row>244</xdr:row>
                    <xdr:rowOff>0</xdr:rowOff>
                  </from>
                  <to>
                    <xdr:col>2</xdr:col>
                    <xdr:colOff>7315</xdr:colOff>
                    <xdr:row>245</xdr:row>
                    <xdr:rowOff>0</xdr:rowOff>
                  </to>
                </anchor>
              </controlPr>
            </control>
          </mc:Choice>
        </mc:AlternateContent>
        <mc:AlternateContent xmlns:mc="http://schemas.openxmlformats.org/markup-compatibility/2006">
          <mc:Choice Requires="x14">
            <control shapeId="10469" r:id="rId36" name="Check Box 229">
              <controlPr defaultSize="0" autoFill="0" autoLine="0" autoPict="0" altText="">
                <anchor moveWithCells="1">
                  <from>
                    <xdr:col>1</xdr:col>
                    <xdr:colOff>0</xdr:colOff>
                    <xdr:row>249</xdr:row>
                    <xdr:rowOff>0</xdr:rowOff>
                  </from>
                  <to>
                    <xdr:col>2</xdr:col>
                    <xdr:colOff>7315</xdr:colOff>
                    <xdr:row>250</xdr:row>
                    <xdr:rowOff>0</xdr:rowOff>
                  </to>
                </anchor>
              </controlPr>
            </control>
          </mc:Choice>
        </mc:AlternateContent>
        <mc:AlternateContent xmlns:mc="http://schemas.openxmlformats.org/markup-compatibility/2006">
          <mc:Choice Requires="x14">
            <control shapeId="10470" r:id="rId37" name="Check Box 230">
              <controlPr defaultSize="0" autoFill="0" autoLine="0" autoPict="0" altText="">
                <anchor moveWithCells="1">
                  <from>
                    <xdr:col>1</xdr:col>
                    <xdr:colOff>0</xdr:colOff>
                    <xdr:row>284</xdr:row>
                    <xdr:rowOff>0</xdr:rowOff>
                  </from>
                  <to>
                    <xdr:col>2</xdr:col>
                    <xdr:colOff>7315</xdr:colOff>
                    <xdr:row>285</xdr:row>
                    <xdr:rowOff>0</xdr:rowOff>
                  </to>
                </anchor>
              </controlPr>
            </control>
          </mc:Choice>
        </mc:AlternateContent>
        <mc:AlternateContent xmlns:mc="http://schemas.openxmlformats.org/markup-compatibility/2006">
          <mc:Choice Requires="x14">
            <control shapeId="10471" r:id="rId38" name="Check Box 231">
              <controlPr defaultSize="0" autoFill="0" autoLine="0" autoPict="0" altText="">
                <anchor moveWithCells="1">
                  <from>
                    <xdr:col>1</xdr:col>
                    <xdr:colOff>0</xdr:colOff>
                    <xdr:row>287</xdr:row>
                    <xdr:rowOff>0</xdr:rowOff>
                  </from>
                  <to>
                    <xdr:col>2</xdr:col>
                    <xdr:colOff>7315</xdr:colOff>
                    <xdr:row>288</xdr:row>
                    <xdr:rowOff>0</xdr:rowOff>
                  </to>
                </anchor>
              </controlPr>
            </control>
          </mc:Choice>
        </mc:AlternateContent>
        <mc:AlternateContent xmlns:mc="http://schemas.openxmlformats.org/markup-compatibility/2006">
          <mc:Choice Requires="x14">
            <control shapeId="10473" r:id="rId39" name="Check Box 233">
              <controlPr defaultSize="0" autoFill="0" autoLine="0" autoPict="0" altText="">
                <anchor moveWithCells="1">
                  <from>
                    <xdr:col>1</xdr:col>
                    <xdr:colOff>0</xdr:colOff>
                    <xdr:row>293</xdr:row>
                    <xdr:rowOff>0</xdr:rowOff>
                  </from>
                  <to>
                    <xdr:col>2</xdr:col>
                    <xdr:colOff>7315</xdr:colOff>
                    <xdr:row>294</xdr:row>
                    <xdr:rowOff>0</xdr:rowOff>
                  </to>
                </anchor>
              </controlPr>
            </control>
          </mc:Choice>
        </mc:AlternateContent>
        <mc:AlternateContent xmlns:mc="http://schemas.openxmlformats.org/markup-compatibility/2006">
          <mc:Choice Requires="x14">
            <control shapeId="10475" r:id="rId40" name="Check Box 235">
              <controlPr defaultSize="0" autoFill="0" autoLine="0" autoPict="0" altText="">
                <anchor moveWithCells="1">
                  <from>
                    <xdr:col>1</xdr:col>
                    <xdr:colOff>0</xdr:colOff>
                    <xdr:row>296</xdr:row>
                    <xdr:rowOff>0</xdr:rowOff>
                  </from>
                  <to>
                    <xdr:col>2</xdr:col>
                    <xdr:colOff>7315</xdr:colOff>
                    <xdr:row>297</xdr:row>
                    <xdr:rowOff>0</xdr:rowOff>
                  </to>
                </anchor>
              </controlPr>
            </control>
          </mc:Choice>
        </mc:AlternateContent>
        <mc:AlternateContent xmlns:mc="http://schemas.openxmlformats.org/markup-compatibility/2006">
          <mc:Choice Requires="x14">
            <control shapeId="10476" r:id="rId41" name="Check Box 236">
              <controlPr defaultSize="0" autoFill="0" autoLine="0" autoPict="0" altText="3 Fahrstreifen">
                <anchor moveWithCells="1">
                  <from>
                    <xdr:col>1</xdr:col>
                    <xdr:colOff>0</xdr:colOff>
                    <xdr:row>299</xdr:row>
                    <xdr:rowOff>0</xdr:rowOff>
                  </from>
                  <to>
                    <xdr:col>2</xdr:col>
                    <xdr:colOff>7315</xdr:colOff>
                    <xdr:row>300</xdr:row>
                    <xdr:rowOff>0</xdr:rowOff>
                  </to>
                </anchor>
              </controlPr>
            </control>
          </mc:Choice>
        </mc:AlternateContent>
        <mc:AlternateContent xmlns:mc="http://schemas.openxmlformats.org/markup-compatibility/2006">
          <mc:Choice Requires="x14">
            <control shapeId="10477" r:id="rId42" name="Check Box 237">
              <controlPr defaultSize="0" autoFill="0" autoLine="0" autoPict="0" altText="">
                <anchor moveWithCells="1">
                  <from>
                    <xdr:col>1</xdr:col>
                    <xdr:colOff>0</xdr:colOff>
                    <xdr:row>304</xdr:row>
                    <xdr:rowOff>0</xdr:rowOff>
                  </from>
                  <to>
                    <xdr:col>2</xdr:col>
                    <xdr:colOff>7315</xdr:colOff>
                    <xdr:row>305</xdr:row>
                    <xdr:rowOff>0</xdr:rowOff>
                  </to>
                </anchor>
              </controlPr>
            </control>
          </mc:Choice>
        </mc:AlternateContent>
        <mc:AlternateContent xmlns:mc="http://schemas.openxmlformats.org/markup-compatibility/2006">
          <mc:Choice Requires="x14">
            <control shapeId="10478" r:id="rId43" name="Check Box 238">
              <controlPr defaultSize="0" autoFill="0" autoLine="0" autoPict="0" altText="3 Fahrstreifen">
                <anchor moveWithCells="1">
                  <from>
                    <xdr:col>1</xdr:col>
                    <xdr:colOff>0</xdr:colOff>
                    <xdr:row>307</xdr:row>
                    <xdr:rowOff>0</xdr:rowOff>
                  </from>
                  <to>
                    <xdr:col>2</xdr:col>
                    <xdr:colOff>7315</xdr:colOff>
                    <xdr:row>308</xdr:row>
                    <xdr:rowOff>0</xdr:rowOff>
                  </to>
                </anchor>
              </controlPr>
            </control>
          </mc:Choice>
        </mc:AlternateContent>
        <mc:AlternateContent xmlns:mc="http://schemas.openxmlformats.org/markup-compatibility/2006">
          <mc:Choice Requires="x14">
            <control shapeId="10479" r:id="rId44" name="Check Box 239">
              <controlPr defaultSize="0" autoFill="0" autoLine="0" autoPict="0" altText="">
                <anchor moveWithCells="1">
                  <from>
                    <xdr:col>1</xdr:col>
                    <xdr:colOff>0</xdr:colOff>
                    <xdr:row>310</xdr:row>
                    <xdr:rowOff>0</xdr:rowOff>
                  </from>
                  <to>
                    <xdr:col>2</xdr:col>
                    <xdr:colOff>7315</xdr:colOff>
                    <xdr:row>311</xdr:row>
                    <xdr:rowOff>0</xdr:rowOff>
                  </to>
                </anchor>
              </controlPr>
            </control>
          </mc:Choice>
        </mc:AlternateContent>
        <mc:AlternateContent xmlns:mc="http://schemas.openxmlformats.org/markup-compatibility/2006">
          <mc:Choice Requires="x14">
            <control shapeId="10480" r:id="rId45" name="Check Box 240">
              <controlPr defaultSize="0" autoFill="0" autoLine="0" autoPict="0" altText="">
                <anchor moveWithCells="1">
                  <from>
                    <xdr:col>1</xdr:col>
                    <xdr:colOff>0</xdr:colOff>
                    <xdr:row>313</xdr:row>
                    <xdr:rowOff>0</xdr:rowOff>
                  </from>
                  <to>
                    <xdr:col>2</xdr:col>
                    <xdr:colOff>7315</xdr:colOff>
                    <xdr:row>314</xdr:row>
                    <xdr:rowOff>0</xdr:rowOff>
                  </to>
                </anchor>
              </controlPr>
            </control>
          </mc:Choice>
        </mc:AlternateContent>
        <mc:AlternateContent xmlns:mc="http://schemas.openxmlformats.org/markup-compatibility/2006">
          <mc:Choice Requires="x14">
            <control shapeId="10481" r:id="rId46" name="Check Box 241">
              <controlPr defaultSize="0" autoFill="0" autoLine="0" autoPict="0" altText="">
                <anchor moveWithCells="1">
                  <from>
                    <xdr:col>1</xdr:col>
                    <xdr:colOff>0</xdr:colOff>
                    <xdr:row>321</xdr:row>
                    <xdr:rowOff>0</xdr:rowOff>
                  </from>
                  <to>
                    <xdr:col>2</xdr:col>
                    <xdr:colOff>7315</xdr:colOff>
                    <xdr:row>322</xdr:row>
                    <xdr:rowOff>0</xdr:rowOff>
                  </to>
                </anchor>
              </controlPr>
            </control>
          </mc:Choice>
        </mc:AlternateContent>
        <mc:AlternateContent xmlns:mc="http://schemas.openxmlformats.org/markup-compatibility/2006">
          <mc:Choice Requires="x14">
            <control shapeId="10483" r:id="rId47" name="Check Box 243">
              <controlPr defaultSize="0" autoFill="0" autoLine="0" autoPict="0" altText="">
                <anchor moveWithCells="1">
                  <from>
                    <xdr:col>1</xdr:col>
                    <xdr:colOff>0</xdr:colOff>
                    <xdr:row>325</xdr:row>
                    <xdr:rowOff>0</xdr:rowOff>
                  </from>
                  <to>
                    <xdr:col>2</xdr:col>
                    <xdr:colOff>7315</xdr:colOff>
                    <xdr:row>326</xdr:row>
                    <xdr:rowOff>0</xdr:rowOff>
                  </to>
                </anchor>
              </controlPr>
            </control>
          </mc:Choice>
        </mc:AlternateContent>
        <mc:AlternateContent xmlns:mc="http://schemas.openxmlformats.org/markup-compatibility/2006">
          <mc:Choice Requires="x14">
            <control shapeId="10485" r:id="rId48" name="Check Box 245">
              <controlPr defaultSize="0" autoFill="0" autoLine="0" autoPict="0" altText="">
                <anchor moveWithCells="1">
                  <from>
                    <xdr:col>1</xdr:col>
                    <xdr:colOff>0</xdr:colOff>
                    <xdr:row>329</xdr:row>
                    <xdr:rowOff>0</xdr:rowOff>
                  </from>
                  <to>
                    <xdr:col>2</xdr:col>
                    <xdr:colOff>7315</xdr:colOff>
                    <xdr:row>330</xdr:row>
                    <xdr:rowOff>0</xdr:rowOff>
                  </to>
                </anchor>
              </controlPr>
            </control>
          </mc:Choice>
        </mc:AlternateContent>
        <mc:AlternateContent xmlns:mc="http://schemas.openxmlformats.org/markup-compatibility/2006">
          <mc:Choice Requires="x14">
            <control shapeId="10486" r:id="rId49" name="Check Box 246">
              <controlPr defaultSize="0" autoFill="0" autoLine="0" autoPict="0" altText="">
                <anchor moveWithCells="1">
                  <from>
                    <xdr:col>1</xdr:col>
                    <xdr:colOff>0</xdr:colOff>
                    <xdr:row>332</xdr:row>
                    <xdr:rowOff>0</xdr:rowOff>
                  </from>
                  <to>
                    <xdr:col>2</xdr:col>
                    <xdr:colOff>7315</xdr:colOff>
                    <xdr:row>333</xdr:row>
                    <xdr:rowOff>0</xdr:rowOff>
                  </to>
                </anchor>
              </controlPr>
            </control>
          </mc:Choice>
        </mc:AlternateContent>
        <mc:AlternateContent xmlns:mc="http://schemas.openxmlformats.org/markup-compatibility/2006">
          <mc:Choice Requires="x14">
            <control shapeId="10488" r:id="rId50" name="Check Box 248">
              <controlPr defaultSize="0" autoFill="0" autoLine="0" autoPict="0" altText="">
                <anchor moveWithCells="1">
                  <from>
                    <xdr:col>1</xdr:col>
                    <xdr:colOff>0</xdr:colOff>
                    <xdr:row>336</xdr:row>
                    <xdr:rowOff>0</xdr:rowOff>
                  </from>
                  <to>
                    <xdr:col>2</xdr:col>
                    <xdr:colOff>7315</xdr:colOff>
                    <xdr:row>337</xdr:row>
                    <xdr:rowOff>0</xdr:rowOff>
                  </to>
                </anchor>
              </controlPr>
            </control>
          </mc:Choice>
        </mc:AlternateContent>
        <mc:AlternateContent xmlns:mc="http://schemas.openxmlformats.org/markup-compatibility/2006">
          <mc:Choice Requires="x14">
            <control shapeId="10490" r:id="rId51" name="Check Box 250">
              <controlPr defaultSize="0" autoFill="0" autoLine="0" autoPict="0" altText="">
                <anchor moveWithCells="1">
                  <from>
                    <xdr:col>1</xdr:col>
                    <xdr:colOff>0</xdr:colOff>
                    <xdr:row>339</xdr:row>
                    <xdr:rowOff>0</xdr:rowOff>
                  </from>
                  <to>
                    <xdr:col>2</xdr:col>
                    <xdr:colOff>7315</xdr:colOff>
                    <xdr:row>340</xdr:row>
                    <xdr:rowOff>0</xdr:rowOff>
                  </to>
                </anchor>
              </controlPr>
            </control>
          </mc:Choice>
        </mc:AlternateContent>
        <mc:AlternateContent xmlns:mc="http://schemas.openxmlformats.org/markup-compatibility/2006">
          <mc:Choice Requires="x14">
            <control shapeId="10491" r:id="rId52" name="Check Box 251">
              <controlPr defaultSize="0" autoFill="0" autoLine="0" autoPict="0" altText="">
                <anchor moveWithCells="1">
                  <from>
                    <xdr:col>1</xdr:col>
                    <xdr:colOff>0</xdr:colOff>
                    <xdr:row>343</xdr:row>
                    <xdr:rowOff>0</xdr:rowOff>
                  </from>
                  <to>
                    <xdr:col>2</xdr:col>
                    <xdr:colOff>7315</xdr:colOff>
                    <xdr:row>344</xdr:row>
                    <xdr:rowOff>7315</xdr:rowOff>
                  </to>
                </anchor>
              </controlPr>
            </control>
          </mc:Choice>
        </mc:AlternateContent>
        <mc:AlternateContent xmlns:mc="http://schemas.openxmlformats.org/markup-compatibility/2006">
          <mc:Choice Requires="x14">
            <control shapeId="10492" r:id="rId53" name="Check Box 252">
              <controlPr defaultSize="0" autoFill="0" autoLine="0" autoPict="0" altText="">
                <anchor moveWithCells="1">
                  <from>
                    <xdr:col>1</xdr:col>
                    <xdr:colOff>0</xdr:colOff>
                    <xdr:row>346</xdr:row>
                    <xdr:rowOff>0</xdr:rowOff>
                  </from>
                  <to>
                    <xdr:col>2</xdr:col>
                    <xdr:colOff>7315</xdr:colOff>
                    <xdr:row>347</xdr:row>
                    <xdr:rowOff>0</xdr:rowOff>
                  </to>
                </anchor>
              </controlPr>
            </control>
          </mc:Choice>
        </mc:AlternateContent>
        <mc:AlternateContent xmlns:mc="http://schemas.openxmlformats.org/markup-compatibility/2006">
          <mc:Choice Requires="x14">
            <control shapeId="10493" r:id="rId54" name="Check Box 253">
              <controlPr defaultSize="0" autoFill="0" autoLine="0" autoPict="0" altText="">
                <anchor moveWithCells="1">
                  <from>
                    <xdr:col>1</xdr:col>
                    <xdr:colOff>0</xdr:colOff>
                    <xdr:row>352</xdr:row>
                    <xdr:rowOff>0</xdr:rowOff>
                  </from>
                  <to>
                    <xdr:col>2</xdr:col>
                    <xdr:colOff>7315</xdr:colOff>
                    <xdr:row>353</xdr:row>
                    <xdr:rowOff>7315</xdr:rowOff>
                  </to>
                </anchor>
              </controlPr>
            </control>
          </mc:Choice>
        </mc:AlternateContent>
        <mc:AlternateContent xmlns:mc="http://schemas.openxmlformats.org/markup-compatibility/2006">
          <mc:Choice Requires="x14">
            <control shapeId="10494" r:id="rId55" name="Check Box 254">
              <controlPr defaultSize="0" autoFill="0" autoLine="0" autoPict="0" altText="">
                <anchor moveWithCells="1">
                  <from>
                    <xdr:col>1</xdr:col>
                    <xdr:colOff>0</xdr:colOff>
                    <xdr:row>356</xdr:row>
                    <xdr:rowOff>0</xdr:rowOff>
                  </from>
                  <to>
                    <xdr:col>2</xdr:col>
                    <xdr:colOff>7315</xdr:colOff>
                    <xdr:row>357</xdr:row>
                    <xdr:rowOff>0</xdr:rowOff>
                  </to>
                </anchor>
              </controlPr>
            </control>
          </mc:Choice>
        </mc:AlternateContent>
        <mc:AlternateContent xmlns:mc="http://schemas.openxmlformats.org/markup-compatibility/2006">
          <mc:Choice Requires="x14">
            <control shapeId="10496" r:id="rId56" name="Check Box 256">
              <controlPr defaultSize="0" autoFill="0" autoLine="0" autoPict="0" altText="">
                <anchor moveWithCells="1">
                  <from>
                    <xdr:col>1</xdr:col>
                    <xdr:colOff>0</xdr:colOff>
                    <xdr:row>359</xdr:row>
                    <xdr:rowOff>0</xdr:rowOff>
                  </from>
                  <to>
                    <xdr:col>2</xdr:col>
                    <xdr:colOff>7315</xdr:colOff>
                    <xdr:row>360</xdr:row>
                    <xdr:rowOff>0</xdr:rowOff>
                  </to>
                </anchor>
              </controlPr>
            </control>
          </mc:Choice>
        </mc:AlternateContent>
        <mc:AlternateContent xmlns:mc="http://schemas.openxmlformats.org/markup-compatibility/2006">
          <mc:Choice Requires="x14">
            <control shapeId="10497" r:id="rId57" name="Check Box 257">
              <controlPr defaultSize="0" autoFill="0" autoLine="0" autoPict="0" altText="">
                <anchor moveWithCells="1">
                  <from>
                    <xdr:col>1</xdr:col>
                    <xdr:colOff>0</xdr:colOff>
                    <xdr:row>362</xdr:row>
                    <xdr:rowOff>0</xdr:rowOff>
                  </from>
                  <to>
                    <xdr:col>2</xdr:col>
                    <xdr:colOff>7315</xdr:colOff>
                    <xdr:row>363</xdr:row>
                    <xdr:rowOff>0</xdr:rowOff>
                  </to>
                </anchor>
              </controlPr>
            </control>
          </mc:Choice>
        </mc:AlternateContent>
        <mc:AlternateContent xmlns:mc="http://schemas.openxmlformats.org/markup-compatibility/2006">
          <mc:Choice Requires="x14">
            <control shapeId="10498" r:id="rId58" name="Check Box 258">
              <controlPr defaultSize="0" autoFill="0" autoLine="0" autoPict="0" altText="">
                <anchor moveWithCells="1">
                  <from>
                    <xdr:col>1</xdr:col>
                    <xdr:colOff>0</xdr:colOff>
                    <xdr:row>365</xdr:row>
                    <xdr:rowOff>0</xdr:rowOff>
                  </from>
                  <to>
                    <xdr:col>2</xdr:col>
                    <xdr:colOff>7315</xdr:colOff>
                    <xdr:row>366</xdr:row>
                    <xdr:rowOff>7315</xdr:rowOff>
                  </to>
                </anchor>
              </controlPr>
            </control>
          </mc:Choice>
        </mc:AlternateContent>
        <mc:AlternateContent xmlns:mc="http://schemas.openxmlformats.org/markup-compatibility/2006">
          <mc:Choice Requires="x14">
            <control shapeId="10499" r:id="rId59" name="Check Box 259">
              <controlPr defaultSize="0" autoFill="0" autoLine="0" autoPict="0" altText="">
                <anchor moveWithCells="1">
                  <from>
                    <xdr:col>1</xdr:col>
                    <xdr:colOff>0</xdr:colOff>
                    <xdr:row>368</xdr:row>
                    <xdr:rowOff>0</xdr:rowOff>
                  </from>
                  <to>
                    <xdr:col>2</xdr:col>
                    <xdr:colOff>7315</xdr:colOff>
                    <xdr:row>369</xdr:row>
                    <xdr:rowOff>0</xdr:rowOff>
                  </to>
                </anchor>
              </controlPr>
            </control>
          </mc:Choice>
        </mc:AlternateContent>
        <mc:AlternateContent xmlns:mc="http://schemas.openxmlformats.org/markup-compatibility/2006">
          <mc:Choice Requires="x14">
            <control shapeId="10500" r:id="rId60" name="Check Box 260">
              <controlPr defaultSize="0" autoFill="0" autoLine="0" autoPict="0" altText="">
                <anchor moveWithCells="1">
                  <from>
                    <xdr:col>1</xdr:col>
                    <xdr:colOff>0</xdr:colOff>
                    <xdr:row>371</xdr:row>
                    <xdr:rowOff>0</xdr:rowOff>
                  </from>
                  <to>
                    <xdr:col>2</xdr:col>
                    <xdr:colOff>7315</xdr:colOff>
                    <xdr:row>372</xdr:row>
                    <xdr:rowOff>0</xdr:rowOff>
                  </to>
                </anchor>
              </controlPr>
            </control>
          </mc:Choice>
        </mc:AlternateContent>
        <mc:AlternateContent xmlns:mc="http://schemas.openxmlformats.org/markup-compatibility/2006">
          <mc:Choice Requires="x14">
            <control shapeId="10502" r:id="rId61" name="Check Box 262">
              <controlPr defaultSize="0" autoFill="0" autoLine="0" autoPict="0" altText="">
                <anchor moveWithCells="1">
                  <from>
                    <xdr:col>1</xdr:col>
                    <xdr:colOff>0</xdr:colOff>
                    <xdr:row>374</xdr:row>
                    <xdr:rowOff>0</xdr:rowOff>
                  </from>
                  <to>
                    <xdr:col>2</xdr:col>
                    <xdr:colOff>7315</xdr:colOff>
                    <xdr:row>375</xdr:row>
                    <xdr:rowOff>0</xdr:rowOff>
                  </to>
                </anchor>
              </controlPr>
            </control>
          </mc:Choice>
        </mc:AlternateContent>
        <mc:AlternateContent xmlns:mc="http://schemas.openxmlformats.org/markup-compatibility/2006">
          <mc:Choice Requires="x14">
            <control shapeId="10503" r:id="rId62" name="Check Box 263">
              <controlPr defaultSize="0" autoFill="0" autoLine="0" autoPict="0" altText="">
                <anchor moveWithCells="1">
                  <from>
                    <xdr:col>1</xdr:col>
                    <xdr:colOff>0</xdr:colOff>
                    <xdr:row>377</xdr:row>
                    <xdr:rowOff>0</xdr:rowOff>
                  </from>
                  <to>
                    <xdr:col>2</xdr:col>
                    <xdr:colOff>7315</xdr:colOff>
                    <xdr:row>378</xdr:row>
                    <xdr:rowOff>0</xdr:rowOff>
                  </to>
                </anchor>
              </controlPr>
            </control>
          </mc:Choice>
        </mc:AlternateContent>
        <mc:AlternateContent xmlns:mc="http://schemas.openxmlformats.org/markup-compatibility/2006">
          <mc:Choice Requires="x14">
            <control shapeId="10504" r:id="rId63" name="Check Box 264">
              <controlPr defaultSize="0" autoFill="0" autoLine="0" autoPict="0" altText="">
                <anchor moveWithCells="1">
                  <from>
                    <xdr:col>1</xdr:col>
                    <xdr:colOff>0</xdr:colOff>
                    <xdr:row>380</xdr:row>
                    <xdr:rowOff>0</xdr:rowOff>
                  </from>
                  <to>
                    <xdr:col>2</xdr:col>
                    <xdr:colOff>7315</xdr:colOff>
                    <xdr:row>381</xdr:row>
                    <xdr:rowOff>7315</xdr:rowOff>
                  </to>
                </anchor>
              </controlPr>
            </control>
          </mc:Choice>
        </mc:AlternateContent>
        <mc:AlternateContent xmlns:mc="http://schemas.openxmlformats.org/markup-compatibility/2006">
          <mc:Choice Requires="x14">
            <control shapeId="10505" r:id="rId64" name="Check Box 265">
              <controlPr defaultSize="0" autoFill="0" autoLine="0" autoPict="0" altText="">
                <anchor moveWithCells="1">
                  <from>
                    <xdr:col>1</xdr:col>
                    <xdr:colOff>0</xdr:colOff>
                    <xdr:row>386</xdr:row>
                    <xdr:rowOff>0</xdr:rowOff>
                  </from>
                  <to>
                    <xdr:col>2</xdr:col>
                    <xdr:colOff>7315</xdr:colOff>
                    <xdr:row>387</xdr:row>
                    <xdr:rowOff>7315</xdr:rowOff>
                  </to>
                </anchor>
              </controlPr>
            </control>
          </mc:Choice>
        </mc:AlternateContent>
        <mc:AlternateContent xmlns:mc="http://schemas.openxmlformats.org/markup-compatibility/2006">
          <mc:Choice Requires="x14">
            <control shapeId="10506" r:id="rId65" name="Check Box 266">
              <controlPr defaultSize="0" autoFill="0" autoLine="0" autoPict="0" altText="">
                <anchor moveWithCells="1">
                  <from>
                    <xdr:col>1</xdr:col>
                    <xdr:colOff>0</xdr:colOff>
                    <xdr:row>389</xdr:row>
                    <xdr:rowOff>0</xdr:rowOff>
                  </from>
                  <to>
                    <xdr:col>2</xdr:col>
                    <xdr:colOff>7315</xdr:colOff>
                    <xdr:row>390</xdr:row>
                    <xdr:rowOff>7315</xdr:rowOff>
                  </to>
                </anchor>
              </controlPr>
            </control>
          </mc:Choice>
        </mc:AlternateContent>
        <mc:AlternateContent xmlns:mc="http://schemas.openxmlformats.org/markup-compatibility/2006">
          <mc:Choice Requires="x14">
            <control shapeId="10507" r:id="rId66" name="Check Box 267">
              <controlPr defaultSize="0" autoFill="0" autoLine="0" autoPict="0" altText="">
                <anchor moveWithCells="1">
                  <from>
                    <xdr:col>1</xdr:col>
                    <xdr:colOff>0</xdr:colOff>
                    <xdr:row>392</xdr:row>
                    <xdr:rowOff>0</xdr:rowOff>
                  </from>
                  <to>
                    <xdr:col>2</xdr:col>
                    <xdr:colOff>7315</xdr:colOff>
                    <xdr:row>393</xdr:row>
                    <xdr:rowOff>0</xdr:rowOff>
                  </to>
                </anchor>
              </controlPr>
            </control>
          </mc:Choice>
        </mc:AlternateContent>
        <mc:AlternateContent xmlns:mc="http://schemas.openxmlformats.org/markup-compatibility/2006">
          <mc:Choice Requires="x14">
            <control shapeId="10509" r:id="rId67" name="Check Box 269">
              <controlPr defaultSize="0" autoFill="0" autoLine="0" autoPict="0" altText="">
                <anchor moveWithCells="1">
                  <from>
                    <xdr:col>1</xdr:col>
                    <xdr:colOff>0</xdr:colOff>
                    <xdr:row>163</xdr:row>
                    <xdr:rowOff>0</xdr:rowOff>
                  </from>
                  <to>
                    <xdr:col>2</xdr:col>
                    <xdr:colOff>7315</xdr:colOff>
                    <xdr:row>164</xdr:row>
                    <xdr:rowOff>0</xdr:rowOff>
                  </to>
                </anchor>
              </controlPr>
            </control>
          </mc:Choice>
        </mc:AlternateContent>
        <mc:AlternateContent xmlns:mc="http://schemas.openxmlformats.org/markup-compatibility/2006">
          <mc:Choice Requires="x14">
            <control shapeId="10521" r:id="rId68" name="Check Box 281">
              <controlPr defaultSize="0" autoFill="0" autoLine="0" autoPict="0" altText="">
                <anchor moveWithCells="1">
                  <from>
                    <xdr:col>1</xdr:col>
                    <xdr:colOff>0</xdr:colOff>
                    <xdr:row>211</xdr:row>
                    <xdr:rowOff>0</xdr:rowOff>
                  </from>
                  <to>
                    <xdr:col>2</xdr:col>
                    <xdr:colOff>7315</xdr:colOff>
                    <xdr:row>212</xdr:row>
                    <xdr:rowOff>0</xdr:rowOff>
                  </to>
                </anchor>
              </controlPr>
            </control>
          </mc:Choice>
        </mc:AlternateContent>
        <mc:AlternateContent xmlns:mc="http://schemas.openxmlformats.org/markup-compatibility/2006">
          <mc:Choice Requires="x14">
            <control shapeId="10588" r:id="rId69" name="Check Box 348">
              <controlPr defaultSize="0" autoFill="0" autoLine="0" autoPict="0" altText="">
                <anchor moveWithCells="1">
                  <from>
                    <xdr:col>1</xdr:col>
                    <xdr:colOff>0</xdr:colOff>
                    <xdr:row>192</xdr:row>
                    <xdr:rowOff>0</xdr:rowOff>
                  </from>
                  <to>
                    <xdr:col>2</xdr:col>
                    <xdr:colOff>7315</xdr:colOff>
                    <xdr:row>193</xdr:row>
                    <xdr:rowOff>0</xdr:rowOff>
                  </to>
                </anchor>
              </controlPr>
            </control>
          </mc:Choice>
        </mc:AlternateContent>
        <mc:AlternateContent xmlns:mc="http://schemas.openxmlformats.org/markup-compatibility/2006">
          <mc:Choice Requires="x14">
            <control shapeId="10589" r:id="rId70" name="Check Box 349">
              <controlPr defaultSize="0" autoFill="0" autoLine="0" autoPict="0" altText="">
                <anchor moveWithCells="1">
                  <from>
                    <xdr:col>1</xdr:col>
                    <xdr:colOff>0</xdr:colOff>
                    <xdr:row>117</xdr:row>
                    <xdr:rowOff>0</xdr:rowOff>
                  </from>
                  <to>
                    <xdr:col>2</xdr:col>
                    <xdr:colOff>7315</xdr:colOff>
                    <xdr:row>118</xdr:row>
                    <xdr:rowOff>0</xdr:rowOff>
                  </to>
                </anchor>
              </controlPr>
            </control>
          </mc:Choice>
        </mc:AlternateContent>
        <mc:AlternateContent xmlns:mc="http://schemas.openxmlformats.org/markup-compatibility/2006">
          <mc:Choice Requires="x14">
            <control shapeId="10596" r:id="rId71" name="Check Box 356">
              <controlPr defaultSize="0" autoFill="0" autoLine="0" autoPict="0" altText="">
                <anchor moveWithCells="1">
                  <from>
                    <xdr:col>1</xdr:col>
                    <xdr:colOff>0</xdr:colOff>
                    <xdr:row>166</xdr:row>
                    <xdr:rowOff>0</xdr:rowOff>
                  </from>
                  <to>
                    <xdr:col>2</xdr:col>
                    <xdr:colOff>7315</xdr:colOff>
                    <xdr:row>167</xdr:row>
                    <xdr:rowOff>0</xdr:rowOff>
                  </to>
                </anchor>
              </controlPr>
            </control>
          </mc:Choice>
        </mc:AlternateContent>
        <mc:AlternateContent xmlns:mc="http://schemas.openxmlformats.org/markup-compatibility/2006">
          <mc:Choice Requires="x14">
            <control shapeId="10607" r:id="rId72" name="Check Box 367">
              <controlPr defaultSize="0" autoFill="0" autoLine="0" autoPict="0" altText="">
                <anchor moveWithCells="1">
                  <from>
                    <xdr:col>1</xdr:col>
                    <xdr:colOff>0</xdr:colOff>
                    <xdr:row>161</xdr:row>
                    <xdr:rowOff>0</xdr:rowOff>
                  </from>
                  <to>
                    <xdr:col>2</xdr:col>
                    <xdr:colOff>7315</xdr:colOff>
                    <xdr:row>162</xdr:row>
                    <xdr:rowOff>0</xdr:rowOff>
                  </to>
                </anchor>
              </controlPr>
            </control>
          </mc:Choice>
        </mc:AlternateContent>
        <mc:AlternateContent xmlns:mc="http://schemas.openxmlformats.org/markup-compatibility/2006">
          <mc:Choice Requires="x14">
            <control shapeId="10609" r:id="rId73" name="Check Box 369">
              <controlPr defaultSize="0" autoFill="0" autoLine="0" autoPict="0" altText="">
                <anchor moveWithCells="1">
                  <from>
                    <xdr:col>1</xdr:col>
                    <xdr:colOff>0</xdr:colOff>
                    <xdr:row>13</xdr:row>
                    <xdr:rowOff>0</xdr:rowOff>
                  </from>
                  <to>
                    <xdr:col>2</xdr:col>
                    <xdr:colOff>7315</xdr:colOff>
                    <xdr:row>14</xdr:row>
                    <xdr:rowOff>0</xdr:rowOff>
                  </to>
                </anchor>
              </controlPr>
            </control>
          </mc:Choice>
        </mc:AlternateContent>
        <mc:AlternateContent xmlns:mc="http://schemas.openxmlformats.org/markup-compatibility/2006">
          <mc:Choice Requires="x14">
            <control shapeId="10610" r:id="rId74" name="Check Box 370">
              <controlPr defaultSize="0" autoFill="0" autoLine="0" autoPict="0" altText="">
                <anchor moveWithCells="1">
                  <from>
                    <xdr:col>1</xdr:col>
                    <xdr:colOff>0</xdr:colOff>
                    <xdr:row>12</xdr:row>
                    <xdr:rowOff>0</xdr:rowOff>
                  </from>
                  <to>
                    <xdr:col>2</xdr:col>
                    <xdr:colOff>7315</xdr:colOff>
                    <xdr:row>13</xdr:row>
                    <xdr:rowOff>7315</xdr:rowOff>
                  </to>
                </anchor>
              </controlPr>
            </control>
          </mc:Choice>
        </mc:AlternateContent>
        <mc:AlternateContent xmlns:mc="http://schemas.openxmlformats.org/markup-compatibility/2006">
          <mc:Choice Requires="x14">
            <control shapeId="10611" r:id="rId75" name="Check Box 371">
              <controlPr defaultSize="0" autoFill="0" autoLine="0" autoPict="0" altText="">
                <anchor moveWithCells="1">
                  <from>
                    <xdr:col>1</xdr:col>
                    <xdr:colOff>0</xdr:colOff>
                    <xdr:row>16</xdr:row>
                    <xdr:rowOff>0</xdr:rowOff>
                  </from>
                  <to>
                    <xdr:col>2</xdr:col>
                    <xdr:colOff>7315</xdr:colOff>
                    <xdr:row>17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theme="9" tint="0.59999389629810485"/>
    <pageSetUpPr fitToPage="1"/>
  </sheetPr>
  <dimension ref="A1:Q403"/>
  <sheetViews>
    <sheetView showGridLines="0" zoomScaleNormal="100" zoomScaleSheetLayoutView="100" workbookViewId="0">
      <pane ySplit="12" topLeftCell="A13" activePane="bottomLeft" state="frozen"/>
      <selection pane="bottomLeft" activeCell="F5" sqref="F5"/>
    </sheetView>
  </sheetViews>
  <sheetFormatPr baseColWidth="10" defaultColWidth="0" defaultRowHeight="0" customHeight="1" zeroHeight="1"/>
  <cols>
    <col min="1" max="1" width="5.6640625" style="1046" customWidth="1"/>
    <col min="2" max="2" width="3.33203125" style="171" customWidth="1"/>
    <col min="3" max="5" width="3.33203125" style="172" customWidth="1"/>
    <col min="6" max="6" width="51.6640625" style="172" customWidth="1"/>
    <col min="7" max="8" width="7.33203125" style="172" customWidth="1"/>
    <col min="9" max="9" width="12.33203125" style="172" customWidth="1"/>
    <col min="10" max="10" width="12.6640625" style="172" customWidth="1"/>
    <col min="11" max="11" width="2.6640625" style="172" customWidth="1"/>
    <col min="12" max="12" width="16.6640625" style="145" hidden="1" customWidth="1"/>
    <col min="13" max="16384" width="11.44140625" style="172" hidden="1"/>
  </cols>
  <sheetData>
    <row r="1" spans="1:15" ht="16.600000000000001" customHeight="1"/>
    <row r="2" spans="1:15" s="7" customFormat="1" ht="18.75" customHeight="1">
      <c r="A2" s="218"/>
      <c r="B2" s="411" t="str">
        <f>IF(Projektgrundlagen!B2="","",Projektgrundlagen!B2)</f>
        <v>Objektplanung Verkehrsanlagen</v>
      </c>
      <c r="C2" s="411"/>
      <c r="D2" s="411"/>
      <c r="E2" s="411"/>
      <c r="F2" s="412"/>
      <c r="G2" s="258" t="str">
        <f>IF(Projektgrundlagen!F2="","",Projektgrundlagen!F2)</f>
        <v>VII.15.4</v>
      </c>
      <c r="H2" s="257"/>
      <c r="I2" s="1398" t="s">
        <v>689</v>
      </c>
      <c r="J2" s="1399"/>
      <c r="K2" s="1472" t="s">
        <v>694</v>
      </c>
      <c r="L2" s="126" t="s">
        <v>159</v>
      </c>
      <c r="M2" s="222" t="s">
        <v>693</v>
      </c>
      <c r="O2" s="221" t="s">
        <v>502</v>
      </c>
    </row>
    <row r="3" spans="1:15" s="7" customFormat="1" ht="18.75" customHeight="1">
      <c r="A3" s="218"/>
      <c r="B3" s="157" t="s">
        <v>691</v>
      </c>
      <c r="C3" s="411"/>
      <c r="D3" s="411"/>
      <c r="E3" s="413"/>
      <c r="F3" s="414"/>
      <c r="G3" s="231" t="str">
        <f>IF(Projektgrundlagen!F3="","",Projektgrundlagen!F3)</f>
        <v>Vertragsnr.:</v>
      </c>
      <c r="H3" s="232"/>
      <c r="I3" s="1424" t="str">
        <f>IF(Projektgrundlagen!G3="","",Projektgrundlagen!G3)</f>
        <v/>
      </c>
      <c r="J3" s="1425"/>
      <c r="K3" s="1472"/>
      <c r="L3" s="140"/>
      <c r="M3" s="7" t="b">
        <f>Projektgrundlagen!$I$22</f>
        <v>0</v>
      </c>
      <c r="O3" s="140" t="str">
        <f ca="1">MID(CELL("dateiname",B2),FIND("]",CELL("dateiname",B2))+1,255)</f>
        <v>HB-C1 Grundlstg Land</v>
      </c>
    </row>
    <row r="4" spans="1:15" s="7" customFormat="1" ht="7.5" customHeight="1">
      <c r="A4" s="218"/>
      <c r="B4" s="216"/>
      <c r="C4" s="411"/>
      <c r="D4" s="411"/>
      <c r="E4" s="216"/>
      <c r="F4" s="216"/>
      <c r="G4" s="101"/>
      <c r="H4" s="101"/>
      <c r="I4" s="418"/>
      <c r="J4" s="418"/>
      <c r="K4" s="1472"/>
      <c r="L4" s="140"/>
    </row>
    <row r="5" spans="1:15" s="7" customFormat="1" ht="15" customHeight="1">
      <c r="A5" s="218"/>
      <c r="B5" s="405" t="str">
        <f>IF(Projektgrundlagen!B5="","",Projektgrundlagen!B5)</f>
        <v>Maßnahmennr:</v>
      </c>
      <c r="C5" s="419"/>
      <c r="D5" s="419"/>
      <c r="E5" s="406"/>
      <c r="F5" s="336" t="str">
        <f>IF(Projektgrundlagen!E5="","",Projektgrundlagen!E5)</f>
        <v>B11S.ALSR0138.00</v>
      </c>
      <c r="G5" s="424" t="str">
        <f>IF(Projektgrundlagen!F5="","",Projektgrundlagen!F5)</f>
        <v>Vergabenr.:</v>
      </c>
      <c r="H5" s="424"/>
      <c r="I5" s="1391" t="str">
        <f>IF(Projektgrundlagen!G5="","",Projektgrundlagen!G5)</f>
        <v>25-131201</v>
      </c>
      <c r="J5" s="1423"/>
      <c r="K5" s="1472"/>
      <c r="L5" s="140"/>
    </row>
    <row r="6" spans="1:15" s="7" customFormat="1" ht="15" customHeight="1">
      <c r="A6" s="218"/>
      <c r="B6" s="407" t="str">
        <f>IF(Projektgrundlagen!B6="","",Projektgrundlagen!B6)</f>
        <v>Maßnahme:</v>
      </c>
      <c r="C6" s="420"/>
      <c r="D6" s="420"/>
      <c r="E6" s="408"/>
      <c r="F6" s="1418" t="str">
        <f>IF(Projektgrundlagen!E6="","",Projektgrundlagen!E6)</f>
        <v>St2054 Geh- und Radweg westl. Babenried - Jesenwang</v>
      </c>
      <c r="G6" s="1418"/>
      <c r="H6" s="1418"/>
      <c r="I6" s="1418"/>
      <c r="J6" s="1419"/>
      <c r="K6" s="1472"/>
      <c r="L6" s="140"/>
    </row>
    <row r="7" spans="1:15" s="7" customFormat="1" ht="15" customHeight="1">
      <c r="A7" s="218"/>
      <c r="B7" s="407" t="str">
        <f>IF(Projektgrundlagen!B7="","",Projektgrundlagen!B7)</f>
        <v/>
      </c>
      <c r="C7" s="420"/>
      <c r="D7" s="420"/>
      <c r="E7" s="408"/>
      <c r="F7" s="1418" t="str">
        <f>IF(Projektgrundlagen!E7="","",Projektgrundlagen!E7)</f>
        <v/>
      </c>
      <c r="G7" s="1418"/>
      <c r="H7" s="1418"/>
      <c r="I7" s="1418"/>
      <c r="J7" s="1419"/>
      <c r="K7" s="1472"/>
      <c r="L7" s="140"/>
    </row>
    <row r="8" spans="1:15" s="7" customFormat="1" ht="15" customHeight="1">
      <c r="A8" s="218"/>
      <c r="B8" s="409" t="str">
        <f>IF(Projektgrundlagen!B8="","",Projektgrundlagen!B8)</f>
        <v>Bieter:</v>
      </c>
      <c r="C8" s="421"/>
      <c r="D8" s="421"/>
      <c r="E8" s="410"/>
      <c r="F8" s="1420" t="str">
        <f>IF(Projektgrundlagen!E8="","",Projektgrundlagen!E8)</f>
        <v/>
      </c>
      <c r="G8" s="1420"/>
      <c r="H8" s="1420"/>
      <c r="I8" s="1420"/>
      <c r="J8" s="1421"/>
      <c r="K8" s="1472"/>
      <c r="L8" s="140"/>
    </row>
    <row r="9" spans="1:15" s="339" customFormat="1" ht="16.7">
      <c r="A9" s="337"/>
      <c r="B9" s="338"/>
      <c r="C9" s="360"/>
      <c r="D9" s="360"/>
      <c r="L9" s="340"/>
    </row>
    <row r="10" spans="1:15" s="166" customFormat="1" ht="27.1" customHeight="1">
      <c r="A10" s="1046"/>
      <c r="B10" s="1473" t="s">
        <v>1152</v>
      </c>
      <c r="C10" s="1473"/>
      <c r="D10" s="1473"/>
      <c r="E10" s="1473"/>
      <c r="F10" s="1473"/>
      <c r="G10" s="1473"/>
      <c r="H10" s="1474"/>
      <c r="I10" s="565" t="s">
        <v>593</v>
      </c>
      <c r="J10" s="566" t="s">
        <v>594</v>
      </c>
      <c r="L10" s="146"/>
    </row>
    <row r="11" spans="1:15" s="166" customFormat="1" ht="27.1" customHeight="1">
      <c r="A11" s="1046"/>
      <c r="B11" s="1168" t="s">
        <v>1150</v>
      </c>
      <c r="C11" s="567"/>
      <c r="D11" s="567"/>
      <c r="E11" s="1016"/>
      <c r="F11" s="1016"/>
      <c r="G11" s="564"/>
      <c r="H11" s="568" t="str">
        <f>IF($M$3,"","Grundleistungen Hochbau Land sind nicht Teil dieser Honorarermittlung!")</f>
        <v>Grundleistungen Hochbau Land sind nicht Teil dieser Honorarermittlung!</v>
      </c>
      <c r="I11" s="569" t="s">
        <v>727</v>
      </c>
      <c r="J11" s="569" t="s">
        <v>727</v>
      </c>
      <c r="L11" s="146"/>
    </row>
    <row r="12" spans="1:15" s="166" customFormat="1" ht="7.5" customHeight="1">
      <c r="A12" s="1046"/>
      <c r="B12" s="1026"/>
      <c r="C12" s="1027"/>
      <c r="D12" s="1027"/>
      <c r="E12" s="1026"/>
      <c r="F12" s="1026"/>
      <c r="G12" s="1028"/>
      <c r="H12" s="1029"/>
      <c r="I12" s="1030"/>
      <c r="J12" s="1030"/>
      <c r="L12" s="146"/>
    </row>
    <row r="13" spans="1:15" s="166" customFormat="1" ht="16.7">
      <c r="A13" s="228" t="str">
        <f>IF(COUNTIF($L$13:$L$14,TRUE)&gt;1,"è","")</f>
        <v/>
      </c>
      <c r="B13" s="342"/>
      <c r="C13" s="363"/>
      <c r="D13" s="363"/>
      <c r="E13" s="1427" t="s">
        <v>599</v>
      </c>
      <c r="F13" s="1427"/>
      <c r="G13" s="1427"/>
      <c r="H13" s="1427"/>
      <c r="I13" s="1427"/>
      <c r="J13" s="1428"/>
      <c r="L13" s="146" t="b">
        <v>0</v>
      </c>
      <c r="M13" s="201" t="b">
        <f>IF(COUNTIF(L13:L14,TRUE)=1,TRUE,FALSE)</f>
        <v>0</v>
      </c>
      <c r="N13" s="213" t="s">
        <v>601</v>
      </c>
    </row>
    <row r="14" spans="1:15" s="166" customFormat="1" ht="17.3" customHeight="1">
      <c r="A14" s="228" t="str">
        <f>IF(COUNTIF($L$13:$L$14,TRUE)&gt;1,"è","")</f>
        <v/>
      </c>
      <c r="B14" s="342"/>
      <c r="C14" s="363"/>
      <c r="D14" s="363"/>
      <c r="E14" s="1427" t="s">
        <v>600</v>
      </c>
      <c r="F14" s="1427"/>
      <c r="G14" s="1427"/>
      <c r="H14" s="1427"/>
      <c r="I14" s="1427"/>
      <c r="J14" s="1428"/>
      <c r="L14" s="146" t="b">
        <v>0</v>
      </c>
    </row>
    <row r="15" spans="1:15" s="166" customFormat="1" ht="7.5" customHeight="1">
      <c r="A15" s="1046"/>
      <c r="B15" s="217"/>
      <c r="C15" s="362"/>
      <c r="D15" s="362"/>
      <c r="E15" s="217"/>
      <c r="F15" s="217"/>
      <c r="G15" s="76"/>
      <c r="H15" s="327"/>
      <c r="I15" s="341"/>
      <c r="J15" s="341"/>
      <c r="L15" s="146"/>
    </row>
    <row r="16" spans="1:15" s="167" customFormat="1" ht="29.95" customHeight="1">
      <c r="A16" s="1048"/>
      <c r="B16" s="1469" t="s">
        <v>732</v>
      </c>
      <c r="C16" s="1470"/>
      <c r="D16" s="1470"/>
      <c r="E16" s="1470"/>
      <c r="F16" s="1470"/>
      <c r="G16" s="1470"/>
      <c r="H16" s="1470"/>
      <c r="I16" s="1470"/>
      <c r="J16" s="1471"/>
      <c r="L16" s="147"/>
    </row>
    <row r="17" spans="1:12" s="166" customFormat="1" ht="17.3" customHeight="1">
      <c r="A17" s="1046"/>
      <c r="B17" s="344"/>
      <c r="C17" s="1148" t="s">
        <v>1125</v>
      </c>
      <c r="D17" s="417"/>
      <c r="E17" s="1408" t="s">
        <v>604</v>
      </c>
      <c r="F17" s="1408"/>
      <c r="G17" s="1408"/>
      <c r="H17" s="1171"/>
      <c r="I17" s="1172">
        <v>1</v>
      </c>
      <c r="J17" s="1173">
        <f>IF(L17,I17,0)</f>
        <v>0</v>
      </c>
      <c r="L17" s="146" t="b">
        <v>0</v>
      </c>
    </row>
    <row r="18" spans="1:12" s="166" customFormat="1" ht="15" customHeight="1">
      <c r="A18" s="1046"/>
      <c r="B18" s="343"/>
      <c r="C18" s="378"/>
      <c r="D18" s="373"/>
      <c r="E18" s="1441" t="s">
        <v>605</v>
      </c>
      <c r="F18" s="1441"/>
      <c r="G18" s="1441"/>
      <c r="H18" s="346"/>
      <c r="I18" s="390"/>
      <c r="J18" s="386"/>
      <c r="L18" s="146"/>
    </row>
    <row r="19" spans="1:12" s="166" customFormat="1" ht="17.3" customHeight="1">
      <c r="A19" s="1046"/>
      <c r="B19" s="344"/>
      <c r="C19" s="1149" t="s">
        <v>1126</v>
      </c>
      <c r="D19" s="422"/>
      <c r="E19" s="1443" t="s">
        <v>606</v>
      </c>
      <c r="F19" s="1443"/>
      <c r="G19" s="1443"/>
      <c r="H19" s="1175"/>
      <c r="I19" s="1176">
        <v>0.65</v>
      </c>
      <c r="J19" s="388">
        <f t="shared" ref="J19" si="0">IF(L19,I19,0)</f>
        <v>0</v>
      </c>
      <c r="L19" s="146" t="b">
        <v>0</v>
      </c>
    </row>
    <row r="20" spans="1:12" s="166" customFormat="1" ht="15" customHeight="1">
      <c r="A20" s="1046"/>
      <c r="B20" s="343"/>
      <c r="C20" s="378"/>
      <c r="D20" s="373"/>
      <c r="E20" s="1441" t="s">
        <v>983</v>
      </c>
      <c r="F20" s="1441"/>
      <c r="G20" s="1441"/>
      <c r="H20" s="346"/>
      <c r="I20" s="390"/>
      <c r="J20" s="386"/>
      <c r="L20" s="146"/>
    </row>
    <row r="21" spans="1:12" s="166" customFormat="1" ht="17.3" customHeight="1">
      <c r="A21" s="1046"/>
      <c r="B21" s="344"/>
      <c r="C21" s="1149" t="s">
        <v>1127</v>
      </c>
      <c r="D21" s="422"/>
      <c r="E21" s="1430" t="s">
        <v>608</v>
      </c>
      <c r="F21" s="1430"/>
      <c r="G21" s="1430"/>
      <c r="H21" s="1177"/>
      <c r="I21" s="392">
        <v>0.1</v>
      </c>
      <c r="J21" s="388">
        <f>IF(L21,I21,0)</f>
        <v>0</v>
      </c>
      <c r="L21" s="146" t="b">
        <v>0</v>
      </c>
    </row>
    <row r="22" spans="1:12" s="166" customFormat="1" ht="15" customHeight="1">
      <c r="A22" s="1046"/>
      <c r="B22" s="343"/>
      <c r="C22" s="378"/>
      <c r="D22" s="373"/>
      <c r="E22" s="1429" t="s">
        <v>1142</v>
      </c>
      <c r="F22" s="1429"/>
      <c r="G22" s="1429"/>
      <c r="H22" s="346"/>
      <c r="I22" s="390"/>
      <c r="J22" s="386"/>
      <c r="L22" s="146"/>
    </row>
    <row r="23" spans="1:12" s="166" customFormat="1" ht="17.3" customHeight="1">
      <c r="A23" s="1046"/>
      <c r="B23" s="344"/>
      <c r="C23" s="1149" t="s">
        <v>1128</v>
      </c>
      <c r="D23" s="422"/>
      <c r="E23" s="1446" t="s">
        <v>306</v>
      </c>
      <c r="F23" s="1446"/>
      <c r="G23" s="1446"/>
      <c r="H23" s="1179"/>
      <c r="I23" s="1180">
        <v>0.05</v>
      </c>
      <c r="J23" s="388">
        <f>IF(L23,I23,0)</f>
        <v>0</v>
      </c>
      <c r="L23" s="146" t="b">
        <v>0</v>
      </c>
    </row>
    <row r="24" spans="1:12" s="166" customFormat="1" ht="15" customHeight="1">
      <c r="A24" s="1046"/>
      <c r="B24" s="343"/>
      <c r="C24" s="378"/>
      <c r="D24" s="373"/>
      <c r="E24" s="1441"/>
      <c r="F24" s="1441"/>
      <c r="G24" s="1441"/>
      <c r="H24" s="346"/>
      <c r="I24" s="390"/>
      <c r="J24" s="386"/>
      <c r="L24" s="146"/>
    </row>
    <row r="25" spans="1:12" s="166" customFormat="1" ht="17.3" customHeight="1">
      <c r="A25" s="1046"/>
      <c r="B25" s="344"/>
      <c r="C25" s="1149" t="s">
        <v>1129</v>
      </c>
      <c r="D25" s="422"/>
      <c r="E25" s="1414" t="s">
        <v>305</v>
      </c>
      <c r="F25" s="1414"/>
      <c r="G25" s="1414"/>
      <c r="H25" s="1181"/>
      <c r="I25" s="1180">
        <v>0.2</v>
      </c>
      <c r="J25" s="388">
        <f>IF(L25,I25,0)</f>
        <v>0</v>
      </c>
      <c r="L25" s="146" t="b">
        <v>0</v>
      </c>
    </row>
    <row r="26" spans="1:12" s="166" customFormat="1" ht="17.3" customHeight="1" thickBot="1">
      <c r="A26" s="1046"/>
      <c r="B26" s="343"/>
      <c r="C26" s="378"/>
      <c r="D26" s="373"/>
      <c r="E26" s="1465"/>
      <c r="F26" s="1465"/>
      <c r="G26" s="1465"/>
      <c r="H26" s="346"/>
      <c r="I26" s="390"/>
      <c r="J26" s="386"/>
      <c r="L26" s="146"/>
    </row>
    <row r="27" spans="1:12" s="166" customFormat="1" ht="22.5" customHeight="1" thickBot="1">
      <c r="A27" s="1046"/>
      <c r="B27" s="353"/>
      <c r="C27" s="364"/>
      <c r="D27" s="364"/>
      <c r="E27" s="354"/>
      <c r="F27" s="355"/>
      <c r="G27" s="355"/>
      <c r="H27" s="356" t="s">
        <v>742</v>
      </c>
      <c r="I27" s="396">
        <f>IF($M$3,SUM(I17:I25),0)</f>
        <v>0</v>
      </c>
      <c r="J27" s="358">
        <f>IF($M$3,SUMIF(L17:L25,TRUE,J17:J25),0)</f>
        <v>0</v>
      </c>
      <c r="L27" s="146"/>
    </row>
    <row r="28" spans="1:12" s="166" customFormat="1" ht="16.7">
      <c r="A28" s="1046"/>
      <c r="B28" s="368"/>
      <c r="C28" s="365"/>
      <c r="D28" s="365"/>
      <c r="E28" s="366"/>
      <c r="F28" s="79"/>
      <c r="G28" s="79"/>
      <c r="H28" s="352"/>
      <c r="I28" s="369"/>
      <c r="J28" s="367"/>
      <c r="L28" s="146"/>
    </row>
    <row r="29" spans="1:12" s="167" customFormat="1" ht="29.95" customHeight="1">
      <c r="A29" s="1048"/>
      <c r="B29" s="1469" t="s">
        <v>733</v>
      </c>
      <c r="C29" s="1470"/>
      <c r="D29" s="1470"/>
      <c r="E29" s="1470"/>
      <c r="F29" s="1470"/>
      <c r="G29" s="1470"/>
      <c r="H29" s="1470"/>
      <c r="I29" s="1470"/>
      <c r="J29" s="1471"/>
      <c r="L29" s="147"/>
    </row>
    <row r="30" spans="1:12" s="166" customFormat="1" ht="17.3" customHeight="1">
      <c r="A30" s="1046"/>
      <c r="B30" s="344"/>
      <c r="C30" s="1148" t="s">
        <v>1125</v>
      </c>
      <c r="D30" s="417"/>
      <c r="E30" s="1449" t="s">
        <v>349</v>
      </c>
      <c r="F30" s="1449"/>
      <c r="G30" s="1449"/>
      <c r="H30" s="1171"/>
      <c r="I30" s="1182">
        <v>0.1</v>
      </c>
      <c r="J30" s="1173">
        <f t="shared" ref="J30" si="1">IF(L30,I30,0)</f>
        <v>0</v>
      </c>
      <c r="L30" s="146" t="b">
        <v>0</v>
      </c>
    </row>
    <row r="31" spans="1:12" s="166" customFormat="1" ht="15" customHeight="1">
      <c r="A31" s="1046"/>
      <c r="B31" s="343"/>
      <c r="C31" s="378"/>
      <c r="D31" s="373"/>
      <c r="E31" s="1441"/>
      <c r="F31" s="1441"/>
      <c r="G31" s="1441"/>
      <c r="H31" s="346"/>
      <c r="I31" s="390"/>
      <c r="J31" s="386"/>
      <c r="L31" s="146"/>
    </row>
    <row r="32" spans="1:12" s="166" customFormat="1" ht="17.3" customHeight="1">
      <c r="A32" s="1046"/>
      <c r="B32" s="344"/>
      <c r="C32" s="1149" t="s">
        <v>1126</v>
      </c>
      <c r="D32" s="422"/>
      <c r="E32" s="1430" t="s">
        <v>728</v>
      </c>
      <c r="F32" s="1430"/>
      <c r="G32" s="1430"/>
      <c r="H32" s="1177"/>
      <c r="I32" s="1183">
        <v>0.5</v>
      </c>
      <c r="J32" s="388">
        <f>IF(L32,I32,0)</f>
        <v>0</v>
      </c>
      <c r="L32" s="146" t="b">
        <v>0</v>
      </c>
    </row>
    <row r="33" spans="1:12" s="166" customFormat="1" ht="15" customHeight="1">
      <c r="A33" s="1046"/>
      <c r="B33" s="343"/>
      <c r="C33" s="378"/>
      <c r="D33" s="373"/>
      <c r="E33" s="1441"/>
      <c r="F33" s="1441"/>
      <c r="G33" s="1441"/>
      <c r="H33" s="346"/>
      <c r="I33" s="390"/>
      <c r="J33" s="386"/>
      <c r="L33" s="146"/>
    </row>
    <row r="34" spans="1:12" s="166" customFormat="1" ht="17.3" customHeight="1">
      <c r="A34" s="1046"/>
      <c r="B34" s="344"/>
      <c r="C34" s="1149" t="s">
        <v>1127</v>
      </c>
      <c r="D34" s="422"/>
      <c r="E34" s="1450" t="s">
        <v>610</v>
      </c>
      <c r="F34" s="1450"/>
      <c r="G34" s="1450"/>
      <c r="H34" s="1179"/>
      <c r="I34" s="1180">
        <v>0.3</v>
      </c>
      <c r="J34" s="388">
        <f>IF(L34,I34,0)</f>
        <v>0</v>
      </c>
      <c r="L34" s="146" t="b">
        <v>0</v>
      </c>
    </row>
    <row r="35" spans="1:12" s="166" customFormat="1" ht="15" customHeight="1">
      <c r="A35" s="1046"/>
      <c r="B35" s="343"/>
      <c r="C35" s="378"/>
      <c r="D35" s="373"/>
      <c r="E35" s="1441" t="s">
        <v>611</v>
      </c>
      <c r="F35" s="1441"/>
      <c r="G35" s="1441"/>
      <c r="H35" s="346"/>
      <c r="I35" s="390"/>
      <c r="J35" s="386"/>
      <c r="L35" s="146"/>
    </row>
    <row r="36" spans="1:12" s="166" customFormat="1" ht="17.3" customHeight="1">
      <c r="A36" s="1046"/>
      <c r="B36" s="344"/>
      <c r="C36" s="1149" t="s">
        <v>1128</v>
      </c>
      <c r="D36" s="422"/>
      <c r="E36" s="1443" t="s">
        <v>999</v>
      </c>
      <c r="F36" s="1443"/>
      <c r="G36" s="1443"/>
      <c r="H36" s="1181"/>
      <c r="I36" s="1180">
        <v>2</v>
      </c>
      <c r="J36" s="388">
        <f>IF(L36,I36,0)</f>
        <v>0</v>
      </c>
      <c r="L36" s="146" t="b">
        <v>0</v>
      </c>
    </row>
    <row r="37" spans="1:12" s="166" customFormat="1" ht="29.95" customHeight="1">
      <c r="A37" s="1046"/>
      <c r="B37" s="343"/>
      <c r="C37" s="378"/>
      <c r="D37" s="373"/>
      <c r="E37" s="1444" t="s">
        <v>1000</v>
      </c>
      <c r="F37" s="1444"/>
      <c r="G37" s="1444"/>
      <c r="H37" s="346"/>
      <c r="I37" s="390"/>
      <c r="J37" s="386"/>
      <c r="L37" s="146"/>
    </row>
    <row r="38" spans="1:12" s="166" customFormat="1" ht="17.3" customHeight="1">
      <c r="A38" s="1046"/>
      <c r="B38" s="344"/>
      <c r="C38" s="1149" t="s">
        <v>1129</v>
      </c>
      <c r="D38" s="422"/>
      <c r="E38" s="1443" t="s">
        <v>614</v>
      </c>
      <c r="F38" s="1443"/>
      <c r="G38" s="1443"/>
      <c r="H38" s="1181"/>
      <c r="I38" s="1180">
        <v>11</v>
      </c>
      <c r="J38" s="388">
        <f t="shared" ref="J38" si="2">IF(L38,I38,0)</f>
        <v>0</v>
      </c>
      <c r="L38" s="146" t="b">
        <v>0</v>
      </c>
    </row>
    <row r="39" spans="1:12" s="166" customFormat="1" ht="45.1" customHeight="1">
      <c r="A39" s="1046"/>
      <c r="B39" s="343"/>
      <c r="C39" s="378"/>
      <c r="D39" s="373"/>
      <c r="E39" s="1409" t="s">
        <v>615</v>
      </c>
      <c r="F39" s="1409"/>
      <c r="G39" s="1409"/>
      <c r="H39" s="346"/>
      <c r="I39" s="390"/>
      <c r="J39" s="386"/>
      <c r="L39" s="146"/>
    </row>
    <row r="40" spans="1:12" s="166" customFormat="1" ht="12.85" customHeight="1">
      <c r="A40" s="1046"/>
      <c r="B40" s="348"/>
      <c r="C40" s="378"/>
      <c r="D40" s="373"/>
      <c r="E40" s="1442" t="s">
        <v>354</v>
      </c>
      <c r="F40" s="1442"/>
      <c r="G40" s="1442"/>
      <c r="H40" s="80"/>
      <c r="I40" s="390"/>
      <c r="J40" s="386"/>
      <c r="L40" s="146"/>
    </row>
    <row r="41" spans="1:12" s="148" customFormat="1" ht="56.3" customHeight="1">
      <c r="A41" s="1050"/>
      <c r="B41" s="348"/>
      <c r="C41" s="378"/>
      <c r="D41" s="373"/>
      <c r="E41" s="1480" t="s">
        <v>355</v>
      </c>
      <c r="F41" s="1480"/>
      <c r="G41" s="1480"/>
      <c r="H41" s="477"/>
      <c r="I41" s="390"/>
      <c r="J41" s="386"/>
      <c r="L41" s="146"/>
    </row>
    <row r="42" spans="1:12" s="166" customFormat="1" ht="17.3" customHeight="1">
      <c r="A42" s="1046"/>
      <c r="B42" s="344"/>
      <c r="C42" s="379" t="s">
        <v>91</v>
      </c>
      <c r="D42" s="422"/>
      <c r="E42" s="1413" t="s">
        <v>616</v>
      </c>
      <c r="F42" s="1413"/>
      <c r="G42" s="1413"/>
      <c r="H42" s="1175"/>
      <c r="I42" s="1180">
        <v>2.5</v>
      </c>
      <c r="J42" s="388">
        <f t="shared" ref="J42:J54" si="3">IF(L42,I42,0)</f>
        <v>0</v>
      </c>
      <c r="L42" s="146" t="b">
        <v>0</v>
      </c>
    </row>
    <row r="43" spans="1:12" s="166" customFormat="1" ht="16.600000000000001" customHeight="1">
      <c r="A43" s="1046"/>
      <c r="B43" s="343"/>
      <c r="C43" s="378"/>
      <c r="D43" s="373"/>
      <c r="E43" s="1441" t="s">
        <v>617</v>
      </c>
      <c r="F43" s="1441"/>
      <c r="G43" s="1441"/>
      <c r="H43" s="346"/>
      <c r="I43" s="390"/>
      <c r="J43" s="386"/>
      <c r="L43" s="146"/>
    </row>
    <row r="44" spans="1:12" s="166" customFormat="1" ht="17.3" customHeight="1">
      <c r="A44" s="1046"/>
      <c r="B44" s="344"/>
      <c r="C44" s="1149" t="s">
        <v>1130</v>
      </c>
      <c r="D44" s="422"/>
      <c r="E44" s="1443" t="s">
        <v>1001</v>
      </c>
      <c r="F44" s="1443"/>
      <c r="G44" s="1443"/>
      <c r="H44" s="1181"/>
      <c r="I44" s="1180">
        <v>1</v>
      </c>
      <c r="J44" s="388">
        <f t="shared" si="3"/>
        <v>0</v>
      </c>
      <c r="L44" s="146" t="b">
        <v>0</v>
      </c>
    </row>
    <row r="45" spans="1:12" s="166" customFormat="1" ht="29.95" customHeight="1">
      <c r="A45" s="1046"/>
      <c r="B45" s="343"/>
      <c r="C45" s="378"/>
      <c r="D45" s="425"/>
      <c r="E45" s="1444" t="s">
        <v>1002</v>
      </c>
      <c r="F45" s="1444"/>
      <c r="G45" s="1444"/>
      <c r="H45" s="404"/>
      <c r="I45" s="390"/>
      <c r="J45" s="386"/>
      <c r="L45" s="146"/>
    </row>
    <row r="46" spans="1:12" s="166" customFormat="1" ht="17.3" customHeight="1">
      <c r="A46" s="1046"/>
      <c r="B46" s="344"/>
      <c r="C46" s="1149" t="s">
        <v>1131</v>
      </c>
      <c r="D46" s="422"/>
      <c r="E46" s="1443" t="s">
        <v>624</v>
      </c>
      <c r="F46" s="1443"/>
      <c r="G46" s="1443"/>
      <c r="H46" s="1175"/>
      <c r="I46" s="1180">
        <v>0.5</v>
      </c>
      <c r="J46" s="388">
        <f t="shared" si="3"/>
        <v>0</v>
      </c>
      <c r="L46" s="146" t="b">
        <v>0</v>
      </c>
    </row>
    <row r="47" spans="1:12" s="166" customFormat="1" ht="15" customHeight="1">
      <c r="A47" s="1046"/>
      <c r="B47" s="343"/>
      <c r="C47" s="378"/>
      <c r="D47" s="373"/>
      <c r="E47" s="1441" t="s">
        <v>620</v>
      </c>
      <c r="F47" s="1441"/>
      <c r="G47" s="1441"/>
      <c r="H47" s="346"/>
      <c r="I47" s="390"/>
      <c r="J47" s="386"/>
      <c r="L47" s="146"/>
    </row>
    <row r="48" spans="1:12" s="166" customFormat="1" ht="17.3" customHeight="1">
      <c r="A48" s="1046"/>
      <c r="B48" s="344"/>
      <c r="C48" s="1149" t="s">
        <v>1132</v>
      </c>
      <c r="D48" s="422"/>
      <c r="E48" s="1414" t="s">
        <v>307</v>
      </c>
      <c r="F48" s="1414"/>
      <c r="G48" s="1414"/>
      <c r="H48" s="1175"/>
      <c r="I48" s="1180">
        <v>0.5</v>
      </c>
      <c r="J48" s="388">
        <f t="shared" si="3"/>
        <v>0</v>
      </c>
      <c r="L48" s="146" t="b">
        <v>0</v>
      </c>
    </row>
    <row r="49" spans="1:12" s="166" customFormat="1" ht="15" customHeight="1">
      <c r="A49" s="1046"/>
      <c r="B49" s="343"/>
      <c r="C49" s="378"/>
      <c r="D49" s="373"/>
      <c r="E49" s="1441"/>
      <c r="F49" s="1441"/>
      <c r="G49" s="1441"/>
      <c r="H49" s="346"/>
      <c r="I49" s="390"/>
      <c r="J49" s="386"/>
      <c r="L49" s="146"/>
    </row>
    <row r="50" spans="1:12" s="166" customFormat="1" ht="17.3" customHeight="1">
      <c r="A50" s="1046"/>
      <c r="B50" s="344"/>
      <c r="C50" s="1149" t="s">
        <v>1133</v>
      </c>
      <c r="D50" s="422"/>
      <c r="E50" s="1443" t="s">
        <v>621</v>
      </c>
      <c r="F50" s="1443"/>
      <c r="G50" s="1443"/>
      <c r="H50" s="1184"/>
      <c r="I50" s="1180">
        <v>0.25</v>
      </c>
      <c r="J50" s="388">
        <f t="shared" si="3"/>
        <v>0</v>
      </c>
      <c r="L50" s="146" t="b">
        <v>0</v>
      </c>
    </row>
    <row r="51" spans="1:12" s="166" customFormat="1" ht="16.600000000000001" customHeight="1">
      <c r="A51" s="1046"/>
      <c r="B51" s="343"/>
      <c r="C51" s="378"/>
      <c r="D51" s="373"/>
      <c r="E51" s="1444" t="s">
        <v>622</v>
      </c>
      <c r="F51" s="1444"/>
      <c r="G51" s="1444"/>
      <c r="H51" s="1161"/>
      <c r="I51" s="390"/>
      <c r="J51" s="386"/>
      <c r="L51" s="146"/>
    </row>
    <row r="52" spans="1:12" s="166" customFormat="1" ht="17.3" customHeight="1">
      <c r="A52" s="1046"/>
      <c r="B52" s="344"/>
      <c r="C52" s="1149" t="s">
        <v>1134</v>
      </c>
      <c r="D52" s="422"/>
      <c r="E52" s="1413" t="s">
        <v>1220</v>
      </c>
      <c r="F52" s="1413"/>
      <c r="G52" s="1413"/>
      <c r="H52" s="1175"/>
      <c r="I52" s="1180">
        <v>1</v>
      </c>
      <c r="J52" s="388">
        <f t="shared" si="3"/>
        <v>0</v>
      </c>
      <c r="L52" s="146" t="b">
        <v>0</v>
      </c>
    </row>
    <row r="53" spans="1:12" s="166" customFormat="1" ht="45.1" customHeight="1">
      <c r="A53" s="1046"/>
      <c r="B53" s="348"/>
      <c r="C53" s="378"/>
      <c r="D53" s="373"/>
      <c r="E53" s="1444" t="s">
        <v>731</v>
      </c>
      <c r="F53" s="1444"/>
      <c r="G53" s="1444"/>
      <c r="H53" s="1161"/>
      <c r="I53" s="390"/>
      <c r="J53" s="386"/>
      <c r="L53" s="146"/>
    </row>
    <row r="54" spans="1:12" s="166" customFormat="1" ht="17.3" customHeight="1">
      <c r="A54" s="1046"/>
      <c r="B54" s="344"/>
      <c r="C54" s="1149" t="s">
        <v>1135</v>
      </c>
      <c r="D54" s="422"/>
      <c r="E54" s="1413" t="s">
        <v>729</v>
      </c>
      <c r="F54" s="1413"/>
      <c r="G54" s="1413"/>
      <c r="H54" s="1175"/>
      <c r="I54" s="1180">
        <v>0.35</v>
      </c>
      <c r="J54" s="388">
        <f t="shared" si="3"/>
        <v>0</v>
      </c>
      <c r="L54" s="146" t="b">
        <v>0</v>
      </c>
    </row>
    <row r="55" spans="1:12" s="166" customFormat="1" ht="45.1" customHeight="1">
      <c r="A55" s="1046"/>
      <c r="B55" s="343"/>
      <c r="C55" s="378"/>
      <c r="D55" s="373"/>
      <c r="E55" s="1444" t="s">
        <v>730</v>
      </c>
      <c r="F55" s="1444"/>
      <c r="G55" s="1444"/>
      <c r="H55" s="1161"/>
      <c r="I55" s="390"/>
      <c r="J55" s="386"/>
      <c r="L55" s="146"/>
    </row>
    <row r="56" spans="1:12" s="166" customFormat="1" ht="17.3" customHeight="1">
      <c r="A56" s="1046"/>
      <c r="B56" s="174"/>
      <c r="C56" s="1186"/>
      <c r="D56" s="422"/>
      <c r="E56" s="1467" t="s">
        <v>1140</v>
      </c>
      <c r="F56" s="1467"/>
      <c r="G56" s="1467"/>
      <c r="H56" s="1468"/>
      <c r="I56" s="1188"/>
      <c r="J56" s="388">
        <f>IF(L56,IF(AND($L$13,$M$13),I56+2,I56),0)</f>
        <v>0</v>
      </c>
      <c r="L56" s="148" t="b">
        <f>IF(AND($L$13,$M$13),L13,FALSE)</f>
        <v>0</v>
      </c>
    </row>
    <row r="57" spans="1:12" s="166" customFormat="1" ht="16.600000000000001" customHeight="1" thickBot="1">
      <c r="A57" s="1046"/>
      <c r="B57" s="343"/>
      <c r="C57" s="378"/>
      <c r="D57" s="373"/>
      <c r="E57" s="1466"/>
      <c r="F57" s="1466"/>
      <c r="G57" s="1466"/>
      <c r="H57" s="346"/>
      <c r="I57" s="393"/>
      <c r="J57" s="386"/>
      <c r="L57" s="146"/>
    </row>
    <row r="58" spans="1:12" s="166" customFormat="1" ht="22.5" customHeight="1" thickBot="1">
      <c r="A58" s="1046"/>
      <c r="B58" s="353"/>
      <c r="C58" s="364"/>
      <c r="D58" s="364"/>
      <c r="E58" s="354"/>
      <c r="F58" s="355"/>
      <c r="G58" s="355"/>
      <c r="H58" s="356" t="s">
        <v>790</v>
      </c>
      <c r="I58" s="357">
        <f>IF($M$3,SUM(I30:I56),0)</f>
        <v>0</v>
      </c>
      <c r="J58" s="358">
        <f>IF($M$3,SUMIF(L30:L56,TRUE,J30:J56),0)</f>
        <v>0</v>
      </c>
      <c r="L58" s="146"/>
    </row>
    <row r="59" spans="1:12" s="166" customFormat="1" ht="16.7">
      <c r="A59" s="1046"/>
      <c r="B59" s="372"/>
      <c r="C59" s="380"/>
      <c r="D59" s="380"/>
      <c r="E59" s="381"/>
      <c r="F59" s="81"/>
      <c r="G59" s="81"/>
      <c r="H59" s="382"/>
      <c r="I59" s="383"/>
      <c r="J59" s="367"/>
      <c r="L59" s="146"/>
    </row>
    <row r="60" spans="1:12" s="167" customFormat="1" ht="29.95" customHeight="1">
      <c r="A60" s="1048"/>
      <c r="B60" s="1469" t="s">
        <v>740</v>
      </c>
      <c r="C60" s="1470"/>
      <c r="D60" s="1470"/>
      <c r="E60" s="1470"/>
      <c r="F60" s="1470"/>
      <c r="G60" s="1470"/>
      <c r="H60" s="1470"/>
      <c r="I60" s="1470"/>
      <c r="J60" s="1471"/>
      <c r="L60" s="147"/>
    </row>
    <row r="61" spans="1:12" s="166" customFormat="1" ht="17.3" customHeight="1">
      <c r="A61" s="1046"/>
      <c r="B61" s="344"/>
      <c r="C61" s="1148" t="s">
        <v>1125</v>
      </c>
      <c r="D61" s="1189"/>
      <c r="E61" s="1408" t="s">
        <v>625</v>
      </c>
      <c r="F61" s="1408"/>
      <c r="G61" s="1408"/>
      <c r="H61" s="1190"/>
      <c r="I61" s="1182">
        <v>18.350000000000001</v>
      </c>
      <c r="J61" s="1173">
        <f t="shared" ref="J61" si="4">IF(L61,I61,0)</f>
        <v>0</v>
      </c>
      <c r="L61" s="146" t="b">
        <v>0</v>
      </c>
    </row>
    <row r="62" spans="1:12" s="166" customFormat="1" ht="70" customHeight="1">
      <c r="A62" s="1046"/>
      <c r="B62" s="343"/>
      <c r="C62" s="378"/>
      <c r="D62" s="373"/>
      <c r="E62" s="1444" t="s">
        <v>626</v>
      </c>
      <c r="F62" s="1444"/>
      <c r="G62" s="1444"/>
      <c r="H62" s="1161"/>
      <c r="I62" s="390"/>
      <c r="J62" s="386"/>
      <c r="L62" s="146"/>
    </row>
    <row r="63" spans="1:12" s="168" customFormat="1" ht="17.3" customHeight="1">
      <c r="A63" s="1051"/>
      <c r="B63" s="344"/>
      <c r="C63" s="1149" t="s">
        <v>1126</v>
      </c>
      <c r="D63" s="422"/>
      <c r="E63" s="1413" t="s">
        <v>734</v>
      </c>
      <c r="F63" s="1413"/>
      <c r="G63" s="1413"/>
      <c r="H63" s="1191"/>
      <c r="I63" s="1180">
        <v>0.65</v>
      </c>
      <c r="J63" s="388">
        <f t="shared" ref="J63:J71" si="5">IF(L63,I63,0)</f>
        <v>0</v>
      </c>
      <c r="L63" s="149" t="b">
        <v>0</v>
      </c>
    </row>
    <row r="64" spans="1:12" s="166" customFormat="1" ht="29.95" customHeight="1">
      <c r="A64" s="1046"/>
      <c r="B64" s="348"/>
      <c r="C64" s="378"/>
      <c r="D64" s="373"/>
      <c r="E64" s="1444" t="s">
        <v>735</v>
      </c>
      <c r="F64" s="1444"/>
      <c r="G64" s="1444"/>
      <c r="H64" s="1161"/>
      <c r="I64" s="390"/>
      <c r="J64" s="386"/>
      <c r="L64" s="146"/>
    </row>
    <row r="65" spans="1:12" s="166" customFormat="1" ht="17.3" customHeight="1">
      <c r="A65" s="1046"/>
      <c r="B65" s="344"/>
      <c r="C65" s="1149" t="s">
        <v>1127</v>
      </c>
      <c r="D65" s="422"/>
      <c r="E65" s="1413" t="s">
        <v>632</v>
      </c>
      <c r="F65" s="1413"/>
      <c r="G65" s="1413"/>
      <c r="H65" s="1181"/>
      <c r="I65" s="1180">
        <v>1</v>
      </c>
      <c r="J65" s="388">
        <f t="shared" si="5"/>
        <v>0</v>
      </c>
      <c r="L65" s="146" t="b">
        <v>0</v>
      </c>
    </row>
    <row r="66" spans="1:12" s="166" customFormat="1" ht="15" customHeight="1">
      <c r="A66" s="1046"/>
      <c r="B66" s="343"/>
      <c r="C66" s="378"/>
      <c r="D66" s="373"/>
      <c r="E66" s="1444" t="s">
        <v>633</v>
      </c>
      <c r="F66" s="1444"/>
      <c r="G66" s="1444"/>
      <c r="H66" s="1161"/>
      <c r="I66" s="390"/>
      <c r="J66" s="386"/>
      <c r="L66" s="146"/>
    </row>
    <row r="67" spans="1:12" s="166" customFormat="1" ht="16.45" customHeight="1">
      <c r="A67" s="1046"/>
      <c r="B67" s="344"/>
      <c r="C67" s="1149" t="s">
        <v>1128</v>
      </c>
      <c r="D67" s="422"/>
      <c r="E67" s="1413" t="s">
        <v>627</v>
      </c>
      <c r="F67" s="1413"/>
      <c r="G67" s="1413"/>
      <c r="H67" s="1181"/>
      <c r="I67" s="1180">
        <v>0.5</v>
      </c>
      <c r="J67" s="388">
        <f t="shared" si="5"/>
        <v>0</v>
      </c>
      <c r="L67" s="146" t="b">
        <v>0</v>
      </c>
    </row>
    <row r="68" spans="1:12" s="166" customFormat="1" ht="16.600000000000001" customHeight="1">
      <c r="A68" s="1046"/>
      <c r="B68" s="350"/>
      <c r="C68" s="378"/>
      <c r="D68" s="373"/>
      <c r="E68" s="1444" t="s">
        <v>628</v>
      </c>
      <c r="F68" s="1444"/>
      <c r="G68" s="1444"/>
      <c r="H68" s="1161"/>
      <c r="I68" s="390"/>
      <c r="J68" s="386"/>
      <c r="L68" s="146"/>
    </row>
    <row r="69" spans="1:12" s="166" customFormat="1" ht="17.3" customHeight="1">
      <c r="A69" s="1046"/>
      <c r="B69" s="344"/>
      <c r="C69" s="1149" t="s">
        <v>1129</v>
      </c>
      <c r="D69" s="422"/>
      <c r="E69" s="1413" t="s">
        <v>736</v>
      </c>
      <c r="F69" s="1413"/>
      <c r="G69" s="1413"/>
      <c r="H69" s="1181"/>
      <c r="I69" s="1180">
        <v>0.5</v>
      </c>
      <c r="J69" s="388">
        <f t="shared" si="5"/>
        <v>0</v>
      </c>
      <c r="L69" s="146" t="b">
        <v>0</v>
      </c>
    </row>
    <row r="70" spans="1:12" s="166" customFormat="1" ht="29.95" customHeight="1">
      <c r="A70" s="1046"/>
      <c r="B70" s="343"/>
      <c r="C70" s="378"/>
      <c r="D70" s="373"/>
      <c r="E70" s="1444" t="s">
        <v>737</v>
      </c>
      <c r="F70" s="1444"/>
      <c r="G70" s="1444"/>
      <c r="H70" s="1161"/>
      <c r="I70" s="390"/>
      <c r="J70" s="386"/>
      <c r="L70" s="146"/>
    </row>
    <row r="71" spans="1:12" s="166" customFormat="1" ht="17.3" customHeight="1">
      <c r="A71" s="1046"/>
      <c r="B71" s="344"/>
      <c r="C71" s="1149" t="s">
        <v>1136</v>
      </c>
      <c r="D71" s="422"/>
      <c r="E71" s="1413" t="s">
        <v>634</v>
      </c>
      <c r="F71" s="1413"/>
      <c r="G71" s="1413"/>
      <c r="H71" s="1175"/>
      <c r="I71" s="1180">
        <v>0.5</v>
      </c>
      <c r="J71" s="388">
        <f t="shared" si="5"/>
        <v>0</v>
      </c>
      <c r="L71" s="146" t="b">
        <v>0</v>
      </c>
    </row>
    <row r="72" spans="1:12" s="166" customFormat="1" ht="15" customHeight="1">
      <c r="A72" s="1046"/>
      <c r="B72" s="343"/>
      <c r="C72" s="378"/>
      <c r="D72" s="373"/>
      <c r="E72" s="1444" t="s">
        <v>635</v>
      </c>
      <c r="F72" s="1444"/>
      <c r="G72" s="1444"/>
      <c r="H72" s="1161"/>
      <c r="I72" s="390"/>
      <c r="J72" s="386"/>
      <c r="L72" s="146"/>
    </row>
    <row r="73" spans="1:12" s="166" customFormat="1" ht="17.3" customHeight="1">
      <c r="A73" s="1046"/>
      <c r="B73" s="344"/>
      <c r="C73" s="1149" t="s">
        <v>1130</v>
      </c>
      <c r="D73" s="1192"/>
      <c r="E73" s="1413" t="s">
        <v>1221</v>
      </c>
      <c r="F73" s="1413"/>
      <c r="G73" s="1413"/>
      <c r="H73" s="1193"/>
      <c r="I73" s="1180">
        <v>0.75</v>
      </c>
      <c r="J73" s="388">
        <f>IF(L73,I73,0)</f>
        <v>0</v>
      </c>
      <c r="L73" s="146" t="b">
        <v>0</v>
      </c>
    </row>
    <row r="74" spans="1:12" s="166" customFormat="1" ht="70.150000000000006" customHeight="1">
      <c r="A74" s="1046"/>
      <c r="B74" s="350"/>
      <c r="C74" s="378"/>
      <c r="D74" s="373"/>
      <c r="E74" s="1444" t="s">
        <v>738</v>
      </c>
      <c r="F74" s="1444"/>
      <c r="G74" s="1444"/>
      <c r="H74" s="1161"/>
      <c r="I74" s="390"/>
      <c r="J74" s="386"/>
      <c r="L74" s="146"/>
    </row>
    <row r="75" spans="1:12" s="166" customFormat="1" ht="17.3" customHeight="1">
      <c r="A75" s="1046"/>
      <c r="B75" s="344"/>
      <c r="C75" s="1149" t="s">
        <v>1131</v>
      </c>
      <c r="D75" s="422"/>
      <c r="E75" s="1414" t="s">
        <v>309</v>
      </c>
      <c r="F75" s="1414"/>
      <c r="G75" s="1414"/>
      <c r="H75" s="1175"/>
      <c r="I75" s="1180">
        <v>0.55000000000000004</v>
      </c>
      <c r="J75" s="388">
        <f>IF(L75,I75,0)</f>
        <v>0</v>
      </c>
      <c r="L75" s="146" t="b">
        <v>0</v>
      </c>
    </row>
    <row r="76" spans="1:12" s="166" customFormat="1" ht="15" customHeight="1">
      <c r="A76" s="1046"/>
      <c r="B76" s="343"/>
      <c r="C76" s="378"/>
      <c r="D76" s="373"/>
      <c r="E76" s="1441"/>
      <c r="F76" s="1441"/>
      <c r="G76" s="1441"/>
      <c r="H76" s="346"/>
      <c r="I76" s="390"/>
      <c r="J76" s="386"/>
      <c r="L76" s="146"/>
    </row>
    <row r="77" spans="1:12" s="166" customFormat="1" ht="17.3" customHeight="1">
      <c r="A77" s="1046"/>
      <c r="B77" s="344"/>
      <c r="C77" s="1149" t="s">
        <v>1132</v>
      </c>
      <c r="D77" s="422"/>
      <c r="E77" s="1413" t="s">
        <v>985</v>
      </c>
      <c r="F77" s="1413"/>
      <c r="G77" s="1413"/>
      <c r="H77" s="1194"/>
      <c r="I77" s="1180">
        <v>0.5</v>
      </c>
      <c r="J77" s="388">
        <f t="shared" ref="J77:J89" si="6">IF(L77,I77,0)</f>
        <v>0</v>
      </c>
      <c r="L77" s="146" t="b">
        <v>0</v>
      </c>
    </row>
    <row r="78" spans="1:12" s="166" customFormat="1" ht="72.75" customHeight="1">
      <c r="A78" s="1046"/>
      <c r="B78" s="343"/>
      <c r="C78" s="378"/>
      <c r="D78" s="373"/>
      <c r="E78" s="1444" t="s">
        <v>986</v>
      </c>
      <c r="F78" s="1444"/>
      <c r="G78" s="1444"/>
      <c r="H78" s="1161"/>
      <c r="I78" s="390"/>
      <c r="J78" s="386"/>
      <c r="L78" s="146"/>
    </row>
    <row r="79" spans="1:12" s="166" customFormat="1" ht="17.3" customHeight="1">
      <c r="A79" s="1046"/>
      <c r="B79" s="344"/>
      <c r="C79" s="1149" t="s">
        <v>1133</v>
      </c>
      <c r="D79" s="422"/>
      <c r="E79" s="1458" t="s">
        <v>212</v>
      </c>
      <c r="F79" s="1458"/>
      <c r="G79" s="1458"/>
      <c r="H79" s="1175"/>
      <c r="I79" s="1180">
        <v>0.5</v>
      </c>
      <c r="J79" s="388">
        <f t="shared" si="6"/>
        <v>0</v>
      </c>
      <c r="L79" s="146" t="b">
        <v>0</v>
      </c>
    </row>
    <row r="80" spans="1:12" s="166" customFormat="1" ht="15" customHeight="1">
      <c r="A80" s="1046"/>
      <c r="B80" s="343"/>
      <c r="C80" s="378"/>
      <c r="D80" s="373"/>
      <c r="E80" s="1441"/>
      <c r="F80" s="1441"/>
      <c r="G80" s="1441"/>
      <c r="H80" s="346"/>
      <c r="I80" s="390"/>
      <c r="J80" s="386"/>
      <c r="L80" s="146"/>
    </row>
    <row r="81" spans="1:17" s="166" customFormat="1" ht="17.3" customHeight="1">
      <c r="A81" s="1046"/>
      <c r="B81" s="344"/>
      <c r="C81" s="1149" t="s">
        <v>1134</v>
      </c>
      <c r="D81" s="422"/>
      <c r="E81" s="1414" t="s">
        <v>118</v>
      </c>
      <c r="F81" s="1414"/>
      <c r="G81" s="1414"/>
      <c r="H81" s="1194"/>
      <c r="I81" s="1180">
        <v>0.1</v>
      </c>
      <c r="J81" s="388">
        <f t="shared" si="6"/>
        <v>0</v>
      </c>
      <c r="L81" s="146" t="b">
        <v>0</v>
      </c>
    </row>
    <row r="82" spans="1:17" s="166" customFormat="1" ht="15" customHeight="1">
      <c r="A82" s="1046"/>
      <c r="B82" s="343"/>
      <c r="C82" s="378"/>
      <c r="D82" s="373"/>
      <c r="E82" s="1441"/>
      <c r="F82" s="1441"/>
      <c r="G82" s="1441"/>
      <c r="H82" s="346"/>
      <c r="I82" s="390"/>
      <c r="J82" s="386"/>
      <c r="L82" s="146"/>
    </row>
    <row r="83" spans="1:17" s="166" customFormat="1" ht="17.3" customHeight="1">
      <c r="A83" s="1046"/>
      <c r="B83" s="344"/>
      <c r="C83" s="1149" t="s">
        <v>1135</v>
      </c>
      <c r="D83" s="422"/>
      <c r="E83" s="1414" t="s">
        <v>102</v>
      </c>
      <c r="F83" s="1414"/>
      <c r="G83" s="1414"/>
      <c r="H83" s="1184"/>
      <c r="I83" s="1180">
        <v>0.1</v>
      </c>
      <c r="J83" s="388">
        <f t="shared" si="6"/>
        <v>0</v>
      </c>
      <c r="L83" s="146" t="b">
        <v>0</v>
      </c>
      <c r="Q83" s="169"/>
    </row>
    <row r="84" spans="1:17" s="166" customFormat="1" ht="15" customHeight="1">
      <c r="A84" s="1046"/>
      <c r="B84" s="343"/>
      <c r="C84" s="378"/>
      <c r="D84" s="373"/>
      <c r="E84" s="1441"/>
      <c r="F84" s="1441"/>
      <c r="G84" s="1441"/>
      <c r="H84" s="346"/>
      <c r="I84" s="390"/>
      <c r="J84" s="386"/>
      <c r="L84" s="146"/>
    </row>
    <row r="85" spans="1:17" s="166" customFormat="1" ht="17.3" customHeight="1">
      <c r="A85" s="1046"/>
      <c r="B85" s="344"/>
      <c r="C85" s="1149" t="s">
        <v>1137</v>
      </c>
      <c r="D85" s="1192"/>
      <c r="E85" s="1413" t="s">
        <v>637</v>
      </c>
      <c r="F85" s="1413"/>
      <c r="G85" s="1413"/>
      <c r="H85" s="1193"/>
      <c r="I85" s="1180">
        <v>0.5</v>
      </c>
      <c r="J85" s="388">
        <f t="shared" si="6"/>
        <v>0</v>
      </c>
      <c r="L85" s="146" t="b">
        <v>0</v>
      </c>
    </row>
    <row r="86" spans="1:17" s="166" customFormat="1" ht="29.95" customHeight="1">
      <c r="A86" s="1046"/>
      <c r="B86" s="348"/>
      <c r="C86" s="432"/>
      <c r="D86" s="1150"/>
      <c r="E86" s="1444" t="s">
        <v>638</v>
      </c>
      <c r="F86" s="1444"/>
      <c r="G86" s="1444"/>
      <c r="H86" s="1151"/>
      <c r="I86" s="1152"/>
      <c r="J86" s="1153"/>
      <c r="L86" s="146"/>
    </row>
    <row r="87" spans="1:17" s="166" customFormat="1" ht="17.3" customHeight="1">
      <c r="A87" s="1046"/>
      <c r="B87" s="344"/>
      <c r="C87" s="1149" t="s">
        <v>1138</v>
      </c>
      <c r="D87" s="422"/>
      <c r="E87" s="1414" t="s">
        <v>310</v>
      </c>
      <c r="F87" s="1414"/>
      <c r="G87" s="1414"/>
      <c r="H87" s="1175"/>
      <c r="I87" s="1180">
        <v>0.25</v>
      </c>
      <c r="J87" s="388">
        <f t="shared" si="6"/>
        <v>0</v>
      </c>
      <c r="L87" s="146" t="b">
        <v>0</v>
      </c>
    </row>
    <row r="88" spans="1:17" s="166" customFormat="1" ht="15" customHeight="1">
      <c r="A88" s="1046"/>
      <c r="B88" s="343"/>
      <c r="C88" s="378"/>
      <c r="D88" s="373"/>
      <c r="E88" s="1441"/>
      <c r="F88" s="1441"/>
      <c r="G88" s="1441"/>
      <c r="H88" s="346"/>
      <c r="I88" s="390"/>
      <c r="J88" s="386"/>
      <c r="L88" s="146"/>
    </row>
    <row r="89" spans="1:17" s="166" customFormat="1" ht="17.3" customHeight="1">
      <c r="A89" s="1046"/>
      <c r="B89" s="344"/>
      <c r="C89" s="1149" t="s">
        <v>1139</v>
      </c>
      <c r="D89" s="422"/>
      <c r="E89" s="1414" t="s">
        <v>305</v>
      </c>
      <c r="F89" s="1414"/>
      <c r="G89" s="1414"/>
      <c r="H89" s="1181"/>
      <c r="I89" s="1180">
        <v>0.25</v>
      </c>
      <c r="J89" s="388">
        <f t="shared" si="6"/>
        <v>0</v>
      </c>
      <c r="L89" s="146" t="b">
        <v>0</v>
      </c>
    </row>
    <row r="90" spans="1:17" s="166" customFormat="1" ht="42.8" customHeight="1">
      <c r="A90" s="1046"/>
      <c r="B90" s="348"/>
      <c r="C90" s="378"/>
      <c r="D90" s="373"/>
      <c r="E90" s="1444" t="s">
        <v>739</v>
      </c>
      <c r="F90" s="1444"/>
      <c r="G90" s="1444"/>
      <c r="H90" s="1161"/>
      <c r="I90" s="390"/>
      <c r="J90" s="386"/>
      <c r="L90" s="146"/>
    </row>
    <row r="91" spans="1:17" s="166" customFormat="1" ht="17.3" customHeight="1">
      <c r="A91" s="1046"/>
      <c r="B91" s="174"/>
      <c r="C91" s="1186"/>
      <c r="D91" s="422"/>
      <c r="E91" s="1467" t="s">
        <v>1141</v>
      </c>
      <c r="F91" s="1467"/>
      <c r="G91" s="1467"/>
      <c r="H91" s="1468"/>
      <c r="I91" s="1188"/>
      <c r="J91" s="388">
        <f>IF(L91,IF(AND($L$14,$M$13),I91+20,I91),0)</f>
        <v>0</v>
      </c>
      <c r="L91" s="148" t="b">
        <f>IF(AND($L$14,$M$13),L14,FALSE)</f>
        <v>0</v>
      </c>
    </row>
    <row r="92" spans="1:17" s="166" customFormat="1" ht="16.600000000000001" customHeight="1" thickBot="1">
      <c r="A92" s="1046"/>
      <c r="B92" s="343"/>
      <c r="C92" s="378"/>
      <c r="D92" s="373"/>
      <c r="E92" s="1466"/>
      <c r="F92" s="1466"/>
      <c r="G92" s="1466"/>
      <c r="H92" s="346"/>
      <c r="I92" s="393"/>
      <c r="J92" s="386"/>
      <c r="L92" s="146"/>
    </row>
    <row r="93" spans="1:17" s="166" customFormat="1" ht="22.5" customHeight="1" thickBot="1">
      <c r="A93" s="1046"/>
      <c r="B93" s="353"/>
      <c r="C93" s="364"/>
      <c r="D93" s="364"/>
      <c r="E93" s="354"/>
      <c r="F93" s="355"/>
      <c r="G93" s="355"/>
      <c r="H93" s="356" t="s">
        <v>791</v>
      </c>
      <c r="I93" s="396">
        <f>IF(Projektgrundlagen!$I$22,SUM(I61:I89),0)</f>
        <v>0</v>
      </c>
      <c r="J93" s="358">
        <f>IF($M$3,SUMIF(L61:L91,TRUE,J61:J91),0)</f>
        <v>0</v>
      </c>
      <c r="L93" s="146"/>
    </row>
    <row r="94" spans="1:17" s="166" customFormat="1" ht="16.7">
      <c r="A94" s="1046"/>
      <c r="B94" s="368"/>
      <c r="C94" s="365"/>
      <c r="D94" s="365"/>
      <c r="E94" s="366"/>
      <c r="F94" s="79"/>
      <c r="G94" s="79"/>
      <c r="H94" s="352"/>
      <c r="I94" s="369"/>
      <c r="J94" s="367"/>
      <c r="L94" s="146"/>
    </row>
    <row r="95" spans="1:17" s="166" customFormat="1" ht="29.95" customHeight="1">
      <c r="A95" s="1046"/>
      <c r="B95" s="1469" t="s">
        <v>743</v>
      </c>
      <c r="C95" s="1470"/>
      <c r="D95" s="1470"/>
      <c r="E95" s="1470"/>
      <c r="F95" s="1470"/>
      <c r="G95" s="1470"/>
      <c r="H95" s="1470"/>
      <c r="I95" s="1470"/>
      <c r="J95" s="1471"/>
      <c r="L95" s="146"/>
    </row>
    <row r="96" spans="1:17" s="166" customFormat="1" ht="17.3" customHeight="1">
      <c r="A96" s="1046"/>
      <c r="B96" s="344"/>
      <c r="C96" s="1148" t="s">
        <v>1125</v>
      </c>
      <c r="D96" s="417"/>
      <c r="E96" s="1408" t="s">
        <v>639</v>
      </c>
      <c r="F96" s="1408"/>
      <c r="G96" s="1408"/>
      <c r="H96" s="1171"/>
      <c r="I96" s="1182">
        <v>5.75</v>
      </c>
      <c r="J96" s="1195">
        <f>IF(L96,I96,0)</f>
        <v>0</v>
      </c>
      <c r="L96" s="146" t="b">
        <v>0</v>
      </c>
    </row>
    <row r="97" spans="1:12" s="166" customFormat="1" ht="57.05" customHeight="1">
      <c r="A97" s="1046"/>
      <c r="B97" s="348"/>
      <c r="C97" s="378"/>
      <c r="D97" s="373"/>
      <c r="E97" s="1444" t="s">
        <v>640</v>
      </c>
      <c r="F97" s="1444"/>
      <c r="G97" s="1444"/>
      <c r="H97" s="1161"/>
      <c r="I97" s="390"/>
      <c r="J97" s="426"/>
      <c r="L97" s="146"/>
    </row>
    <row r="98" spans="1:12" s="166" customFormat="1" ht="17.3" customHeight="1">
      <c r="A98" s="1046"/>
      <c r="B98" s="344"/>
      <c r="C98" s="1149" t="s">
        <v>1126</v>
      </c>
      <c r="D98" s="422"/>
      <c r="E98" s="1413" t="s">
        <v>641</v>
      </c>
      <c r="F98" s="1413"/>
      <c r="G98" s="1413"/>
      <c r="H98" s="1175"/>
      <c r="I98" s="1180">
        <v>0.5</v>
      </c>
      <c r="J98" s="1197">
        <f>IF(L98,I98,0)</f>
        <v>0</v>
      </c>
      <c r="L98" s="146" t="b">
        <v>0</v>
      </c>
    </row>
    <row r="99" spans="1:12" s="166" customFormat="1" ht="15" customHeight="1">
      <c r="A99" s="1046"/>
      <c r="B99" s="348"/>
      <c r="C99" s="378"/>
      <c r="D99" s="373"/>
      <c r="E99" s="1444" t="s">
        <v>642</v>
      </c>
      <c r="F99" s="1444"/>
      <c r="G99" s="1444"/>
      <c r="H99" s="1161"/>
      <c r="I99" s="390"/>
      <c r="J99" s="426"/>
      <c r="L99" s="146"/>
    </row>
    <row r="100" spans="1:12" s="166" customFormat="1" ht="17.3" customHeight="1">
      <c r="A100" s="1046"/>
      <c r="B100" s="344"/>
      <c r="C100" s="1149" t="s">
        <v>1127</v>
      </c>
      <c r="D100" s="422"/>
      <c r="E100" s="1413" t="s">
        <v>643</v>
      </c>
      <c r="F100" s="1413"/>
      <c r="G100" s="1413"/>
      <c r="H100" s="1175"/>
      <c r="I100" s="1180">
        <v>0.25</v>
      </c>
      <c r="J100" s="1197">
        <f t="shared" ref="J100" si="7">IF(L100,I100,0)</f>
        <v>0</v>
      </c>
      <c r="L100" s="146" t="b">
        <v>0</v>
      </c>
    </row>
    <row r="101" spans="1:12" s="166" customFormat="1" ht="29.95" customHeight="1">
      <c r="A101" s="1046"/>
      <c r="B101" s="348"/>
      <c r="C101" s="378"/>
      <c r="D101" s="373"/>
      <c r="E101" s="1444" t="s">
        <v>741</v>
      </c>
      <c r="F101" s="1444"/>
      <c r="G101" s="1444"/>
      <c r="H101" s="1161"/>
      <c r="I101" s="390"/>
      <c r="J101" s="426"/>
      <c r="L101" s="146"/>
    </row>
    <row r="102" spans="1:12" s="166" customFormat="1" ht="17.3" customHeight="1">
      <c r="A102" s="1046"/>
      <c r="B102" s="344"/>
      <c r="C102" s="1149" t="s">
        <v>1128</v>
      </c>
      <c r="D102" s="422"/>
      <c r="E102" s="1477" t="s">
        <v>229</v>
      </c>
      <c r="F102" s="1477"/>
      <c r="G102" s="1477"/>
      <c r="H102" s="1200"/>
      <c r="I102" s="1180">
        <v>0.75</v>
      </c>
      <c r="J102" s="1197">
        <f>IF(L102,I102,0)</f>
        <v>0</v>
      </c>
      <c r="L102" s="146" t="b">
        <v>0</v>
      </c>
    </row>
    <row r="103" spans="1:12" s="166" customFormat="1" ht="15" customHeight="1">
      <c r="A103" s="1046"/>
      <c r="B103" s="343"/>
      <c r="C103" s="378"/>
      <c r="D103" s="373"/>
      <c r="E103" s="1441"/>
      <c r="F103" s="1441"/>
      <c r="G103" s="1441"/>
      <c r="H103" s="346"/>
      <c r="I103" s="390"/>
      <c r="J103" s="386"/>
      <c r="L103" s="146"/>
    </row>
    <row r="104" spans="1:12" s="166" customFormat="1" ht="17.3" customHeight="1">
      <c r="A104" s="1046"/>
      <c r="B104" s="344"/>
      <c r="C104" s="1149" t="s">
        <v>1129</v>
      </c>
      <c r="D104" s="422"/>
      <c r="E104" s="1413" t="s">
        <v>1003</v>
      </c>
      <c r="F104" s="1413"/>
      <c r="G104" s="1413"/>
      <c r="H104" s="1201"/>
      <c r="I104" s="1180">
        <v>0.5</v>
      </c>
      <c r="J104" s="1197">
        <f>IF(L104,I104,0)</f>
        <v>0</v>
      </c>
      <c r="L104" s="146" t="b">
        <v>0</v>
      </c>
    </row>
    <row r="105" spans="1:12" s="166" customFormat="1" ht="15" customHeight="1">
      <c r="A105" s="1046"/>
      <c r="B105" s="348"/>
      <c r="C105" s="378"/>
      <c r="D105" s="373"/>
      <c r="E105" s="1441" t="s">
        <v>1004</v>
      </c>
      <c r="F105" s="1441"/>
      <c r="G105" s="1441"/>
      <c r="H105" s="1161"/>
      <c r="I105" s="390"/>
      <c r="J105" s="426"/>
      <c r="L105" s="146"/>
    </row>
    <row r="106" spans="1:12" s="166" customFormat="1" ht="17.3" customHeight="1">
      <c r="A106" s="1046"/>
      <c r="B106" s="344"/>
      <c r="C106" s="1149" t="s">
        <v>1136</v>
      </c>
      <c r="D106" s="422"/>
      <c r="E106" s="1443" t="s">
        <v>1005</v>
      </c>
      <c r="F106" s="1443"/>
      <c r="G106" s="1443"/>
      <c r="H106" s="1175"/>
      <c r="I106" s="1180">
        <v>0.25</v>
      </c>
      <c r="J106" s="1197">
        <f>IF(L106,I106,0)</f>
        <v>0</v>
      </c>
      <c r="L106" s="146" t="b">
        <v>0</v>
      </c>
    </row>
    <row r="107" spans="1:12" s="166" customFormat="1" ht="15" customHeight="1" thickBot="1">
      <c r="A107" s="1046"/>
      <c r="B107" s="348"/>
      <c r="C107" s="378"/>
      <c r="D107" s="373"/>
      <c r="E107" s="1475" t="s">
        <v>1006</v>
      </c>
      <c r="F107" s="1475"/>
      <c r="G107" s="1475"/>
      <c r="H107" s="1161"/>
      <c r="I107" s="390"/>
      <c r="J107" s="426"/>
      <c r="L107" s="146"/>
    </row>
    <row r="108" spans="1:12" s="166" customFormat="1" ht="22.5" customHeight="1" thickBot="1">
      <c r="A108" s="1046"/>
      <c r="B108" s="353"/>
      <c r="C108" s="364"/>
      <c r="D108" s="364"/>
      <c r="E108" s="354"/>
      <c r="F108" s="355"/>
      <c r="G108" s="355"/>
      <c r="H108" s="356" t="s">
        <v>792</v>
      </c>
      <c r="I108" s="399">
        <f>IF($M$3,SUM(I96:I106),)</f>
        <v>0</v>
      </c>
      <c r="J108" s="358">
        <f>IF($M$3,SUMIF(L95:L106,TRUE,J95:J106),0)</f>
        <v>0</v>
      </c>
      <c r="L108" s="146"/>
    </row>
    <row r="109" spans="1:12" s="166" customFormat="1" ht="16.7">
      <c r="A109" s="1046"/>
      <c r="B109" s="368"/>
      <c r="C109" s="365"/>
      <c r="D109" s="365"/>
      <c r="E109" s="366"/>
      <c r="F109" s="79"/>
      <c r="G109" s="79"/>
      <c r="H109" s="352"/>
      <c r="I109" s="369"/>
      <c r="J109" s="367"/>
      <c r="L109" s="146"/>
    </row>
    <row r="110" spans="1:12" s="166" customFormat="1" ht="29.95" customHeight="1">
      <c r="A110" s="1046"/>
      <c r="B110" s="1469" t="s">
        <v>744</v>
      </c>
      <c r="C110" s="1470"/>
      <c r="D110" s="1470"/>
      <c r="E110" s="1470"/>
      <c r="F110" s="1470"/>
      <c r="G110" s="1470"/>
      <c r="H110" s="1470"/>
      <c r="I110" s="1470"/>
      <c r="J110" s="1471"/>
      <c r="L110" s="146"/>
    </row>
    <row r="111" spans="1:12" s="166" customFormat="1" ht="17.3" customHeight="1">
      <c r="A111" s="1046"/>
      <c r="B111" s="344"/>
      <c r="C111" s="1205" t="s">
        <v>1125</v>
      </c>
      <c r="D111" s="373"/>
      <c r="E111" s="1408" t="s">
        <v>644</v>
      </c>
      <c r="F111" s="1408"/>
      <c r="G111" s="1408"/>
      <c r="H111" s="152"/>
      <c r="I111" s="1182">
        <v>6.5</v>
      </c>
      <c r="J111" s="1195">
        <f>IF(L111,I111,0)</f>
        <v>0</v>
      </c>
      <c r="L111" s="146" t="b">
        <v>0</v>
      </c>
    </row>
    <row r="112" spans="1:12" s="166" customFormat="1" ht="45.1" customHeight="1">
      <c r="A112" s="1046"/>
      <c r="B112" s="348"/>
      <c r="C112" s="378"/>
      <c r="D112" s="373"/>
      <c r="E112" s="1444" t="s">
        <v>645</v>
      </c>
      <c r="F112" s="1444"/>
      <c r="G112" s="1444"/>
      <c r="H112" s="1161"/>
      <c r="I112" s="390"/>
      <c r="J112" s="426"/>
      <c r="L112" s="146"/>
    </row>
    <row r="113" spans="1:12" s="166" customFormat="1" ht="17.3" customHeight="1">
      <c r="A113" s="1046"/>
      <c r="B113" s="344"/>
      <c r="C113" s="1149" t="s">
        <v>1126</v>
      </c>
      <c r="D113" s="422"/>
      <c r="E113" s="1413" t="s">
        <v>646</v>
      </c>
      <c r="F113" s="1413"/>
      <c r="G113" s="1413"/>
      <c r="H113" s="1201"/>
      <c r="I113" s="1180">
        <v>7</v>
      </c>
      <c r="J113" s="1197">
        <f t="shared" ref="J113" si="8">IF(L113,I113,0)</f>
        <v>0</v>
      </c>
      <c r="L113" s="146" t="b">
        <v>0</v>
      </c>
    </row>
    <row r="114" spans="1:12" s="166" customFormat="1" ht="29.95" customHeight="1">
      <c r="A114" s="1046"/>
      <c r="B114" s="348"/>
      <c r="C114" s="378"/>
      <c r="D114" s="373"/>
      <c r="E114" s="1444" t="s">
        <v>647</v>
      </c>
      <c r="F114" s="1444"/>
      <c r="G114" s="1444"/>
      <c r="H114" s="1161"/>
      <c r="I114" s="390"/>
      <c r="J114" s="426"/>
      <c r="L114" s="146"/>
    </row>
    <row r="115" spans="1:12" s="166" customFormat="1" ht="17.3" customHeight="1">
      <c r="A115" s="1046"/>
      <c r="B115" s="344"/>
      <c r="C115" s="1149" t="s">
        <v>1127</v>
      </c>
      <c r="D115" s="422"/>
      <c r="E115" s="1413" t="s">
        <v>648</v>
      </c>
      <c r="F115" s="1413"/>
      <c r="G115" s="1413"/>
      <c r="H115" s="1201"/>
      <c r="I115" s="1180">
        <v>1</v>
      </c>
      <c r="J115" s="1197">
        <f>IF(L115,I115,0)</f>
        <v>0</v>
      </c>
      <c r="L115" s="146" t="b">
        <v>0</v>
      </c>
    </row>
    <row r="116" spans="1:12" s="166" customFormat="1" ht="29.95" customHeight="1">
      <c r="A116" s="1046"/>
      <c r="B116" s="348"/>
      <c r="C116" s="378"/>
      <c r="D116" s="373"/>
      <c r="E116" s="1444" t="s">
        <v>649</v>
      </c>
      <c r="F116" s="1444"/>
      <c r="G116" s="1444"/>
      <c r="H116" s="1161"/>
      <c r="I116" s="390"/>
      <c r="J116" s="426"/>
      <c r="L116" s="146"/>
    </row>
    <row r="117" spans="1:12" s="166" customFormat="1" ht="17.3" customHeight="1">
      <c r="A117" s="1046"/>
      <c r="B117" s="344"/>
      <c r="C117" s="1149" t="s">
        <v>1128</v>
      </c>
      <c r="D117" s="422"/>
      <c r="E117" s="1414" t="s">
        <v>260</v>
      </c>
      <c r="F117" s="1414"/>
      <c r="G117" s="1414"/>
      <c r="H117" s="1181"/>
      <c r="I117" s="1180">
        <v>0.5</v>
      </c>
      <c r="J117" s="1197">
        <f>IF(L117,I117,0)</f>
        <v>0</v>
      </c>
      <c r="L117" s="146" t="b">
        <v>0</v>
      </c>
    </row>
    <row r="118" spans="1:12" s="166" customFormat="1" ht="15" customHeight="1" thickBot="1">
      <c r="A118" s="1046"/>
      <c r="B118" s="343"/>
      <c r="C118" s="378"/>
      <c r="D118" s="373"/>
      <c r="E118" s="1465"/>
      <c r="F118" s="1465"/>
      <c r="G118" s="1465"/>
      <c r="H118" s="346"/>
      <c r="I118" s="390"/>
      <c r="J118" s="386"/>
      <c r="L118" s="146"/>
    </row>
    <row r="119" spans="1:12" s="166" customFormat="1" ht="22.5" customHeight="1" thickBot="1">
      <c r="A119" s="1046"/>
      <c r="B119" s="353"/>
      <c r="C119" s="364"/>
      <c r="D119" s="364"/>
      <c r="E119" s="354"/>
      <c r="F119" s="355"/>
      <c r="G119" s="355"/>
      <c r="H119" s="356" t="s">
        <v>793</v>
      </c>
      <c r="I119" s="357">
        <f>IF($M$3,SUM(I111:I117),0)</f>
        <v>0</v>
      </c>
      <c r="J119" s="358">
        <f>IF($M$3,SUMIF(L111:L117,TRUE,J111:J117),0)</f>
        <v>0</v>
      </c>
      <c r="L119" s="146"/>
    </row>
    <row r="120" spans="1:12" s="166" customFormat="1" ht="16.7">
      <c r="A120" s="1046"/>
      <c r="B120" s="368"/>
      <c r="C120" s="365"/>
      <c r="D120" s="365"/>
      <c r="E120" s="366"/>
      <c r="F120" s="79"/>
      <c r="G120" s="79"/>
      <c r="H120" s="352"/>
      <c r="I120" s="369"/>
      <c r="J120" s="367"/>
      <c r="L120" s="146"/>
    </row>
    <row r="121" spans="1:12" s="170" customFormat="1" ht="29.95" customHeight="1">
      <c r="A121" s="1052"/>
      <c r="B121" s="1482" t="s">
        <v>745</v>
      </c>
      <c r="C121" s="1483"/>
      <c r="D121" s="1483"/>
      <c r="E121" s="1483"/>
      <c r="F121" s="1483"/>
      <c r="G121" s="1483"/>
      <c r="H121" s="1483"/>
      <c r="I121" s="1483"/>
      <c r="J121" s="1484"/>
      <c r="L121" s="150"/>
    </row>
    <row r="122" spans="1:12" s="166" customFormat="1" ht="17.3" customHeight="1">
      <c r="A122" s="1046"/>
      <c r="B122" s="344"/>
      <c r="C122" s="1148" t="s">
        <v>1125</v>
      </c>
      <c r="D122" s="417"/>
      <c r="E122" s="1408" t="s">
        <v>994</v>
      </c>
      <c r="F122" s="1408"/>
      <c r="G122" s="1408"/>
      <c r="H122" s="1203"/>
      <c r="I122" s="1182">
        <v>4</v>
      </c>
      <c r="J122" s="1195">
        <f>IF(L122,I122,0)</f>
        <v>0</v>
      </c>
      <c r="L122" s="146" t="b">
        <v>0</v>
      </c>
    </row>
    <row r="123" spans="1:12" s="166" customFormat="1" ht="15" customHeight="1">
      <c r="A123" s="1046"/>
      <c r="B123" s="348"/>
      <c r="C123" s="378"/>
      <c r="D123" s="373"/>
      <c r="E123" s="1441" t="s">
        <v>1007</v>
      </c>
      <c r="F123" s="1441"/>
      <c r="G123" s="1441"/>
      <c r="H123" s="1161"/>
      <c r="I123" s="390"/>
      <c r="J123" s="426"/>
      <c r="L123" s="146"/>
    </row>
    <row r="124" spans="1:12" s="166" customFormat="1" ht="17.3" customHeight="1">
      <c r="A124" s="1046"/>
      <c r="B124" s="344"/>
      <c r="C124" s="1149" t="s">
        <v>1126</v>
      </c>
      <c r="D124" s="422"/>
      <c r="E124" s="1413" t="s">
        <v>652</v>
      </c>
      <c r="F124" s="1413"/>
      <c r="G124" s="1413"/>
      <c r="H124" s="1201"/>
      <c r="I124" s="1180">
        <v>4.5</v>
      </c>
      <c r="J124" s="1197">
        <f>IF(L124,I124,0)</f>
        <v>0</v>
      </c>
      <c r="L124" s="146" t="b">
        <v>0</v>
      </c>
    </row>
    <row r="125" spans="1:12" s="166" customFormat="1" ht="55.15" customHeight="1">
      <c r="A125" s="1046"/>
      <c r="B125" s="348"/>
      <c r="C125" s="378"/>
      <c r="D125" s="373"/>
      <c r="E125" s="1444" t="s">
        <v>746</v>
      </c>
      <c r="F125" s="1444"/>
      <c r="G125" s="1444"/>
      <c r="H125" s="1161"/>
      <c r="I125" s="390"/>
      <c r="J125" s="426"/>
      <c r="L125" s="146"/>
    </row>
    <row r="126" spans="1:12" s="166" customFormat="1" ht="17.3" customHeight="1">
      <c r="A126" s="1046"/>
      <c r="B126" s="344"/>
      <c r="C126" s="1149" t="s">
        <v>1127</v>
      </c>
      <c r="D126" s="422"/>
      <c r="E126" s="1413" t="s">
        <v>748</v>
      </c>
      <c r="F126" s="1413"/>
      <c r="G126" s="1413"/>
      <c r="H126" s="1201"/>
      <c r="I126" s="1180">
        <v>0.5</v>
      </c>
      <c r="J126" s="1197">
        <f t="shared" ref="J126" si="9">IF(L126,I126,0)</f>
        <v>0</v>
      </c>
      <c r="L126" s="146" t="b">
        <v>0</v>
      </c>
    </row>
    <row r="127" spans="1:12" s="166" customFormat="1" ht="15" customHeight="1">
      <c r="A127" s="1046"/>
      <c r="B127" s="348"/>
      <c r="C127" s="378"/>
      <c r="D127" s="373"/>
      <c r="E127" s="1444" t="s">
        <v>747</v>
      </c>
      <c r="F127" s="1444"/>
      <c r="G127" s="1444"/>
      <c r="H127" s="1161"/>
      <c r="I127" s="390"/>
      <c r="J127" s="426"/>
      <c r="L127" s="146"/>
    </row>
    <row r="128" spans="1:12" s="166" customFormat="1" ht="17.3" customHeight="1">
      <c r="A128" s="1046"/>
      <c r="B128" s="344"/>
      <c r="C128" s="1149" t="s">
        <v>1128</v>
      </c>
      <c r="D128" s="422"/>
      <c r="E128" s="1414" t="s">
        <v>263</v>
      </c>
      <c r="F128" s="1414"/>
      <c r="G128" s="1414"/>
      <c r="H128" s="1181"/>
      <c r="I128" s="1180">
        <v>0.25</v>
      </c>
      <c r="J128" s="1197">
        <f>IF(L128,I128,0)</f>
        <v>0</v>
      </c>
      <c r="L128" s="146" t="b">
        <v>0</v>
      </c>
    </row>
    <row r="129" spans="1:12" s="166" customFormat="1" ht="29.95" customHeight="1">
      <c r="A129" s="1046"/>
      <c r="B129" s="348"/>
      <c r="C129" s="378"/>
      <c r="D129" s="373"/>
      <c r="E129" s="1444" t="s">
        <v>749</v>
      </c>
      <c r="F129" s="1444"/>
      <c r="G129" s="1444"/>
      <c r="H129" s="1161"/>
      <c r="I129" s="390"/>
      <c r="J129" s="426"/>
      <c r="L129" s="146"/>
    </row>
    <row r="130" spans="1:12" s="166" customFormat="1" ht="17.3" customHeight="1">
      <c r="A130" s="1046"/>
      <c r="B130" s="344"/>
      <c r="C130" s="1149" t="s">
        <v>1129</v>
      </c>
      <c r="D130" s="422"/>
      <c r="E130" s="1413" t="s">
        <v>654</v>
      </c>
      <c r="F130" s="1413"/>
      <c r="G130" s="1413"/>
      <c r="H130" s="1181"/>
      <c r="I130" s="1180">
        <v>0.5</v>
      </c>
      <c r="J130" s="1197">
        <f>IF(L130,I130,0)</f>
        <v>0</v>
      </c>
      <c r="L130" s="146" t="b">
        <v>0</v>
      </c>
    </row>
    <row r="131" spans="1:12" s="166" customFormat="1" ht="15" customHeight="1">
      <c r="A131" s="1046"/>
      <c r="B131" s="348"/>
      <c r="C131" s="378"/>
      <c r="D131" s="373"/>
      <c r="E131" s="1479" t="s">
        <v>655</v>
      </c>
      <c r="F131" s="1479"/>
      <c r="G131" s="1479"/>
      <c r="H131" s="1161"/>
      <c r="I131" s="390"/>
      <c r="J131" s="426"/>
      <c r="L131" s="146"/>
    </row>
    <row r="132" spans="1:12" s="166" customFormat="1" ht="17.3" customHeight="1">
      <c r="A132" s="1046"/>
      <c r="B132" s="344"/>
      <c r="C132" s="1149" t="s">
        <v>1136</v>
      </c>
      <c r="D132" s="422"/>
      <c r="E132" s="1443" t="s">
        <v>750</v>
      </c>
      <c r="F132" s="1443"/>
      <c r="G132" s="1443"/>
      <c r="H132" s="1193"/>
      <c r="I132" s="1180">
        <v>0.15</v>
      </c>
      <c r="J132" s="1197">
        <f>IF(L132,I132,0)</f>
        <v>0</v>
      </c>
      <c r="L132" s="146" t="b">
        <v>0</v>
      </c>
    </row>
    <row r="133" spans="1:12" s="166" customFormat="1" ht="45.1" customHeight="1">
      <c r="A133" s="1046"/>
      <c r="B133" s="348"/>
      <c r="C133" s="378"/>
      <c r="D133" s="373"/>
      <c r="E133" s="1444" t="s">
        <v>751</v>
      </c>
      <c r="F133" s="1444"/>
      <c r="G133" s="1444"/>
      <c r="H133" s="1161"/>
      <c r="I133" s="390"/>
      <c r="J133" s="426"/>
      <c r="L133" s="146"/>
    </row>
    <row r="134" spans="1:12" s="166" customFormat="1" ht="17.3" customHeight="1">
      <c r="A134" s="1046"/>
      <c r="B134" s="370"/>
      <c r="C134" s="1149" t="s">
        <v>1130</v>
      </c>
      <c r="D134" s="422"/>
      <c r="E134" s="1414" t="s">
        <v>413</v>
      </c>
      <c r="F134" s="1414"/>
      <c r="G134" s="1414"/>
      <c r="H134" s="1181"/>
      <c r="I134" s="1180">
        <v>0.1</v>
      </c>
      <c r="J134" s="1197">
        <f>IF(L134,I134-0.1,0)</f>
        <v>0</v>
      </c>
      <c r="L134" s="148" t="b">
        <v>0</v>
      </c>
    </row>
    <row r="135" spans="1:12" s="166" customFormat="1" ht="15" customHeight="1">
      <c r="A135" s="1046"/>
      <c r="B135" s="343"/>
      <c r="C135" s="378"/>
      <c r="D135" s="373"/>
      <c r="E135" s="1429"/>
      <c r="F135" s="1429"/>
      <c r="G135" s="1429"/>
      <c r="H135" s="346"/>
      <c r="I135" s="390"/>
      <c r="J135" s="386"/>
      <c r="L135" s="146"/>
    </row>
    <row r="136" spans="1:12" s="166" customFormat="1" ht="15" customHeight="1" thickBot="1">
      <c r="A136" s="1046"/>
      <c r="B136" s="351"/>
      <c r="C136" s="378"/>
      <c r="D136" s="373"/>
      <c r="E136" s="1476" t="s">
        <v>692</v>
      </c>
      <c r="F136" s="1476"/>
      <c r="G136" s="1476"/>
      <c r="H136" s="1204"/>
      <c r="I136" s="1178"/>
      <c r="J136" s="426"/>
      <c r="L136" s="146"/>
    </row>
    <row r="137" spans="1:12" s="166" customFormat="1" ht="22.5" customHeight="1" thickBot="1">
      <c r="A137" s="1046"/>
      <c r="B137" s="353"/>
      <c r="C137" s="364"/>
      <c r="D137" s="364"/>
      <c r="E137" s="354"/>
      <c r="F137" s="355"/>
      <c r="G137" s="355"/>
      <c r="H137" s="356" t="s">
        <v>768</v>
      </c>
      <c r="I137" s="357">
        <f>IF($M$3,SUM(I122:I136),0)</f>
        <v>0</v>
      </c>
      <c r="J137" s="358">
        <f>IF($M$3,SUMIF(L122:L136,TRUE,J122:J136),0)</f>
        <v>0</v>
      </c>
      <c r="L137" s="146"/>
    </row>
    <row r="138" spans="1:12" s="166" customFormat="1" ht="16.7">
      <c r="A138" s="1046"/>
      <c r="B138" s="368"/>
      <c r="C138" s="365"/>
      <c r="D138" s="365"/>
      <c r="E138" s="366"/>
      <c r="F138" s="79"/>
      <c r="G138" s="79"/>
      <c r="H138" s="352"/>
      <c r="I138" s="369"/>
      <c r="J138" s="367"/>
      <c r="L138" s="146"/>
    </row>
    <row r="139" spans="1:12" s="166" customFormat="1" ht="29.95" customHeight="1">
      <c r="A139" s="1046"/>
      <c r="B139" s="1469" t="s">
        <v>752</v>
      </c>
      <c r="C139" s="1470"/>
      <c r="D139" s="1470"/>
      <c r="E139" s="1470"/>
      <c r="F139" s="1470"/>
      <c r="G139" s="1470"/>
      <c r="H139" s="1470"/>
      <c r="I139" s="1470"/>
      <c r="J139" s="1471"/>
      <c r="L139" s="146"/>
    </row>
    <row r="140" spans="1:12" s="166" customFormat="1" ht="17.3" customHeight="1">
      <c r="A140" s="1046"/>
      <c r="B140" s="370"/>
      <c r="C140" s="1205" t="s">
        <v>1125</v>
      </c>
      <c r="D140" s="373"/>
      <c r="E140" s="1449" t="s">
        <v>414</v>
      </c>
      <c r="F140" s="1449"/>
      <c r="G140" s="1449"/>
      <c r="H140" s="37"/>
      <c r="I140" s="1182">
        <v>0.1</v>
      </c>
      <c r="J140" s="1195">
        <f>IF(L140,I140-0.25,0)</f>
        <v>0</v>
      </c>
      <c r="L140" s="148" t="b">
        <v>0</v>
      </c>
    </row>
    <row r="141" spans="1:12" s="166" customFormat="1" ht="15" customHeight="1">
      <c r="A141" s="1046"/>
      <c r="B141" s="343"/>
      <c r="C141" s="378"/>
      <c r="D141" s="373"/>
      <c r="E141" s="1429"/>
      <c r="F141" s="1429"/>
      <c r="G141" s="1429"/>
      <c r="H141" s="346"/>
      <c r="I141" s="390"/>
      <c r="J141" s="386"/>
      <c r="L141" s="146"/>
    </row>
    <row r="142" spans="1:12" s="166" customFormat="1" ht="15" customHeight="1">
      <c r="A142" s="1046"/>
      <c r="B142" s="351"/>
      <c r="C142" s="378"/>
      <c r="D142" s="373"/>
      <c r="E142" s="1485" t="s">
        <v>692</v>
      </c>
      <c r="F142" s="1485"/>
      <c r="G142" s="1485"/>
      <c r="H142" s="1204"/>
      <c r="I142" s="1178"/>
      <c r="J142" s="426"/>
      <c r="L142" s="146"/>
    </row>
    <row r="143" spans="1:12" s="166" customFormat="1" ht="17.3" customHeight="1">
      <c r="A143" s="1046"/>
      <c r="B143" s="344"/>
      <c r="C143" s="1149" t="s">
        <v>1126</v>
      </c>
      <c r="D143" s="422"/>
      <c r="E143" s="1413" t="s">
        <v>755</v>
      </c>
      <c r="F143" s="1413"/>
      <c r="G143" s="1413"/>
      <c r="H143" s="1181"/>
      <c r="I143" s="1180">
        <v>2.25</v>
      </c>
      <c r="J143" s="1197">
        <f>IF(L143,I143-1,0)</f>
        <v>0</v>
      </c>
      <c r="L143" s="146" t="b">
        <v>0</v>
      </c>
    </row>
    <row r="144" spans="1:12" s="166" customFormat="1" ht="15" customHeight="1">
      <c r="A144" s="1046"/>
      <c r="B144" s="343"/>
      <c r="C144" s="378"/>
      <c r="D144" s="373"/>
      <c r="E144" s="1429"/>
      <c r="F144" s="1429"/>
      <c r="G144" s="1429"/>
      <c r="H144" s="346"/>
      <c r="I144" s="390"/>
      <c r="J144" s="386"/>
      <c r="L144" s="146"/>
    </row>
    <row r="145" spans="1:12" s="166" customFormat="1" ht="24.05" customHeight="1">
      <c r="A145" s="1046"/>
      <c r="B145" s="351"/>
      <c r="C145" s="378"/>
      <c r="D145" s="373"/>
      <c r="E145" s="1405" t="s">
        <v>753</v>
      </c>
      <c r="F145" s="1405"/>
      <c r="G145" s="1405"/>
      <c r="H145" s="1405"/>
      <c r="I145" s="1178"/>
      <c r="J145" s="426"/>
      <c r="L145" s="146"/>
    </row>
    <row r="146" spans="1:12" s="166" customFormat="1" ht="17.3" customHeight="1">
      <c r="A146" s="1046"/>
      <c r="B146" s="344"/>
      <c r="C146" s="1149" t="s">
        <v>1127</v>
      </c>
      <c r="D146" s="422"/>
      <c r="E146" s="1413" t="s">
        <v>656</v>
      </c>
      <c r="F146" s="1413"/>
      <c r="G146" s="1413"/>
      <c r="H146" s="1181"/>
      <c r="I146" s="1180">
        <v>0.4</v>
      </c>
      <c r="J146" s="1197">
        <f t="shared" ref="J146:J158" si="10">IF(L146,I146,0)</f>
        <v>0</v>
      </c>
      <c r="L146" s="146" t="b">
        <v>0</v>
      </c>
    </row>
    <row r="147" spans="1:12" s="166" customFormat="1" ht="15" customHeight="1">
      <c r="A147" s="1046"/>
      <c r="B147" s="348"/>
      <c r="C147" s="378"/>
      <c r="D147" s="373"/>
      <c r="E147" s="1479" t="s">
        <v>657</v>
      </c>
      <c r="F147" s="1479"/>
      <c r="G147" s="1479"/>
      <c r="H147" s="1161"/>
      <c r="I147" s="390"/>
      <c r="J147" s="426"/>
      <c r="L147" s="146"/>
    </row>
    <row r="148" spans="1:12" s="166" customFormat="1" ht="17.3" customHeight="1">
      <c r="A148" s="1046"/>
      <c r="B148" s="344"/>
      <c r="C148" s="1149" t="s">
        <v>1128</v>
      </c>
      <c r="D148" s="422"/>
      <c r="E148" s="1413" t="s">
        <v>756</v>
      </c>
      <c r="F148" s="1413"/>
      <c r="G148" s="1413"/>
      <c r="H148" s="1175"/>
      <c r="I148" s="1180">
        <v>0.25</v>
      </c>
      <c r="J148" s="1197">
        <f>IF(L148,I148-0.1,0)</f>
        <v>0</v>
      </c>
      <c r="L148" s="146" t="b">
        <v>0</v>
      </c>
    </row>
    <row r="149" spans="1:12" s="166" customFormat="1" ht="15" customHeight="1">
      <c r="A149" s="1046"/>
      <c r="B149" s="343"/>
      <c r="C149" s="378"/>
      <c r="D149" s="373"/>
      <c r="E149" s="1429"/>
      <c r="F149" s="1429"/>
      <c r="G149" s="1429"/>
      <c r="H149" s="346"/>
      <c r="I149" s="390"/>
      <c r="J149" s="386"/>
      <c r="L149" s="146"/>
    </row>
    <row r="150" spans="1:12" s="166" customFormat="1" ht="25.2" customHeight="1">
      <c r="A150" s="1046"/>
      <c r="B150" s="351"/>
      <c r="C150" s="378"/>
      <c r="D150" s="373"/>
      <c r="E150" s="1481" t="s">
        <v>754</v>
      </c>
      <c r="F150" s="1481"/>
      <c r="G150" s="1481"/>
      <c r="H150" s="1204"/>
      <c r="I150" s="1178"/>
      <c r="J150" s="426"/>
      <c r="L150" s="146"/>
    </row>
    <row r="151" spans="1:12" s="166" customFormat="1" ht="17.3" customHeight="1">
      <c r="A151" s="1046"/>
      <c r="B151" s="344"/>
      <c r="C151" s="1149" t="s">
        <v>1129</v>
      </c>
      <c r="D151" s="422"/>
      <c r="E151" s="1414" t="s">
        <v>270</v>
      </c>
      <c r="F151" s="1414"/>
      <c r="G151" s="1414"/>
      <c r="H151" s="1181"/>
      <c r="I151" s="1180">
        <v>0.5</v>
      </c>
      <c r="J151" s="1197">
        <f t="shared" si="10"/>
        <v>0</v>
      </c>
      <c r="L151" s="146" t="b">
        <v>0</v>
      </c>
    </row>
    <row r="152" spans="1:12" s="166" customFormat="1" ht="15" customHeight="1">
      <c r="A152" s="1046"/>
      <c r="B152" s="343"/>
      <c r="C152" s="378"/>
      <c r="D152" s="373"/>
      <c r="E152" s="1441"/>
      <c r="F152" s="1441"/>
      <c r="G152" s="1441"/>
      <c r="H152" s="346"/>
      <c r="I152" s="390"/>
      <c r="J152" s="386"/>
      <c r="L152" s="146"/>
    </row>
    <row r="153" spans="1:12" s="166" customFormat="1" ht="17.3" customHeight="1">
      <c r="A153" s="1046"/>
      <c r="B153" s="370"/>
      <c r="C153" s="1149" t="s">
        <v>1136</v>
      </c>
      <c r="D153" s="422"/>
      <c r="E153" s="1414" t="s">
        <v>419</v>
      </c>
      <c r="F153" s="1414"/>
      <c r="G153" s="1414"/>
      <c r="H153" s="1181"/>
      <c r="I153" s="1180">
        <v>0.1</v>
      </c>
      <c r="J153" s="1197">
        <f>IF(L153,I153-0.1,0)</f>
        <v>0</v>
      </c>
      <c r="L153" s="148" t="b">
        <v>0</v>
      </c>
    </row>
    <row r="154" spans="1:12" s="166" customFormat="1" ht="15" customHeight="1">
      <c r="A154" s="1046"/>
      <c r="B154" s="343"/>
      <c r="C154" s="378"/>
      <c r="D154" s="373"/>
      <c r="E154" s="1429"/>
      <c r="F154" s="1429"/>
      <c r="G154" s="1429"/>
      <c r="H154" s="346"/>
      <c r="I154" s="390"/>
      <c r="J154" s="386"/>
      <c r="L154" s="146"/>
    </row>
    <row r="155" spans="1:12" s="166" customFormat="1" ht="15" customHeight="1">
      <c r="A155" s="1046"/>
      <c r="B155" s="351"/>
      <c r="C155" s="378"/>
      <c r="D155" s="373"/>
      <c r="E155" s="1485" t="s">
        <v>692</v>
      </c>
      <c r="F155" s="1485"/>
      <c r="G155" s="1485"/>
      <c r="H155" s="1204"/>
      <c r="I155" s="1178"/>
      <c r="J155" s="426"/>
      <c r="L155" s="146"/>
    </row>
    <row r="156" spans="1:12" s="166" customFormat="1" ht="16.850000000000001" customHeight="1">
      <c r="A156" s="1046"/>
      <c r="B156" s="344"/>
      <c r="C156" s="1149" t="s">
        <v>1130</v>
      </c>
      <c r="D156" s="422"/>
      <c r="E156" s="1414" t="s">
        <v>658</v>
      </c>
      <c r="F156" s="1414"/>
      <c r="G156" s="1414"/>
      <c r="H156" s="1181"/>
      <c r="I156" s="1180">
        <v>0.25</v>
      </c>
      <c r="J156" s="1197">
        <f t="shared" si="10"/>
        <v>0</v>
      </c>
      <c r="L156" s="146" t="b">
        <v>0</v>
      </c>
    </row>
    <row r="157" spans="1:12" s="166" customFormat="1" ht="45.1" customHeight="1">
      <c r="A157" s="1046"/>
      <c r="B157" s="348"/>
      <c r="C157" s="378"/>
      <c r="D157" s="373"/>
      <c r="E157" s="1444" t="s">
        <v>757</v>
      </c>
      <c r="F157" s="1444"/>
      <c r="G157" s="1444"/>
      <c r="H157" s="1161"/>
      <c r="I157" s="390"/>
      <c r="J157" s="426"/>
      <c r="L157" s="146"/>
    </row>
    <row r="158" spans="1:12" s="166" customFormat="1" ht="17.3" customHeight="1">
      <c r="A158" s="1046"/>
      <c r="B158" s="344"/>
      <c r="C158" s="1149" t="s">
        <v>1131</v>
      </c>
      <c r="D158" s="422"/>
      <c r="E158" s="1414" t="s">
        <v>272</v>
      </c>
      <c r="F158" s="1414"/>
      <c r="G158" s="1414"/>
      <c r="H158" s="1181"/>
      <c r="I158" s="1180">
        <v>0.15</v>
      </c>
      <c r="J158" s="1197">
        <f t="shared" si="10"/>
        <v>0</v>
      </c>
      <c r="L158" s="146" t="b">
        <v>0</v>
      </c>
    </row>
    <row r="159" spans="1:12" s="166" customFormat="1" ht="15" customHeight="1" thickBot="1">
      <c r="A159" s="1046"/>
      <c r="B159" s="343"/>
      <c r="C159" s="378"/>
      <c r="D159" s="373"/>
      <c r="E159" s="1465"/>
      <c r="F159" s="1465"/>
      <c r="G159" s="1465"/>
      <c r="H159" s="346"/>
      <c r="I159" s="390"/>
      <c r="J159" s="386"/>
      <c r="L159" s="146"/>
    </row>
    <row r="160" spans="1:12" s="166" customFormat="1" ht="22.2" customHeight="1" thickBot="1">
      <c r="A160" s="1046"/>
      <c r="B160" s="353"/>
      <c r="C160" s="364"/>
      <c r="D160" s="364"/>
      <c r="E160" s="354"/>
      <c r="F160" s="355"/>
      <c r="G160" s="355"/>
      <c r="H160" s="356" t="s">
        <v>759</v>
      </c>
      <c r="I160" s="357">
        <f>IF($M$3,SUM(I140:I158),0)</f>
        <v>0</v>
      </c>
      <c r="J160" s="358">
        <f>IF($M$3,SUMIF(L140:L158,TRUE,J140:J158),0)</f>
        <v>0</v>
      </c>
      <c r="L160" s="146"/>
    </row>
    <row r="161" spans="1:12" s="166" customFormat="1" ht="16.7">
      <c r="A161" s="1046"/>
      <c r="B161" s="368"/>
      <c r="C161" s="365"/>
      <c r="D161" s="365"/>
      <c r="E161" s="366"/>
      <c r="F161" s="79"/>
      <c r="G161" s="79"/>
      <c r="H161" s="352"/>
      <c r="I161" s="369"/>
      <c r="J161" s="367"/>
      <c r="L161" s="146"/>
    </row>
    <row r="162" spans="1:12" s="166" customFormat="1" ht="29.95" customHeight="1">
      <c r="A162" s="1046"/>
      <c r="B162" s="1469" t="s">
        <v>758</v>
      </c>
      <c r="C162" s="1470"/>
      <c r="D162" s="1470"/>
      <c r="E162" s="1470"/>
      <c r="F162" s="1470"/>
      <c r="G162" s="1470"/>
      <c r="H162" s="1470"/>
      <c r="I162" s="1470"/>
      <c r="J162" s="1471"/>
      <c r="L162" s="146"/>
    </row>
    <row r="163" spans="1:12" s="166" customFormat="1" ht="16.850000000000001" customHeight="1">
      <c r="A163" s="1046"/>
      <c r="B163" s="344"/>
      <c r="C163" s="1149" t="s">
        <v>1125</v>
      </c>
      <c r="D163" s="422"/>
      <c r="E163" s="1408" t="s">
        <v>1143</v>
      </c>
      <c r="F163" s="1408"/>
      <c r="G163" s="1408"/>
      <c r="H163" s="1184"/>
      <c r="I163" s="1182">
        <v>8.25</v>
      </c>
      <c r="J163" s="1197">
        <f t="shared" ref="J163" si="11">IF(L163,I163,0)</f>
        <v>0</v>
      </c>
      <c r="L163" s="146" t="b">
        <v>0</v>
      </c>
    </row>
    <row r="164" spans="1:12" s="166" customFormat="1" ht="45.1" customHeight="1">
      <c r="A164" s="1046"/>
      <c r="B164" s="348"/>
      <c r="C164" s="378"/>
      <c r="D164" s="373"/>
      <c r="E164" s="1409" t="s">
        <v>661</v>
      </c>
      <c r="F164" s="1409"/>
      <c r="G164" s="1409"/>
      <c r="H164" s="431"/>
      <c r="I164" s="390"/>
      <c r="J164" s="426"/>
      <c r="L164" s="146"/>
    </row>
    <row r="165" spans="1:12" s="166" customFormat="1" ht="17.3" customHeight="1">
      <c r="A165" s="1046"/>
      <c r="B165" s="344"/>
      <c r="C165" s="1149" t="s">
        <v>1126</v>
      </c>
      <c r="D165" s="422"/>
      <c r="E165" s="1413" t="s">
        <v>1008</v>
      </c>
      <c r="F165" s="1414"/>
      <c r="G165" s="1414"/>
      <c r="H165" s="1181"/>
      <c r="I165" s="1180">
        <v>0.7</v>
      </c>
      <c r="J165" s="1197">
        <f t="shared" ref="J165:J182" si="12">IF(L165,I165,0)</f>
        <v>0</v>
      </c>
      <c r="L165" s="146" t="b">
        <v>0</v>
      </c>
    </row>
    <row r="166" spans="1:12" s="166" customFormat="1" ht="15" customHeight="1">
      <c r="A166" s="1046"/>
      <c r="B166" s="343"/>
      <c r="C166" s="378"/>
      <c r="D166" s="373"/>
      <c r="E166" s="1441" t="s">
        <v>1009</v>
      </c>
      <c r="F166" s="1441"/>
      <c r="G166" s="1441"/>
      <c r="H166" s="346"/>
      <c r="I166" s="390"/>
      <c r="J166" s="386"/>
      <c r="L166" s="146"/>
    </row>
    <row r="167" spans="1:12" s="166" customFormat="1" ht="17.3" customHeight="1">
      <c r="A167" s="1046"/>
      <c r="B167" s="344"/>
      <c r="C167" s="1149" t="s">
        <v>1127</v>
      </c>
      <c r="D167" s="422"/>
      <c r="E167" s="1413" t="s">
        <v>1011</v>
      </c>
      <c r="F167" s="1413"/>
      <c r="G167" s="1413"/>
      <c r="H167" s="1175"/>
      <c r="I167" s="1180">
        <v>0.25</v>
      </c>
      <c r="J167" s="1197">
        <f t="shared" si="12"/>
        <v>0</v>
      </c>
      <c r="L167" s="146" t="b">
        <v>0</v>
      </c>
    </row>
    <row r="168" spans="1:12" s="166" customFormat="1" ht="15" customHeight="1">
      <c r="A168" s="1046"/>
      <c r="B168" s="348"/>
      <c r="C168" s="378"/>
      <c r="D168" s="373"/>
      <c r="E168" s="1444" t="s">
        <v>1010</v>
      </c>
      <c r="F168" s="1444"/>
      <c r="G168" s="1444"/>
      <c r="H168" s="1161"/>
      <c r="I168" s="390"/>
      <c r="J168" s="426"/>
      <c r="L168" s="146"/>
    </row>
    <row r="169" spans="1:12" s="166" customFormat="1" ht="17.3" customHeight="1">
      <c r="A169" s="1046"/>
      <c r="B169" s="344"/>
      <c r="C169" s="1149" t="s">
        <v>1128</v>
      </c>
      <c r="D169" s="422"/>
      <c r="E169" s="1413" t="s">
        <v>1013</v>
      </c>
      <c r="F169" s="1414"/>
      <c r="G169" s="1414"/>
      <c r="H169" s="1175"/>
      <c r="I169" s="1180">
        <v>1.25</v>
      </c>
      <c r="J169" s="1206">
        <f t="shared" si="12"/>
        <v>0</v>
      </c>
      <c r="L169" s="146" t="b">
        <v>0</v>
      </c>
    </row>
    <row r="170" spans="1:12" s="166" customFormat="1" ht="15" customHeight="1">
      <c r="A170" s="1046"/>
      <c r="B170" s="343"/>
      <c r="C170" s="378"/>
      <c r="D170" s="373"/>
      <c r="E170" s="1441" t="s">
        <v>862</v>
      </c>
      <c r="F170" s="1441"/>
      <c r="G170" s="1441"/>
      <c r="H170" s="346"/>
      <c r="I170" s="390"/>
      <c r="J170" s="386"/>
      <c r="L170" s="146"/>
    </row>
    <row r="171" spans="1:12" s="166" customFormat="1" ht="16.850000000000001" customHeight="1">
      <c r="A171" s="1046"/>
      <c r="B171" s="344"/>
      <c r="C171" s="1149" t="s">
        <v>1129</v>
      </c>
      <c r="D171" s="422"/>
      <c r="E171" s="1413" t="s">
        <v>760</v>
      </c>
      <c r="F171" s="1413"/>
      <c r="G171" s="1413"/>
      <c r="H171" s="1175"/>
      <c r="I171" s="1180">
        <v>2.5</v>
      </c>
      <c r="J171" s="1197">
        <f>IF(L171,I171-0.5,0)</f>
        <v>0</v>
      </c>
      <c r="L171" s="146" t="b">
        <v>0</v>
      </c>
    </row>
    <row r="172" spans="1:12" s="166" customFormat="1" ht="55.15" customHeight="1">
      <c r="A172" s="1046"/>
      <c r="B172" s="348"/>
      <c r="C172" s="378"/>
      <c r="D172" s="373"/>
      <c r="E172" s="1409" t="s">
        <v>1012</v>
      </c>
      <c r="F172" s="1409"/>
      <c r="G172" s="1409"/>
      <c r="H172" s="1161"/>
      <c r="I172" s="390"/>
      <c r="J172" s="426"/>
      <c r="L172" s="146"/>
    </row>
    <row r="173" spans="1:12" s="166" customFormat="1" ht="12.85" customHeight="1">
      <c r="A173" s="1046"/>
      <c r="B173" s="351"/>
      <c r="C173" s="378"/>
      <c r="D173" s="373"/>
      <c r="E173" s="1405" t="s">
        <v>762</v>
      </c>
      <c r="F173" s="1405"/>
      <c r="G173" s="1405"/>
      <c r="H173" s="1405"/>
      <c r="I173" s="1178"/>
      <c r="J173" s="426"/>
      <c r="L173" s="146"/>
    </row>
    <row r="174" spans="1:12" s="166" customFormat="1" ht="17.3" customHeight="1">
      <c r="A174" s="1046"/>
      <c r="B174" s="344"/>
      <c r="C174" s="1149" t="s">
        <v>1136</v>
      </c>
      <c r="D174" s="422"/>
      <c r="E174" s="1414" t="s">
        <v>277</v>
      </c>
      <c r="F174" s="1414"/>
      <c r="G174" s="1414"/>
      <c r="H174" s="1175"/>
      <c r="I174" s="1180">
        <v>0.4</v>
      </c>
      <c r="J174" s="1197">
        <f>IF(L174,I174-0.2,0)</f>
        <v>0</v>
      </c>
      <c r="L174" s="146" t="b">
        <v>0</v>
      </c>
    </row>
    <row r="175" spans="1:12" s="166" customFormat="1" ht="15" customHeight="1">
      <c r="A175" s="1046"/>
      <c r="B175" s="343"/>
      <c r="C175" s="378"/>
      <c r="D175" s="373"/>
      <c r="E175" s="1429"/>
      <c r="F175" s="1429"/>
      <c r="G175" s="1429"/>
      <c r="H175" s="346"/>
      <c r="I175" s="390"/>
      <c r="J175" s="386"/>
      <c r="L175" s="146"/>
    </row>
    <row r="176" spans="1:12" s="166" customFormat="1" ht="12.85" customHeight="1">
      <c r="A176" s="1046"/>
      <c r="B176" s="351"/>
      <c r="C176" s="378"/>
      <c r="D176" s="373"/>
      <c r="E176" s="1405" t="s">
        <v>764</v>
      </c>
      <c r="F176" s="1405"/>
      <c r="G176" s="1405"/>
      <c r="H176" s="1405"/>
      <c r="I176" s="1178"/>
      <c r="J176" s="426"/>
      <c r="L176" s="146"/>
    </row>
    <row r="177" spans="1:12" s="166" customFormat="1" ht="17.3" customHeight="1">
      <c r="A177" s="1046"/>
      <c r="B177" s="344"/>
      <c r="C177" s="1149" t="s">
        <v>1130</v>
      </c>
      <c r="D177" s="422"/>
      <c r="E177" s="1413" t="s">
        <v>666</v>
      </c>
      <c r="F177" s="1413"/>
      <c r="G177" s="1413"/>
      <c r="H177" s="1175"/>
      <c r="I177" s="1180">
        <v>0.4</v>
      </c>
      <c r="J177" s="1197">
        <f t="shared" si="12"/>
        <v>0</v>
      </c>
      <c r="L177" s="146" t="b">
        <v>0</v>
      </c>
    </row>
    <row r="178" spans="1:12" s="166" customFormat="1" ht="15" customHeight="1">
      <c r="A178" s="1046"/>
      <c r="B178" s="348"/>
      <c r="C178" s="378"/>
      <c r="D178" s="373"/>
      <c r="E178" s="1479" t="s">
        <v>667</v>
      </c>
      <c r="F178" s="1479"/>
      <c r="G178" s="1479"/>
      <c r="H178" s="1161"/>
      <c r="I178" s="390"/>
      <c r="J178" s="426"/>
      <c r="L178" s="146"/>
    </row>
    <row r="179" spans="1:12" s="166" customFormat="1" ht="17.3" customHeight="1">
      <c r="A179" s="1046"/>
      <c r="B179" s="344"/>
      <c r="C179" s="1149" t="s">
        <v>1131</v>
      </c>
      <c r="D179" s="422"/>
      <c r="E179" s="1413" t="s">
        <v>763</v>
      </c>
      <c r="F179" s="1413"/>
      <c r="G179" s="1413"/>
      <c r="H179" s="1175"/>
      <c r="I179" s="1180">
        <v>0.35</v>
      </c>
      <c r="J179" s="1197">
        <f>IF(L179,I179-0.2,0)</f>
        <v>0</v>
      </c>
      <c r="L179" s="146" t="b">
        <v>0</v>
      </c>
    </row>
    <row r="180" spans="1:12" s="166" customFormat="1" ht="15" customHeight="1">
      <c r="A180" s="1046"/>
      <c r="B180" s="348"/>
      <c r="C180" s="378"/>
      <c r="D180" s="373"/>
      <c r="E180" s="1409" t="s">
        <v>788</v>
      </c>
      <c r="F180" s="1409"/>
      <c r="G180" s="1409"/>
      <c r="H180" s="1161"/>
      <c r="I180" s="390"/>
      <c r="J180" s="426"/>
      <c r="L180" s="146"/>
    </row>
    <row r="181" spans="1:12" s="166" customFormat="1" ht="12.85" customHeight="1">
      <c r="A181" s="1046"/>
      <c r="B181" s="351"/>
      <c r="C181" s="378"/>
      <c r="D181" s="373"/>
      <c r="E181" s="1405" t="s">
        <v>765</v>
      </c>
      <c r="F181" s="1405"/>
      <c r="G181" s="1405"/>
      <c r="H181" s="1405"/>
      <c r="I181" s="1178"/>
      <c r="J181" s="426"/>
      <c r="L181" s="146"/>
    </row>
    <row r="182" spans="1:12" s="166" customFormat="1" ht="17.3" customHeight="1">
      <c r="A182" s="1046"/>
      <c r="B182" s="344"/>
      <c r="C182" s="1149" t="s">
        <v>1132</v>
      </c>
      <c r="D182" s="422"/>
      <c r="E182" s="1414" t="s">
        <v>281</v>
      </c>
      <c r="F182" s="1414"/>
      <c r="G182" s="1414"/>
      <c r="H182" s="1175"/>
      <c r="I182" s="1180">
        <v>0.15</v>
      </c>
      <c r="J182" s="1197">
        <f t="shared" si="12"/>
        <v>0</v>
      </c>
      <c r="L182" s="146" t="b">
        <v>0</v>
      </c>
    </row>
    <row r="183" spans="1:12" s="166" customFormat="1" ht="15" customHeight="1">
      <c r="A183" s="1046"/>
      <c r="B183" s="343"/>
      <c r="C183" s="378"/>
      <c r="D183" s="373"/>
      <c r="E183" s="1441"/>
      <c r="F183" s="1441"/>
      <c r="G183" s="1441"/>
      <c r="H183" s="346"/>
      <c r="I183" s="390"/>
      <c r="J183" s="386"/>
      <c r="L183" s="146"/>
    </row>
    <row r="184" spans="1:12" s="166" customFormat="1" ht="16.850000000000001" customHeight="1">
      <c r="A184" s="1046"/>
      <c r="B184" s="344"/>
      <c r="C184" s="1149" t="s">
        <v>1133</v>
      </c>
      <c r="D184" s="422"/>
      <c r="E184" s="1413" t="s">
        <v>668</v>
      </c>
      <c r="F184" s="1413"/>
      <c r="G184" s="1413"/>
      <c r="H184" s="1175"/>
      <c r="I184" s="1180">
        <v>0.75</v>
      </c>
      <c r="J184" s="1197">
        <f>IF(L184,I184,0)</f>
        <v>0</v>
      </c>
      <c r="L184" s="146" t="b">
        <v>0</v>
      </c>
    </row>
    <row r="185" spans="1:12" s="166" customFormat="1" ht="15" customHeight="1" thickBot="1">
      <c r="A185" s="1046"/>
      <c r="B185" s="348"/>
      <c r="C185" s="378"/>
      <c r="D185" s="373"/>
      <c r="E185" s="1478" t="s">
        <v>669</v>
      </c>
      <c r="F185" s="1478"/>
      <c r="G185" s="1478"/>
      <c r="H185" s="1161"/>
      <c r="I185" s="390"/>
      <c r="J185" s="426"/>
      <c r="L185" s="146"/>
    </row>
    <row r="186" spans="1:12" s="166" customFormat="1" ht="22.5" customHeight="1" thickBot="1">
      <c r="A186" s="1046"/>
      <c r="B186" s="353"/>
      <c r="C186" s="364"/>
      <c r="D186" s="364"/>
      <c r="E186" s="354"/>
      <c r="F186" s="355"/>
      <c r="G186" s="355"/>
      <c r="H186" s="356" t="s">
        <v>766</v>
      </c>
      <c r="I186" s="357">
        <f>IF($M$3,SUM(I163:I184),0)</f>
        <v>0</v>
      </c>
      <c r="J186" s="358">
        <f>IF($M$3,SUMIF(L163:L184,TRUE,J163:J184),0)</f>
        <v>0</v>
      </c>
      <c r="L186" s="146"/>
    </row>
    <row r="187" spans="1:12" s="166" customFormat="1" ht="16.7">
      <c r="A187" s="1046"/>
      <c r="B187" s="368"/>
      <c r="C187" s="365"/>
      <c r="D187" s="365"/>
      <c r="E187" s="366"/>
      <c r="F187" s="79"/>
      <c r="G187" s="79"/>
      <c r="H187" s="352"/>
      <c r="I187" s="369"/>
      <c r="J187" s="367"/>
      <c r="L187" s="146"/>
    </row>
    <row r="188" spans="1:12" s="166" customFormat="1" ht="29.95" customHeight="1">
      <c r="A188" s="1046"/>
      <c r="B188" s="1469" t="s">
        <v>767</v>
      </c>
      <c r="C188" s="1470"/>
      <c r="D188" s="1470"/>
      <c r="E188" s="1470"/>
      <c r="F188" s="1470"/>
      <c r="G188" s="1470"/>
      <c r="H188" s="1470"/>
      <c r="I188" s="1470"/>
      <c r="J188" s="1471"/>
      <c r="L188" s="146"/>
    </row>
    <row r="189" spans="1:12" s="166" customFormat="1" ht="16.850000000000001" customHeight="1">
      <c r="A189" s="1046"/>
      <c r="B189" s="344"/>
      <c r="C189" s="1149" t="s">
        <v>1125</v>
      </c>
      <c r="D189" s="422"/>
      <c r="E189" s="1408" t="s">
        <v>670</v>
      </c>
      <c r="F189" s="1408"/>
      <c r="G189" s="1408"/>
      <c r="H189" s="1175"/>
      <c r="I189" s="1180">
        <v>0.8</v>
      </c>
      <c r="J189" s="1197">
        <f t="shared" ref="J189:J193" si="13">IF(L189,I189,0)</f>
        <v>0</v>
      </c>
      <c r="L189" s="146" t="b">
        <v>0</v>
      </c>
    </row>
    <row r="190" spans="1:12" s="166" customFormat="1" ht="45.1" customHeight="1">
      <c r="A190" s="1046"/>
      <c r="B190" s="348"/>
      <c r="C190" s="378"/>
      <c r="D190" s="373"/>
      <c r="E190" s="1444" t="s">
        <v>671</v>
      </c>
      <c r="F190" s="1444"/>
      <c r="G190" s="1444"/>
      <c r="H190" s="1161"/>
      <c r="I190" s="390"/>
      <c r="J190" s="426"/>
      <c r="L190" s="146"/>
    </row>
    <row r="191" spans="1:12" s="166" customFormat="1" ht="16.850000000000001" customHeight="1">
      <c r="A191" s="1046"/>
      <c r="B191" s="344"/>
      <c r="C191" s="1149" t="s">
        <v>1126</v>
      </c>
      <c r="D191" s="422"/>
      <c r="E191" s="1413" t="s">
        <v>672</v>
      </c>
      <c r="F191" s="1413"/>
      <c r="G191" s="1413"/>
      <c r="H191" s="1175"/>
      <c r="I191" s="1180">
        <v>0.1</v>
      </c>
      <c r="J191" s="1197">
        <f t="shared" si="13"/>
        <v>0</v>
      </c>
      <c r="L191" s="146" t="b">
        <v>0</v>
      </c>
    </row>
    <row r="192" spans="1:12" s="166" customFormat="1" ht="15" customHeight="1">
      <c r="A192" s="1046"/>
      <c r="B192" s="348"/>
      <c r="C192" s="378"/>
      <c r="D192" s="373"/>
      <c r="E192" s="1479" t="s">
        <v>673</v>
      </c>
      <c r="F192" s="1479"/>
      <c r="G192" s="1479"/>
      <c r="H192" s="1161"/>
      <c r="I192" s="390"/>
      <c r="J192" s="426"/>
      <c r="L192" s="146"/>
    </row>
    <row r="193" spans="1:12" s="166" customFormat="1" ht="17.3" customHeight="1">
      <c r="A193" s="1046"/>
      <c r="B193" s="344"/>
      <c r="C193" s="1149" t="s">
        <v>1127</v>
      </c>
      <c r="D193" s="422"/>
      <c r="E193" s="1413" t="s">
        <v>282</v>
      </c>
      <c r="F193" s="1413"/>
      <c r="G193" s="1413"/>
      <c r="H193" s="1175"/>
      <c r="I193" s="1180">
        <v>0.1</v>
      </c>
      <c r="J193" s="1197">
        <f t="shared" si="13"/>
        <v>0</v>
      </c>
      <c r="L193" s="146" t="b">
        <v>0</v>
      </c>
    </row>
    <row r="194" spans="1:12" s="166" customFormat="1" ht="15" customHeight="1" thickBot="1">
      <c r="A194" s="1046"/>
      <c r="B194" s="343"/>
      <c r="C194" s="378"/>
      <c r="D194" s="373"/>
      <c r="E194" s="1465"/>
      <c r="F194" s="1465"/>
      <c r="G194" s="1465"/>
      <c r="H194" s="346"/>
      <c r="I194" s="390"/>
      <c r="J194" s="386"/>
      <c r="L194" s="146"/>
    </row>
    <row r="195" spans="1:12" s="166" customFormat="1" ht="22.5" customHeight="1" thickBot="1">
      <c r="A195" s="1046"/>
      <c r="B195" s="353"/>
      <c r="C195" s="364"/>
      <c r="D195" s="364"/>
      <c r="E195" s="354"/>
      <c r="F195" s="355"/>
      <c r="G195" s="355"/>
      <c r="H195" s="356" t="s">
        <v>794</v>
      </c>
      <c r="I195" s="357">
        <f>IF($M$3,SUM(I189:I193),0)</f>
        <v>0</v>
      </c>
      <c r="J195" s="358">
        <f>IF($M$3,SUMIF(L189:L193,TRUE,J189:J193),0)</f>
        <v>0</v>
      </c>
      <c r="L195" s="146"/>
    </row>
    <row r="196" spans="1:12" s="151" customFormat="1" ht="17.3" thickBot="1">
      <c r="A196" s="1046"/>
      <c r="B196" s="37"/>
      <c r="C196" s="171"/>
      <c r="D196" s="171"/>
      <c r="E196" s="37"/>
      <c r="F196" s="37"/>
      <c r="G196" s="37"/>
      <c r="H196" s="37"/>
      <c r="I196" s="37"/>
      <c r="J196" s="37"/>
      <c r="L196" s="173"/>
    </row>
    <row r="197" spans="1:12" s="166" customFormat="1" ht="29.95" customHeight="1" thickBot="1">
      <c r="A197" s="1046"/>
      <c r="B197" s="1400" t="s">
        <v>1144</v>
      </c>
      <c r="C197" s="1401"/>
      <c r="D197" s="1401"/>
      <c r="E197" s="1401"/>
      <c r="F197" s="1401"/>
      <c r="G197" s="1401"/>
      <c r="H197" s="1401"/>
      <c r="I197" s="434">
        <f>SUM(I27,I58,I93,I108,I119,I137,I160,I186,I195)</f>
        <v>0</v>
      </c>
      <c r="J197" s="433">
        <f>SUM(J27,J58,J93,J108,J119,J137,J160,J186,J195)</f>
        <v>0</v>
      </c>
      <c r="L197" s="146"/>
    </row>
    <row r="198" spans="1:12" ht="12.85" customHeight="1"/>
    <row r="199" spans="1:12" ht="12.85" hidden="1" customHeight="1"/>
    <row r="200" spans="1:12" ht="16.7" hidden="1"/>
    <row r="201" spans="1:12" ht="16.7" hidden="1"/>
    <row r="202" spans="1:12" ht="16.7" hidden="1"/>
    <row r="203" spans="1:12" ht="16.7" hidden="1"/>
    <row r="204" spans="1:12" ht="16.7" hidden="1"/>
    <row r="205" spans="1:12" ht="16.7" hidden="1"/>
    <row r="206" spans="1:12" ht="16.7" hidden="1"/>
    <row r="207" spans="1:12" ht="13.1" hidden="1" customHeight="1"/>
    <row r="208" spans="1:12" ht="13.1" hidden="1" customHeight="1"/>
    <row r="209" ht="13.1" hidden="1" customHeight="1"/>
    <row r="210" ht="13.1" hidden="1" customHeight="1"/>
    <row r="211" ht="13.1" hidden="1" customHeight="1"/>
    <row r="212" ht="13.1" hidden="1" customHeight="1"/>
    <row r="213" ht="13.1" hidden="1" customHeight="1"/>
    <row r="214" ht="13.1" hidden="1" customHeight="1"/>
    <row r="215" ht="13.1" hidden="1" customHeight="1"/>
    <row r="216" ht="13.1" hidden="1" customHeight="1"/>
    <row r="217" ht="13.1" hidden="1" customHeight="1"/>
    <row r="218" ht="13.1" hidden="1" customHeight="1"/>
    <row r="219" ht="13.1" hidden="1" customHeight="1"/>
    <row r="220" ht="13.1" hidden="1" customHeight="1"/>
    <row r="221" ht="13.1" hidden="1" customHeight="1"/>
    <row r="222" ht="13.1" hidden="1" customHeight="1"/>
    <row r="223" ht="13.1" hidden="1" customHeight="1"/>
    <row r="224" ht="13.1" hidden="1" customHeight="1"/>
    <row r="225" ht="13.1" hidden="1" customHeight="1"/>
    <row r="226" ht="13.1" hidden="1" customHeight="1"/>
    <row r="227" ht="13.1" hidden="1" customHeight="1"/>
    <row r="228" ht="13.1" hidden="1" customHeight="1"/>
    <row r="229" ht="13.1" hidden="1" customHeight="1"/>
    <row r="230" ht="13.1" hidden="1" customHeight="1"/>
    <row r="231" ht="13.1" hidden="1" customHeight="1"/>
    <row r="232" ht="13.1" hidden="1" customHeight="1"/>
    <row r="233" ht="13.1" hidden="1" customHeight="1"/>
    <row r="234" ht="13.1" hidden="1" customHeight="1"/>
    <row r="235" ht="13.1" hidden="1" customHeight="1"/>
    <row r="236" ht="13.1" hidden="1" customHeight="1"/>
    <row r="237" ht="13.1" hidden="1" customHeight="1"/>
    <row r="238" ht="13.1" hidden="1" customHeight="1"/>
    <row r="239" ht="13.1" hidden="1" customHeight="1"/>
    <row r="240" ht="13.1" hidden="1" customHeight="1"/>
    <row r="241" ht="13.1" hidden="1" customHeight="1"/>
    <row r="242" ht="13.1" hidden="1" customHeight="1"/>
    <row r="243" ht="13.1" hidden="1" customHeight="1"/>
    <row r="244" ht="13.1" hidden="1" customHeight="1"/>
    <row r="245" ht="13.1" hidden="1" customHeight="1"/>
    <row r="246" ht="13.1" hidden="1" customHeight="1"/>
    <row r="247" ht="13.1" hidden="1" customHeight="1"/>
    <row r="248" ht="13.1" hidden="1" customHeight="1"/>
    <row r="249" ht="13.1" hidden="1" customHeight="1"/>
    <row r="250" ht="13.1" hidden="1" customHeight="1"/>
    <row r="251" ht="13.1" hidden="1" customHeight="1"/>
    <row r="252" ht="13.1" hidden="1" customHeight="1"/>
    <row r="253" ht="13.1" hidden="1" customHeight="1"/>
    <row r="254" ht="13.1" hidden="1" customHeight="1"/>
    <row r="255" ht="13.1" hidden="1" customHeight="1"/>
    <row r="256" ht="13.1" hidden="1" customHeight="1"/>
    <row r="257" ht="13.1" hidden="1" customHeight="1"/>
    <row r="258" ht="13.1" hidden="1" customHeight="1"/>
    <row r="259" ht="13.1" hidden="1" customHeight="1"/>
    <row r="260" ht="13.1" hidden="1" customHeight="1"/>
    <row r="261" ht="13.1" hidden="1" customHeight="1"/>
    <row r="262" ht="13.1" hidden="1" customHeight="1"/>
    <row r="263" ht="13.1" hidden="1" customHeight="1"/>
    <row r="264" ht="13.1" hidden="1" customHeight="1"/>
    <row r="265" ht="13.1" hidden="1" customHeight="1"/>
    <row r="266" ht="13.1" hidden="1" customHeight="1"/>
    <row r="267" ht="13.1" hidden="1" customHeight="1"/>
    <row r="268" ht="13.1" hidden="1" customHeight="1"/>
    <row r="269" ht="13.1" hidden="1" customHeight="1"/>
    <row r="270" ht="13.1" hidden="1" customHeight="1"/>
    <row r="271" ht="13.1" hidden="1" customHeight="1"/>
    <row r="272" ht="13.1" hidden="1" customHeight="1"/>
    <row r="273" ht="13.1" hidden="1" customHeight="1"/>
    <row r="274" ht="13.1" hidden="1" customHeight="1"/>
    <row r="275" ht="13.1" hidden="1" customHeight="1"/>
    <row r="276" ht="13.1" hidden="1" customHeight="1"/>
    <row r="277" ht="13.1" hidden="1" customHeight="1"/>
    <row r="278" ht="13.1" hidden="1" customHeight="1"/>
    <row r="279" ht="13.1" hidden="1" customHeight="1"/>
    <row r="280" ht="13.1" hidden="1" customHeight="1"/>
    <row r="281" ht="13.1" hidden="1" customHeight="1"/>
    <row r="282" ht="13.1" hidden="1" customHeight="1"/>
    <row r="283" ht="13.1" hidden="1" customHeight="1"/>
    <row r="284" ht="13.1" hidden="1" customHeight="1"/>
    <row r="285" ht="13.1" hidden="1" customHeight="1"/>
    <row r="286" ht="13.1" hidden="1" customHeight="1"/>
    <row r="287" ht="13.1" hidden="1" customHeight="1"/>
    <row r="288" ht="13.1" hidden="1" customHeight="1"/>
    <row r="289" ht="13.1" hidden="1" customHeight="1"/>
    <row r="290" ht="13.1" hidden="1" customHeight="1"/>
    <row r="291" ht="13.1" hidden="1" customHeight="1"/>
    <row r="292" ht="13.1" hidden="1" customHeight="1"/>
    <row r="293" ht="13.1" hidden="1" customHeight="1"/>
    <row r="294" ht="13.1" hidden="1" customHeight="1"/>
    <row r="295" ht="13.1" hidden="1" customHeight="1"/>
    <row r="296" ht="13.1" hidden="1" customHeight="1"/>
    <row r="297" ht="13.1" hidden="1" customHeight="1"/>
    <row r="298" ht="13.1" hidden="1" customHeight="1"/>
    <row r="299" ht="13.1" hidden="1" customHeight="1"/>
    <row r="300" ht="13.1" hidden="1" customHeight="1"/>
    <row r="301" ht="13.1" hidden="1" customHeight="1"/>
    <row r="302" ht="13.1" hidden="1" customHeight="1"/>
    <row r="303" ht="13.1" hidden="1" customHeight="1"/>
    <row r="304" ht="13.1" hidden="1" customHeight="1"/>
    <row r="305" ht="13.1" hidden="1" customHeight="1"/>
    <row r="306" ht="13.1" hidden="1" customHeight="1"/>
    <row r="307" ht="13.1" hidden="1" customHeight="1"/>
    <row r="308" ht="13.1" hidden="1" customHeight="1"/>
    <row r="309" ht="13.1" hidden="1" customHeight="1"/>
    <row r="310" ht="13.1" hidden="1" customHeight="1"/>
    <row r="311" ht="13.1" hidden="1" customHeight="1"/>
    <row r="312" ht="13.1" hidden="1" customHeight="1"/>
    <row r="313" ht="13.1" hidden="1" customHeight="1"/>
    <row r="314" ht="13.1" hidden="1" customHeight="1"/>
    <row r="315" ht="13.1" hidden="1" customHeight="1"/>
    <row r="316" ht="13.1" hidden="1" customHeight="1"/>
    <row r="317" ht="13.1" hidden="1" customHeight="1"/>
    <row r="318" ht="13.1" hidden="1" customHeight="1"/>
    <row r="319" ht="13.1" hidden="1" customHeight="1"/>
    <row r="320" ht="13.1" hidden="1" customHeight="1"/>
    <row r="321" ht="13.1" hidden="1" customHeight="1"/>
    <row r="322" ht="13.1" hidden="1" customHeight="1"/>
    <row r="323" ht="13.1" hidden="1" customHeight="1"/>
    <row r="324" ht="13.1" hidden="1" customHeight="1"/>
    <row r="325" ht="13.1" hidden="1" customHeight="1"/>
    <row r="326" ht="13.1" hidden="1" customHeight="1"/>
    <row r="327" ht="13.1" hidden="1" customHeight="1"/>
    <row r="328" ht="13.1" hidden="1" customHeight="1"/>
    <row r="329" ht="13.1" hidden="1" customHeight="1"/>
    <row r="330" ht="13.1" hidden="1" customHeight="1"/>
    <row r="331" ht="13.1" hidden="1" customHeight="1"/>
    <row r="332" ht="13.1" hidden="1" customHeight="1"/>
    <row r="333" ht="13.1" hidden="1" customHeight="1"/>
    <row r="334" ht="13.1" hidden="1" customHeight="1"/>
    <row r="335" ht="13.1" hidden="1" customHeight="1"/>
    <row r="336" ht="13.1" hidden="1" customHeight="1"/>
    <row r="337" ht="13.1" hidden="1" customHeight="1"/>
    <row r="338" ht="13.1" hidden="1" customHeight="1"/>
    <row r="339" ht="13.1" hidden="1" customHeight="1"/>
    <row r="340" ht="13.1" hidden="1" customHeight="1"/>
    <row r="341" ht="13.1" hidden="1" customHeight="1"/>
    <row r="342" ht="13.1" hidden="1" customHeight="1"/>
    <row r="343" ht="13.1" hidden="1" customHeight="1"/>
    <row r="344" ht="13.1" hidden="1" customHeight="1"/>
    <row r="345" ht="13.1" hidden="1" customHeight="1"/>
    <row r="346" ht="13.1" hidden="1" customHeight="1"/>
    <row r="347" ht="13.1" hidden="1" customHeight="1"/>
    <row r="348" ht="13.1" hidden="1" customHeight="1"/>
    <row r="349" ht="13.1" hidden="1" customHeight="1"/>
    <row r="350" ht="13.1" hidden="1" customHeight="1"/>
    <row r="351" ht="13.1" hidden="1" customHeight="1"/>
    <row r="352" ht="13.1" hidden="1" customHeight="1"/>
    <row r="353" ht="13.1" hidden="1" customHeight="1"/>
    <row r="354" ht="13.1" hidden="1" customHeight="1"/>
    <row r="355" ht="13.1" hidden="1" customHeight="1"/>
    <row r="356" ht="13.1" hidden="1" customHeight="1"/>
    <row r="357" ht="13.1" hidden="1" customHeight="1"/>
    <row r="358" ht="13.1" hidden="1" customHeight="1"/>
    <row r="359" ht="13.1" hidden="1" customHeight="1"/>
    <row r="360" ht="13.1" hidden="1" customHeight="1"/>
    <row r="361" ht="13.1" hidden="1" customHeight="1"/>
    <row r="362" ht="13.1" hidden="1" customHeight="1"/>
    <row r="363" ht="13.1" hidden="1" customHeight="1"/>
    <row r="364" ht="13.1" hidden="1" customHeight="1"/>
    <row r="365" ht="13.1" hidden="1" customHeight="1"/>
    <row r="366" ht="13.1" hidden="1" customHeight="1"/>
    <row r="367" ht="13.1" hidden="1" customHeight="1"/>
    <row r="368" ht="13.1" hidden="1" customHeight="1"/>
    <row r="369" ht="13.1" hidden="1" customHeight="1"/>
    <row r="370" ht="13.1" hidden="1" customHeight="1"/>
    <row r="371" ht="13.1" hidden="1" customHeight="1"/>
    <row r="372" ht="13.1" hidden="1" customHeight="1"/>
    <row r="373" ht="13.1" hidden="1" customHeight="1"/>
    <row r="374" ht="13.1" hidden="1" customHeight="1"/>
    <row r="375" ht="13.1" hidden="1" customHeight="1"/>
    <row r="376" ht="13.1" hidden="1" customHeight="1"/>
    <row r="377" ht="13.1" hidden="1" customHeight="1"/>
    <row r="378" ht="13.1" hidden="1" customHeight="1"/>
    <row r="379" ht="13.1" hidden="1" customHeight="1"/>
    <row r="380" ht="13.1" hidden="1" customHeight="1"/>
    <row r="381" ht="13.1" hidden="1" customHeight="1"/>
    <row r="382" ht="13.1" hidden="1" customHeight="1"/>
    <row r="383" ht="13.1" hidden="1" customHeight="1"/>
    <row r="384" ht="13.1" hidden="1" customHeight="1"/>
    <row r="385" ht="13.1" hidden="1" customHeight="1"/>
    <row r="386" ht="13.1" hidden="1" customHeight="1"/>
    <row r="387" ht="13.1" hidden="1" customHeight="1"/>
    <row r="388" ht="13.1" hidden="1" customHeight="1"/>
    <row r="389" ht="13.1" hidden="1" customHeight="1"/>
    <row r="390" ht="13.1" hidden="1" customHeight="1"/>
    <row r="391" ht="13.1" hidden="1" customHeight="1"/>
    <row r="392" ht="13.1" hidden="1" customHeight="1"/>
    <row r="393" ht="13.1" hidden="1" customHeight="1"/>
    <row r="394" ht="13.1" hidden="1" customHeight="1"/>
    <row r="395" ht="13.1" hidden="1" customHeight="1"/>
    <row r="396" ht="13.1" hidden="1" customHeight="1"/>
    <row r="397" ht="13.1" hidden="1" customHeight="1"/>
    <row r="398" ht="13.1" hidden="1" customHeight="1"/>
    <row r="399" ht="13.1" hidden="1" customHeight="1"/>
    <row r="400" ht="13.1" hidden="1" customHeight="1"/>
    <row r="401" ht="13.1" hidden="1" customHeight="1"/>
    <row r="402" ht="13.1" hidden="1" customHeight="1"/>
    <row r="403" ht="13.1" hidden="1" customHeight="1"/>
  </sheetData>
  <sheetProtection sheet="1" formatRows="0"/>
  <mergeCells count="174">
    <mergeCell ref="E144:G144"/>
    <mergeCell ref="E112:G112"/>
    <mergeCell ref="E114:G114"/>
    <mergeCell ref="E116:G116"/>
    <mergeCell ref="E125:G125"/>
    <mergeCell ref="B110:J110"/>
    <mergeCell ref="E193:G193"/>
    <mergeCell ref="E126:G126"/>
    <mergeCell ref="E128:G128"/>
    <mergeCell ref="E130:G130"/>
    <mergeCell ref="E131:G131"/>
    <mergeCell ref="E132:G132"/>
    <mergeCell ref="E152:G152"/>
    <mergeCell ref="E154:G154"/>
    <mergeCell ref="E159:G159"/>
    <mergeCell ref="E140:G140"/>
    <mergeCell ref="E142:G142"/>
    <mergeCell ref="E143:G143"/>
    <mergeCell ref="E146:G146"/>
    <mergeCell ref="E147:G147"/>
    <mergeCell ref="E148:G148"/>
    <mergeCell ref="E151:G151"/>
    <mergeCell ref="E177:G177"/>
    <mergeCell ref="E141:G141"/>
    <mergeCell ref="E165:G165"/>
    <mergeCell ref="E167:G167"/>
    <mergeCell ref="E182:G182"/>
    <mergeCell ref="E184:G184"/>
    <mergeCell ref="E129:G129"/>
    <mergeCell ref="E78:G78"/>
    <mergeCell ref="E91:H91"/>
    <mergeCell ref="E101:G101"/>
    <mergeCell ref="E99:G99"/>
    <mergeCell ref="E90:G90"/>
    <mergeCell ref="E178:G178"/>
    <mergeCell ref="E179:G179"/>
    <mergeCell ref="E153:G153"/>
    <mergeCell ref="E155:G155"/>
    <mergeCell ref="E156:G156"/>
    <mergeCell ref="E158:G158"/>
    <mergeCell ref="E104:G104"/>
    <mergeCell ref="E105:G105"/>
    <mergeCell ref="E106:G106"/>
    <mergeCell ref="E118:G118"/>
    <mergeCell ref="E111:G111"/>
    <mergeCell ref="E113:G113"/>
    <mergeCell ref="E115:G115"/>
    <mergeCell ref="E117:G117"/>
    <mergeCell ref="E127:G127"/>
    <mergeCell ref="E145:H145"/>
    <mergeCell ref="E150:G150"/>
    <mergeCell ref="E133:G133"/>
    <mergeCell ref="B139:J139"/>
    <mergeCell ref="E51:G51"/>
    <mergeCell ref="E52:G52"/>
    <mergeCell ref="E53:G53"/>
    <mergeCell ref="E49:G49"/>
    <mergeCell ref="E61:G61"/>
    <mergeCell ref="E63:G63"/>
    <mergeCell ref="B121:J121"/>
    <mergeCell ref="E124:G124"/>
    <mergeCell ref="E103:G103"/>
    <mergeCell ref="E76:G76"/>
    <mergeCell ref="E80:G80"/>
    <mergeCell ref="E82:G82"/>
    <mergeCell ref="E67:G67"/>
    <mergeCell ref="E68:G68"/>
    <mergeCell ref="E69:G69"/>
    <mergeCell ref="E71:G71"/>
    <mergeCell ref="E73:G73"/>
    <mergeCell ref="E75:G75"/>
    <mergeCell ref="E77:G77"/>
    <mergeCell ref="E79:G79"/>
    <mergeCell ref="E81:G81"/>
    <mergeCell ref="E70:G70"/>
    <mergeCell ref="E72:G72"/>
    <mergeCell ref="E74:G74"/>
    <mergeCell ref="E35:G35"/>
    <mergeCell ref="E36:G36"/>
    <mergeCell ref="E38:G38"/>
    <mergeCell ref="E40:G40"/>
    <mergeCell ref="E42:G42"/>
    <mergeCell ref="E43:G43"/>
    <mergeCell ref="E48:G48"/>
    <mergeCell ref="E50:G50"/>
    <mergeCell ref="E44:G44"/>
    <mergeCell ref="E46:G46"/>
    <mergeCell ref="E47:G47"/>
    <mergeCell ref="E45:G45"/>
    <mergeCell ref="E37:G37"/>
    <mergeCell ref="E39:G39"/>
    <mergeCell ref="E41:G41"/>
    <mergeCell ref="E66:G66"/>
    <mergeCell ref="B197:H197"/>
    <mergeCell ref="E190:G190"/>
    <mergeCell ref="E157:G157"/>
    <mergeCell ref="E163:G163"/>
    <mergeCell ref="E164:G164"/>
    <mergeCell ref="E172:G172"/>
    <mergeCell ref="B188:J188"/>
    <mergeCell ref="B162:J162"/>
    <mergeCell ref="E173:H173"/>
    <mergeCell ref="E176:H176"/>
    <mergeCell ref="E181:H181"/>
    <mergeCell ref="E180:G180"/>
    <mergeCell ref="E166:G166"/>
    <mergeCell ref="E170:G170"/>
    <mergeCell ref="E175:G175"/>
    <mergeCell ref="E194:G194"/>
    <mergeCell ref="E183:G183"/>
    <mergeCell ref="E185:G185"/>
    <mergeCell ref="E169:G169"/>
    <mergeCell ref="E171:G171"/>
    <mergeCell ref="E189:G189"/>
    <mergeCell ref="E191:G191"/>
    <mergeCell ref="E174:G174"/>
    <mergeCell ref="E192:G192"/>
    <mergeCell ref="B16:J16"/>
    <mergeCell ref="B29:J29"/>
    <mergeCell ref="E149:G149"/>
    <mergeCell ref="E168:G168"/>
    <mergeCell ref="E86:G86"/>
    <mergeCell ref="E84:G84"/>
    <mergeCell ref="E89:G89"/>
    <mergeCell ref="E92:G92"/>
    <mergeCell ref="E88:G88"/>
    <mergeCell ref="E83:G83"/>
    <mergeCell ref="E85:G85"/>
    <mergeCell ref="E87:G87"/>
    <mergeCell ref="E107:G107"/>
    <mergeCell ref="E98:G98"/>
    <mergeCell ref="E96:G96"/>
    <mergeCell ref="E134:G134"/>
    <mergeCell ref="E136:G136"/>
    <mergeCell ref="B95:J95"/>
    <mergeCell ref="E135:G135"/>
    <mergeCell ref="E100:G100"/>
    <mergeCell ref="E122:G122"/>
    <mergeCell ref="E123:G123"/>
    <mergeCell ref="E102:G102"/>
    <mergeCell ref="E97:G97"/>
    <mergeCell ref="E13:J13"/>
    <mergeCell ref="E14:J14"/>
    <mergeCell ref="I2:J2"/>
    <mergeCell ref="K2:K8"/>
    <mergeCell ref="I3:J3"/>
    <mergeCell ref="I5:J5"/>
    <mergeCell ref="F6:J6"/>
    <mergeCell ref="F7:J7"/>
    <mergeCell ref="F8:J8"/>
    <mergeCell ref="B10:H10"/>
    <mergeCell ref="E22:G22"/>
    <mergeCell ref="E23:G23"/>
    <mergeCell ref="E24:G24"/>
    <mergeCell ref="E25:G25"/>
    <mergeCell ref="E17:G17"/>
    <mergeCell ref="E18:G18"/>
    <mergeCell ref="E19:G19"/>
    <mergeCell ref="E20:G20"/>
    <mergeCell ref="E21:G21"/>
    <mergeCell ref="E26:G26"/>
    <mergeCell ref="E31:G31"/>
    <mergeCell ref="E33:G33"/>
    <mergeCell ref="E30:G30"/>
    <mergeCell ref="E32:G32"/>
    <mergeCell ref="E65:G65"/>
    <mergeCell ref="E57:G57"/>
    <mergeCell ref="E54:G54"/>
    <mergeCell ref="E55:G55"/>
    <mergeCell ref="E56:H56"/>
    <mergeCell ref="B60:J60"/>
    <mergeCell ref="E64:G64"/>
    <mergeCell ref="E62:G62"/>
    <mergeCell ref="E34:G34"/>
  </mergeCells>
  <conditionalFormatting sqref="B13:B14">
    <cfRule type="expression" dxfId="1731" priority="142">
      <formula>AND(L13,NOT($M$13))</formula>
    </cfRule>
    <cfRule type="expression" dxfId="1730" priority="140">
      <formula>NOT($M$3)</formula>
    </cfRule>
  </conditionalFormatting>
  <conditionalFormatting sqref="B17">
    <cfRule type="expression" dxfId="1729" priority="139">
      <formula>NOT($M$3)</formula>
    </cfRule>
  </conditionalFormatting>
  <conditionalFormatting sqref="B19">
    <cfRule type="expression" dxfId="1728" priority="138">
      <formula>NOT($M$3)</formula>
    </cfRule>
  </conditionalFormatting>
  <conditionalFormatting sqref="B21">
    <cfRule type="expression" dxfId="1727" priority="5">
      <formula>NOT($M$3)</formula>
    </cfRule>
  </conditionalFormatting>
  <conditionalFormatting sqref="B23">
    <cfRule type="expression" dxfId="1726" priority="137">
      <formula>NOT($M$3)</formula>
    </cfRule>
  </conditionalFormatting>
  <conditionalFormatting sqref="B25">
    <cfRule type="expression" dxfId="1725" priority="136">
      <formula>NOT($M$3)</formula>
    </cfRule>
  </conditionalFormatting>
  <conditionalFormatting sqref="B30">
    <cfRule type="expression" dxfId="1724" priority="135">
      <formula>NOT($M$3)</formula>
    </cfRule>
  </conditionalFormatting>
  <conditionalFormatting sqref="B32">
    <cfRule type="expression" dxfId="1723" priority="134">
      <formula>NOT($M$3)</formula>
    </cfRule>
  </conditionalFormatting>
  <conditionalFormatting sqref="B34">
    <cfRule type="expression" dxfId="1722" priority="133">
      <formula>NOT($M$3)</formula>
    </cfRule>
  </conditionalFormatting>
  <conditionalFormatting sqref="B36">
    <cfRule type="expression" dxfId="1721" priority="132">
      <formula>NOT($M$3)</formula>
    </cfRule>
  </conditionalFormatting>
  <conditionalFormatting sqref="B38">
    <cfRule type="expression" dxfId="1720" priority="131">
      <formula>NOT($M$3)</formula>
    </cfRule>
  </conditionalFormatting>
  <conditionalFormatting sqref="B42">
    <cfRule type="expression" dxfId="1719" priority="130">
      <formula>NOT($M$3)</formula>
    </cfRule>
  </conditionalFormatting>
  <conditionalFormatting sqref="B44">
    <cfRule type="expression" dxfId="1718" priority="129">
      <formula>NOT($M$3)</formula>
    </cfRule>
  </conditionalFormatting>
  <conditionalFormatting sqref="B46">
    <cfRule type="expression" dxfId="1717" priority="128">
      <formula>NOT($M$3)</formula>
    </cfRule>
  </conditionalFormatting>
  <conditionalFormatting sqref="B48">
    <cfRule type="expression" dxfId="1716" priority="127">
      <formula>NOT($M$3)</formula>
    </cfRule>
  </conditionalFormatting>
  <conditionalFormatting sqref="B50">
    <cfRule type="expression" dxfId="1715" priority="126">
      <formula>NOT($M$3)</formula>
    </cfRule>
  </conditionalFormatting>
  <conditionalFormatting sqref="B52">
    <cfRule type="expression" dxfId="1714" priority="125">
      <formula>NOT($M$3)</formula>
    </cfRule>
  </conditionalFormatting>
  <conditionalFormatting sqref="B54">
    <cfRule type="expression" dxfId="1713" priority="124">
      <formula>NOT($M$3)</formula>
    </cfRule>
  </conditionalFormatting>
  <conditionalFormatting sqref="B61">
    <cfRule type="expression" dxfId="1712" priority="123">
      <formula>NOT($M$3)</formula>
    </cfRule>
  </conditionalFormatting>
  <conditionalFormatting sqref="B63">
    <cfRule type="expression" dxfId="1711" priority="122">
      <formula>NOT($M$3)</formula>
    </cfRule>
  </conditionalFormatting>
  <conditionalFormatting sqref="B65">
    <cfRule type="expression" dxfId="1710" priority="121">
      <formula>NOT($M$3)</formula>
    </cfRule>
  </conditionalFormatting>
  <conditionalFormatting sqref="B67">
    <cfRule type="expression" dxfId="1709" priority="120">
      <formula>NOT($M$3)</formula>
    </cfRule>
  </conditionalFormatting>
  <conditionalFormatting sqref="B69">
    <cfRule type="expression" dxfId="1708" priority="119">
      <formula>NOT($M$3)</formula>
    </cfRule>
  </conditionalFormatting>
  <conditionalFormatting sqref="B71">
    <cfRule type="expression" dxfId="1707" priority="118">
      <formula>NOT($M$3)</formula>
    </cfRule>
  </conditionalFormatting>
  <conditionalFormatting sqref="B73">
    <cfRule type="expression" dxfId="1706" priority="117">
      <formula>NOT($M$3)</formula>
    </cfRule>
  </conditionalFormatting>
  <conditionalFormatting sqref="B75">
    <cfRule type="expression" dxfId="1705" priority="116">
      <formula>NOT($M$3)</formula>
    </cfRule>
  </conditionalFormatting>
  <conditionalFormatting sqref="B77">
    <cfRule type="expression" dxfId="1704" priority="115">
      <formula>NOT($M$3)</formula>
    </cfRule>
  </conditionalFormatting>
  <conditionalFormatting sqref="B79">
    <cfRule type="expression" dxfId="1703" priority="114">
      <formula>NOT($M$3)</formula>
    </cfRule>
  </conditionalFormatting>
  <conditionalFormatting sqref="B81">
    <cfRule type="expression" dxfId="1702" priority="113">
      <formula>NOT($M$3)</formula>
    </cfRule>
  </conditionalFormatting>
  <conditionalFormatting sqref="B83">
    <cfRule type="expression" dxfId="1701" priority="112">
      <formula>NOT($M$3)</formula>
    </cfRule>
  </conditionalFormatting>
  <conditionalFormatting sqref="B85">
    <cfRule type="expression" dxfId="1700" priority="111">
      <formula>NOT($M$3)</formula>
    </cfRule>
  </conditionalFormatting>
  <conditionalFormatting sqref="B87">
    <cfRule type="expression" dxfId="1699" priority="110">
      <formula>NOT($M$3)</formula>
    </cfRule>
  </conditionalFormatting>
  <conditionalFormatting sqref="B89">
    <cfRule type="expression" dxfId="1698" priority="109">
      <formula>NOT($M$3)</formula>
    </cfRule>
  </conditionalFormatting>
  <conditionalFormatting sqref="B96">
    <cfRule type="expression" dxfId="1697" priority="108">
      <formula>NOT($M$3)</formula>
    </cfRule>
  </conditionalFormatting>
  <conditionalFormatting sqref="B98">
    <cfRule type="expression" dxfId="1696" priority="107">
      <formula>NOT($M$3)</formula>
    </cfRule>
  </conditionalFormatting>
  <conditionalFormatting sqref="B100">
    <cfRule type="expression" dxfId="1695" priority="106">
      <formula>NOT($M$3)</formula>
    </cfRule>
  </conditionalFormatting>
  <conditionalFormatting sqref="B102">
    <cfRule type="expression" dxfId="1694" priority="105">
      <formula>NOT($M$3)</formula>
    </cfRule>
  </conditionalFormatting>
  <conditionalFormatting sqref="B104">
    <cfRule type="expression" dxfId="1693" priority="104">
      <formula>NOT($M$3)</formula>
    </cfRule>
  </conditionalFormatting>
  <conditionalFormatting sqref="B106">
    <cfRule type="expression" dxfId="1692" priority="103">
      <formula>NOT($M$3)</formula>
    </cfRule>
  </conditionalFormatting>
  <conditionalFormatting sqref="B111">
    <cfRule type="expression" dxfId="1691" priority="102">
      <formula>NOT($M$3)</formula>
    </cfRule>
  </conditionalFormatting>
  <conditionalFormatting sqref="B113">
    <cfRule type="expression" dxfId="1690" priority="101">
      <formula>NOT($M$3)</formula>
    </cfRule>
  </conditionalFormatting>
  <conditionalFormatting sqref="B115">
    <cfRule type="expression" dxfId="1689" priority="100">
      <formula>NOT($M$3)</formula>
    </cfRule>
  </conditionalFormatting>
  <conditionalFormatting sqref="B117">
    <cfRule type="expression" dxfId="1688" priority="99">
      <formula>NOT($M$3)</formula>
    </cfRule>
  </conditionalFormatting>
  <conditionalFormatting sqref="B122">
    <cfRule type="expression" dxfId="1687" priority="98">
      <formula>NOT($M$3)</formula>
    </cfRule>
  </conditionalFormatting>
  <conditionalFormatting sqref="B124">
    <cfRule type="expression" dxfId="1686" priority="97">
      <formula>NOT($M$3)</formula>
    </cfRule>
  </conditionalFormatting>
  <conditionalFormatting sqref="B126">
    <cfRule type="expression" dxfId="1685" priority="96">
      <formula>NOT($M$3)</formula>
    </cfRule>
  </conditionalFormatting>
  <conditionalFormatting sqref="B128">
    <cfRule type="expression" dxfId="1684" priority="95">
      <formula>NOT($M$3)</formula>
    </cfRule>
  </conditionalFormatting>
  <conditionalFormatting sqref="B130">
    <cfRule type="expression" dxfId="1683" priority="94">
      <formula>NOT($M$3)</formula>
    </cfRule>
  </conditionalFormatting>
  <conditionalFormatting sqref="B132">
    <cfRule type="expression" dxfId="1682" priority="93">
      <formula>NOT($M$3)</formula>
    </cfRule>
  </conditionalFormatting>
  <conditionalFormatting sqref="B143">
    <cfRule type="expression" dxfId="1681" priority="92">
      <formula>NOT($M$3)</formula>
    </cfRule>
  </conditionalFormatting>
  <conditionalFormatting sqref="B146">
    <cfRule type="expression" dxfId="1680" priority="91">
      <formula>NOT($M$3)</formula>
    </cfRule>
  </conditionalFormatting>
  <conditionalFormatting sqref="B148">
    <cfRule type="expression" dxfId="1679" priority="90">
      <formula>NOT($M$3)</formula>
    </cfRule>
  </conditionalFormatting>
  <conditionalFormatting sqref="B151">
    <cfRule type="expression" dxfId="1678" priority="89">
      <formula>NOT($M$3)</formula>
    </cfRule>
  </conditionalFormatting>
  <conditionalFormatting sqref="B156">
    <cfRule type="expression" dxfId="1677" priority="87">
      <formula>NOT($M$3)</formula>
    </cfRule>
  </conditionalFormatting>
  <conditionalFormatting sqref="B158">
    <cfRule type="expression" dxfId="1676" priority="86">
      <formula>NOT($M$3)</formula>
    </cfRule>
  </conditionalFormatting>
  <conditionalFormatting sqref="B163">
    <cfRule type="expression" dxfId="1675" priority="85">
      <formula>NOT($M$3)</formula>
    </cfRule>
  </conditionalFormatting>
  <conditionalFormatting sqref="B165">
    <cfRule type="expression" dxfId="1674" priority="84">
      <formula>NOT($M$3)</formula>
    </cfRule>
  </conditionalFormatting>
  <conditionalFormatting sqref="B167">
    <cfRule type="expression" dxfId="1673" priority="83">
      <formula>NOT($M$3)</formula>
    </cfRule>
  </conditionalFormatting>
  <conditionalFormatting sqref="B169">
    <cfRule type="expression" dxfId="1672" priority="82">
      <formula>NOT($M$3)</formula>
    </cfRule>
  </conditionalFormatting>
  <conditionalFormatting sqref="B171">
    <cfRule type="expression" dxfId="1671" priority="81">
      <formula>NOT($M$3)</formula>
    </cfRule>
  </conditionalFormatting>
  <conditionalFormatting sqref="B174">
    <cfRule type="expression" dxfId="1670" priority="80">
      <formula>NOT($M$3)</formula>
    </cfRule>
  </conditionalFormatting>
  <conditionalFormatting sqref="B177">
    <cfRule type="expression" dxfId="1669" priority="79">
      <formula>NOT($M$3)</formula>
    </cfRule>
  </conditionalFormatting>
  <conditionalFormatting sqref="B179">
    <cfRule type="expression" dxfId="1668" priority="78">
      <formula>NOT($M$3)</formula>
    </cfRule>
  </conditionalFormatting>
  <conditionalFormatting sqref="B182">
    <cfRule type="expression" dxfId="1667" priority="77">
      <formula>NOT($M$3)</formula>
    </cfRule>
  </conditionalFormatting>
  <conditionalFormatting sqref="B184">
    <cfRule type="expression" dxfId="1666" priority="76">
      <formula>NOT($M$3)</formula>
    </cfRule>
  </conditionalFormatting>
  <conditionalFormatting sqref="B189">
    <cfRule type="expression" dxfId="1665" priority="75">
      <formula>NOT($M$3)</formula>
    </cfRule>
  </conditionalFormatting>
  <conditionalFormatting sqref="B191">
    <cfRule type="expression" dxfId="1664" priority="74">
      <formula>NOT($M$3)</formula>
    </cfRule>
  </conditionalFormatting>
  <conditionalFormatting sqref="B193">
    <cfRule type="expression" dxfId="1663" priority="73">
      <formula>NOT($M$3)</formula>
    </cfRule>
  </conditionalFormatting>
  <conditionalFormatting sqref="C17:E26">
    <cfRule type="expression" dxfId="1662" priority="29">
      <formula>NOT($M$3)</formula>
    </cfRule>
  </conditionalFormatting>
  <conditionalFormatting sqref="C96:E107 H96:J107">
    <cfRule type="expression" dxfId="1661" priority="20">
      <formula>NOT($M$3)</formula>
    </cfRule>
  </conditionalFormatting>
  <conditionalFormatting sqref="C111:E118 H111:J118">
    <cfRule type="expression" dxfId="1660" priority="19">
      <formula>NOT($M$3)</formula>
    </cfRule>
  </conditionalFormatting>
  <conditionalFormatting sqref="C122:E136 H122:J136">
    <cfRule type="expression" dxfId="1659" priority="18">
      <formula>NOT($M$3)</formula>
    </cfRule>
  </conditionalFormatting>
  <conditionalFormatting sqref="C140:E144 H140:J144">
    <cfRule type="expression" dxfId="1658" priority="16">
      <formula>NOT($M$3)</formula>
    </cfRule>
  </conditionalFormatting>
  <conditionalFormatting sqref="C146:E159 H146:J159">
    <cfRule type="expression" dxfId="1657" priority="12">
      <formula>NOT($M$3)</formula>
    </cfRule>
  </conditionalFormatting>
  <conditionalFormatting sqref="C165:E172 H165:J172">
    <cfRule type="expression" dxfId="1656" priority="10">
      <formula>NOT($M$3)</formula>
    </cfRule>
  </conditionalFormatting>
  <conditionalFormatting sqref="C174:E175 H174:J175">
    <cfRule type="expression" dxfId="1655" priority="9">
      <formula>NOT($M$3)</formula>
    </cfRule>
  </conditionalFormatting>
  <conditionalFormatting sqref="C177:E180 H177:J180">
    <cfRule type="expression" dxfId="1654" priority="31">
      <formula>NOT($M$3)</formula>
    </cfRule>
  </conditionalFormatting>
  <conditionalFormatting sqref="C182:E185 H182:J185">
    <cfRule type="expression" dxfId="1653" priority="8">
      <formula>NOT($M$3)</formula>
    </cfRule>
  </conditionalFormatting>
  <conditionalFormatting sqref="C189:E194 H189:J194">
    <cfRule type="expression" dxfId="1652" priority="7">
      <formula>NOT($M$3)</formula>
    </cfRule>
  </conditionalFormatting>
  <conditionalFormatting sqref="C173:J173">
    <cfRule type="expression" dxfId="1651" priority="34">
      <formula>NOT($M$3)</formula>
    </cfRule>
  </conditionalFormatting>
  <conditionalFormatting sqref="C176:J176">
    <cfRule type="expression" dxfId="1650" priority="33">
      <formula>NOT($M$3)</formula>
    </cfRule>
  </conditionalFormatting>
  <conditionalFormatting sqref="C181:J181">
    <cfRule type="expression" dxfId="1649" priority="32">
      <formula>NOT($M$3)</formula>
    </cfRule>
  </conditionalFormatting>
  <conditionalFormatting sqref="E13:E14">
    <cfRule type="expression" dxfId="1648" priority="144">
      <formula>NOT($M$3)</formula>
    </cfRule>
  </conditionalFormatting>
  <conditionalFormatting sqref="H17:J26">
    <cfRule type="expression" dxfId="1647" priority="6">
      <formula>NOT($M$3)</formula>
    </cfRule>
  </conditionalFormatting>
  <conditionalFormatting sqref="H30:J55 C30:E57">
    <cfRule type="expression" dxfId="1646" priority="26">
      <formula>NOT($M$3)</formula>
    </cfRule>
  </conditionalFormatting>
  <conditionalFormatting sqref="H61:J90 C61:E92">
    <cfRule type="expression" dxfId="1645" priority="21">
      <formula>NOT($M$3)</formula>
    </cfRule>
  </conditionalFormatting>
  <conditionalFormatting sqref="I56:J56 H57:J57">
    <cfRule type="expression" dxfId="1644" priority="55">
      <formula>NOT($M$3)</formula>
    </cfRule>
  </conditionalFormatting>
  <conditionalFormatting sqref="I91:J91 H92:J92 C145:J145 C163:J164">
    <cfRule type="expression" dxfId="1643" priority="72">
      <formula>NOT($M$3)</formula>
    </cfRule>
  </conditionalFormatting>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Januar 2024&amp;R&amp;P</oddFooter>
  </headerFooter>
  <rowBreaks count="8" manualBreakCount="8">
    <brk id="28" max="16383" man="1"/>
    <brk id="59" max="16383" man="1"/>
    <brk id="86" max="10" man="1"/>
    <brk id="109" max="16383" man="1"/>
    <brk id="120" max="10" man="1"/>
    <brk id="138" max="16383" man="1"/>
    <brk id="16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ltText="">
                <anchor moveWithCells="1">
                  <from>
                    <xdr:col>1</xdr:col>
                    <xdr:colOff>0</xdr:colOff>
                    <xdr:row>15</xdr:row>
                    <xdr:rowOff>373075</xdr:rowOff>
                  </from>
                  <to>
                    <xdr:col>2</xdr:col>
                    <xdr:colOff>7315</xdr:colOff>
                    <xdr:row>17</xdr:row>
                    <xdr:rowOff>0</xdr:rowOff>
                  </to>
                </anchor>
              </controlPr>
            </control>
          </mc:Choice>
        </mc:AlternateContent>
        <mc:AlternateContent xmlns:mc="http://schemas.openxmlformats.org/markup-compatibility/2006">
          <mc:Choice Requires="x14">
            <control shapeId="43010" r:id="rId5" name="Check Box 2">
              <controlPr defaultSize="0" autoFill="0" autoLine="0" autoPict="0" altText="">
                <anchor moveWithCells="1">
                  <from>
                    <xdr:col>1</xdr:col>
                    <xdr:colOff>0</xdr:colOff>
                    <xdr:row>18</xdr:row>
                    <xdr:rowOff>0</xdr:rowOff>
                  </from>
                  <to>
                    <xdr:col>2</xdr:col>
                    <xdr:colOff>7315</xdr:colOff>
                    <xdr:row>19</xdr:row>
                    <xdr:rowOff>0</xdr:rowOff>
                  </to>
                </anchor>
              </controlPr>
            </control>
          </mc:Choice>
        </mc:AlternateContent>
        <mc:AlternateContent xmlns:mc="http://schemas.openxmlformats.org/markup-compatibility/2006">
          <mc:Choice Requires="x14">
            <control shapeId="43012" r:id="rId6" name="Check Box 4">
              <controlPr defaultSize="0" autoFill="0" autoLine="0" autoPict="0" altText="">
                <anchor moveWithCells="1">
                  <from>
                    <xdr:col>1</xdr:col>
                    <xdr:colOff>0</xdr:colOff>
                    <xdr:row>22</xdr:row>
                    <xdr:rowOff>0</xdr:rowOff>
                  </from>
                  <to>
                    <xdr:col>2</xdr:col>
                    <xdr:colOff>7315</xdr:colOff>
                    <xdr:row>23</xdr:row>
                    <xdr:rowOff>0</xdr:rowOff>
                  </to>
                </anchor>
              </controlPr>
            </control>
          </mc:Choice>
        </mc:AlternateContent>
        <mc:AlternateContent xmlns:mc="http://schemas.openxmlformats.org/markup-compatibility/2006">
          <mc:Choice Requires="x14">
            <control shapeId="43013" r:id="rId7" name="Check Box 5">
              <controlPr defaultSize="0" autoFill="0" autoLine="0" autoPict="0" altText="">
                <anchor moveWithCells="1">
                  <from>
                    <xdr:col>1</xdr:col>
                    <xdr:colOff>0</xdr:colOff>
                    <xdr:row>24</xdr:row>
                    <xdr:rowOff>0</xdr:rowOff>
                  </from>
                  <to>
                    <xdr:col>2</xdr:col>
                    <xdr:colOff>7315</xdr:colOff>
                    <xdr:row>25</xdr:row>
                    <xdr:rowOff>0</xdr:rowOff>
                  </to>
                </anchor>
              </controlPr>
            </control>
          </mc:Choice>
        </mc:AlternateContent>
        <mc:AlternateContent xmlns:mc="http://schemas.openxmlformats.org/markup-compatibility/2006">
          <mc:Choice Requires="x14">
            <control shapeId="43014" r:id="rId8" name="Check Box 6">
              <controlPr defaultSize="0" autoFill="0" autoLine="0" autoPict="0" altText="">
                <anchor moveWithCells="1">
                  <from>
                    <xdr:col>1</xdr:col>
                    <xdr:colOff>0</xdr:colOff>
                    <xdr:row>29</xdr:row>
                    <xdr:rowOff>0</xdr:rowOff>
                  </from>
                  <to>
                    <xdr:col>2</xdr:col>
                    <xdr:colOff>7315</xdr:colOff>
                    <xdr:row>30</xdr:row>
                    <xdr:rowOff>0</xdr:rowOff>
                  </to>
                </anchor>
              </controlPr>
            </control>
          </mc:Choice>
        </mc:AlternateContent>
        <mc:AlternateContent xmlns:mc="http://schemas.openxmlformats.org/markup-compatibility/2006">
          <mc:Choice Requires="x14">
            <control shapeId="43015" r:id="rId9" name="Check Box 7">
              <controlPr defaultSize="0" autoFill="0" autoLine="0" autoPict="0" altText="">
                <anchor moveWithCells="1">
                  <from>
                    <xdr:col>1</xdr:col>
                    <xdr:colOff>0</xdr:colOff>
                    <xdr:row>31</xdr:row>
                    <xdr:rowOff>0</xdr:rowOff>
                  </from>
                  <to>
                    <xdr:col>2</xdr:col>
                    <xdr:colOff>7315</xdr:colOff>
                    <xdr:row>32</xdr:row>
                    <xdr:rowOff>0</xdr:rowOff>
                  </to>
                </anchor>
              </controlPr>
            </control>
          </mc:Choice>
        </mc:AlternateContent>
        <mc:AlternateContent xmlns:mc="http://schemas.openxmlformats.org/markup-compatibility/2006">
          <mc:Choice Requires="x14">
            <control shapeId="43016" r:id="rId10" name="Check Box 8">
              <controlPr defaultSize="0" autoFill="0" autoLine="0" autoPict="0" altText="">
                <anchor moveWithCells="1">
                  <from>
                    <xdr:col>1</xdr:col>
                    <xdr:colOff>0</xdr:colOff>
                    <xdr:row>33</xdr:row>
                    <xdr:rowOff>0</xdr:rowOff>
                  </from>
                  <to>
                    <xdr:col>2</xdr:col>
                    <xdr:colOff>7315</xdr:colOff>
                    <xdr:row>34</xdr:row>
                    <xdr:rowOff>0</xdr:rowOff>
                  </to>
                </anchor>
              </controlPr>
            </control>
          </mc:Choice>
        </mc:AlternateContent>
        <mc:AlternateContent xmlns:mc="http://schemas.openxmlformats.org/markup-compatibility/2006">
          <mc:Choice Requires="x14">
            <control shapeId="43017" r:id="rId11" name="Check Box 9">
              <controlPr defaultSize="0" autoFill="0" autoLine="0" autoPict="0" altText="">
                <anchor moveWithCells="1">
                  <from>
                    <xdr:col>1</xdr:col>
                    <xdr:colOff>0</xdr:colOff>
                    <xdr:row>35</xdr:row>
                    <xdr:rowOff>0</xdr:rowOff>
                  </from>
                  <to>
                    <xdr:col>2</xdr:col>
                    <xdr:colOff>7315</xdr:colOff>
                    <xdr:row>36</xdr:row>
                    <xdr:rowOff>0</xdr:rowOff>
                  </to>
                </anchor>
              </controlPr>
            </control>
          </mc:Choice>
        </mc:AlternateContent>
        <mc:AlternateContent xmlns:mc="http://schemas.openxmlformats.org/markup-compatibility/2006">
          <mc:Choice Requires="x14">
            <control shapeId="43018" r:id="rId12" name="Check Box 10">
              <controlPr defaultSize="0" autoFill="0" autoLine="0" autoPict="0" altText="">
                <anchor moveWithCells="1">
                  <from>
                    <xdr:col>1</xdr:col>
                    <xdr:colOff>0</xdr:colOff>
                    <xdr:row>37</xdr:row>
                    <xdr:rowOff>0</xdr:rowOff>
                  </from>
                  <to>
                    <xdr:col>2</xdr:col>
                    <xdr:colOff>7315</xdr:colOff>
                    <xdr:row>38</xdr:row>
                    <xdr:rowOff>0</xdr:rowOff>
                  </to>
                </anchor>
              </controlPr>
            </control>
          </mc:Choice>
        </mc:AlternateContent>
        <mc:AlternateContent xmlns:mc="http://schemas.openxmlformats.org/markup-compatibility/2006">
          <mc:Choice Requires="x14">
            <control shapeId="43019" r:id="rId13" name="Check Box 11">
              <controlPr defaultSize="0" autoFill="0" autoLine="0" autoPict="0" altText="">
                <anchor moveWithCells="1">
                  <from>
                    <xdr:col>1</xdr:col>
                    <xdr:colOff>0</xdr:colOff>
                    <xdr:row>41</xdr:row>
                    <xdr:rowOff>0</xdr:rowOff>
                  </from>
                  <to>
                    <xdr:col>2</xdr:col>
                    <xdr:colOff>7315</xdr:colOff>
                    <xdr:row>42</xdr:row>
                    <xdr:rowOff>0</xdr:rowOff>
                  </to>
                </anchor>
              </controlPr>
            </control>
          </mc:Choice>
        </mc:AlternateContent>
        <mc:AlternateContent xmlns:mc="http://schemas.openxmlformats.org/markup-compatibility/2006">
          <mc:Choice Requires="x14">
            <control shapeId="43020" r:id="rId14" name="Check Box 12">
              <controlPr defaultSize="0" autoFill="0" autoLine="0" autoPict="0" altText="">
                <anchor moveWithCells="1">
                  <from>
                    <xdr:col>1</xdr:col>
                    <xdr:colOff>0</xdr:colOff>
                    <xdr:row>43</xdr:row>
                    <xdr:rowOff>0</xdr:rowOff>
                  </from>
                  <to>
                    <xdr:col>2</xdr:col>
                    <xdr:colOff>7315</xdr:colOff>
                    <xdr:row>44</xdr:row>
                    <xdr:rowOff>0</xdr:rowOff>
                  </to>
                </anchor>
              </controlPr>
            </control>
          </mc:Choice>
        </mc:AlternateContent>
        <mc:AlternateContent xmlns:mc="http://schemas.openxmlformats.org/markup-compatibility/2006">
          <mc:Choice Requires="x14">
            <control shapeId="43021" r:id="rId15" name="Check Box 13">
              <controlPr defaultSize="0" autoFill="0" autoLine="0" autoPict="0" altText="3 Fahrstreifen">
                <anchor moveWithCells="1">
                  <from>
                    <xdr:col>1</xdr:col>
                    <xdr:colOff>0</xdr:colOff>
                    <xdr:row>45</xdr:row>
                    <xdr:rowOff>0</xdr:rowOff>
                  </from>
                  <to>
                    <xdr:col>2</xdr:col>
                    <xdr:colOff>7315</xdr:colOff>
                    <xdr:row>46</xdr:row>
                    <xdr:rowOff>0</xdr:rowOff>
                  </to>
                </anchor>
              </controlPr>
            </control>
          </mc:Choice>
        </mc:AlternateContent>
        <mc:AlternateContent xmlns:mc="http://schemas.openxmlformats.org/markup-compatibility/2006">
          <mc:Choice Requires="x14">
            <control shapeId="43022" r:id="rId16" name="Check Box 14">
              <controlPr defaultSize="0" autoFill="0" autoLine="0" autoPict="0" altText="">
                <anchor moveWithCells="1">
                  <from>
                    <xdr:col>1</xdr:col>
                    <xdr:colOff>0</xdr:colOff>
                    <xdr:row>47</xdr:row>
                    <xdr:rowOff>0</xdr:rowOff>
                  </from>
                  <to>
                    <xdr:col>2</xdr:col>
                    <xdr:colOff>7315</xdr:colOff>
                    <xdr:row>48</xdr:row>
                    <xdr:rowOff>0</xdr:rowOff>
                  </to>
                </anchor>
              </controlPr>
            </control>
          </mc:Choice>
        </mc:AlternateContent>
        <mc:AlternateContent xmlns:mc="http://schemas.openxmlformats.org/markup-compatibility/2006">
          <mc:Choice Requires="x14">
            <control shapeId="43023" r:id="rId17" name="Check Box 15">
              <controlPr defaultSize="0" autoFill="0" autoLine="0" autoPict="0" altText="">
                <anchor moveWithCells="1">
                  <from>
                    <xdr:col>1</xdr:col>
                    <xdr:colOff>0</xdr:colOff>
                    <xdr:row>49</xdr:row>
                    <xdr:rowOff>0</xdr:rowOff>
                  </from>
                  <to>
                    <xdr:col>2</xdr:col>
                    <xdr:colOff>7315</xdr:colOff>
                    <xdr:row>50</xdr:row>
                    <xdr:rowOff>0</xdr:rowOff>
                  </to>
                </anchor>
              </controlPr>
            </control>
          </mc:Choice>
        </mc:AlternateContent>
        <mc:AlternateContent xmlns:mc="http://schemas.openxmlformats.org/markup-compatibility/2006">
          <mc:Choice Requires="x14">
            <control shapeId="43024" r:id="rId18" name="Check Box 16">
              <controlPr defaultSize="0" autoFill="0" autoLine="0" autoPict="0" altText="">
                <anchor moveWithCells="1">
                  <from>
                    <xdr:col>1</xdr:col>
                    <xdr:colOff>0</xdr:colOff>
                    <xdr:row>51</xdr:row>
                    <xdr:rowOff>0</xdr:rowOff>
                  </from>
                  <to>
                    <xdr:col>2</xdr:col>
                    <xdr:colOff>7315</xdr:colOff>
                    <xdr:row>52</xdr:row>
                    <xdr:rowOff>0</xdr:rowOff>
                  </to>
                </anchor>
              </controlPr>
            </control>
          </mc:Choice>
        </mc:AlternateContent>
        <mc:AlternateContent xmlns:mc="http://schemas.openxmlformats.org/markup-compatibility/2006">
          <mc:Choice Requires="x14">
            <control shapeId="43025" r:id="rId19" name="Check Box 17">
              <controlPr defaultSize="0" autoFill="0" autoLine="0" autoPict="0" altText="">
                <anchor moveWithCells="1">
                  <from>
                    <xdr:col>1</xdr:col>
                    <xdr:colOff>0</xdr:colOff>
                    <xdr:row>53</xdr:row>
                    <xdr:rowOff>0</xdr:rowOff>
                  </from>
                  <to>
                    <xdr:col>2</xdr:col>
                    <xdr:colOff>7315</xdr:colOff>
                    <xdr:row>54</xdr:row>
                    <xdr:rowOff>0</xdr:rowOff>
                  </to>
                </anchor>
              </controlPr>
            </control>
          </mc:Choice>
        </mc:AlternateContent>
        <mc:AlternateContent xmlns:mc="http://schemas.openxmlformats.org/markup-compatibility/2006">
          <mc:Choice Requires="x14">
            <control shapeId="43026" r:id="rId20" name="Check Box 18">
              <controlPr defaultSize="0" autoFill="0" autoLine="0" autoPict="0" altText="">
                <anchor moveWithCells="1">
                  <from>
                    <xdr:col>1</xdr:col>
                    <xdr:colOff>0</xdr:colOff>
                    <xdr:row>62</xdr:row>
                    <xdr:rowOff>0</xdr:rowOff>
                  </from>
                  <to>
                    <xdr:col>2</xdr:col>
                    <xdr:colOff>7315</xdr:colOff>
                    <xdr:row>63</xdr:row>
                    <xdr:rowOff>0</xdr:rowOff>
                  </to>
                </anchor>
              </controlPr>
            </control>
          </mc:Choice>
        </mc:AlternateContent>
        <mc:AlternateContent xmlns:mc="http://schemas.openxmlformats.org/markup-compatibility/2006">
          <mc:Choice Requires="x14">
            <control shapeId="43027" r:id="rId21" name="Check Box 19">
              <controlPr defaultSize="0" autoFill="0" autoLine="0" autoPict="0" altText="">
                <anchor moveWithCells="1">
                  <from>
                    <xdr:col>1</xdr:col>
                    <xdr:colOff>0</xdr:colOff>
                    <xdr:row>64</xdr:row>
                    <xdr:rowOff>0</xdr:rowOff>
                  </from>
                  <to>
                    <xdr:col>2</xdr:col>
                    <xdr:colOff>7315</xdr:colOff>
                    <xdr:row>65</xdr:row>
                    <xdr:rowOff>0</xdr:rowOff>
                  </to>
                </anchor>
              </controlPr>
            </control>
          </mc:Choice>
        </mc:AlternateContent>
        <mc:AlternateContent xmlns:mc="http://schemas.openxmlformats.org/markup-compatibility/2006">
          <mc:Choice Requires="x14">
            <control shapeId="43028" r:id="rId22" name="Check Box 20">
              <controlPr defaultSize="0" autoFill="0" autoLine="0" autoPict="0" altText="">
                <anchor moveWithCells="1">
                  <from>
                    <xdr:col>1</xdr:col>
                    <xdr:colOff>0</xdr:colOff>
                    <xdr:row>66</xdr:row>
                    <xdr:rowOff>0</xdr:rowOff>
                  </from>
                  <to>
                    <xdr:col>2</xdr:col>
                    <xdr:colOff>7315</xdr:colOff>
                    <xdr:row>67</xdr:row>
                    <xdr:rowOff>21946</xdr:rowOff>
                  </to>
                </anchor>
              </controlPr>
            </control>
          </mc:Choice>
        </mc:AlternateContent>
        <mc:AlternateContent xmlns:mc="http://schemas.openxmlformats.org/markup-compatibility/2006">
          <mc:Choice Requires="x14">
            <control shapeId="43029" r:id="rId23" name="Check Box 21">
              <controlPr defaultSize="0" autoFill="0" autoLine="0" autoPict="0" altText="">
                <anchor moveWithCells="1">
                  <from>
                    <xdr:col>1</xdr:col>
                    <xdr:colOff>0</xdr:colOff>
                    <xdr:row>68</xdr:row>
                    <xdr:rowOff>0</xdr:rowOff>
                  </from>
                  <to>
                    <xdr:col>2</xdr:col>
                    <xdr:colOff>7315</xdr:colOff>
                    <xdr:row>69</xdr:row>
                    <xdr:rowOff>0</xdr:rowOff>
                  </to>
                </anchor>
              </controlPr>
            </control>
          </mc:Choice>
        </mc:AlternateContent>
        <mc:AlternateContent xmlns:mc="http://schemas.openxmlformats.org/markup-compatibility/2006">
          <mc:Choice Requires="x14">
            <control shapeId="43030" r:id="rId24" name="Check Box 22">
              <controlPr defaultSize="0" autoFill="0" autoLine="0" autoPict="0" altText="">
                <anchor moveWithCells="1">
                  <from>
                    <xdr:col>1</xdr:col>
                    <xdr:colOff>0</xdr:colOff>
                    <xdr:row>70</xdr:row>
                    <xdr:rowOff>0</xdr:rowOff>
                  </from>
                  <to>
                    <xdr:col>2</xdr:col>
                    <xdr:colOff>7315</xdr:colOff>
                    <xdr:row>71</xdr:row>
                    <xdr:rowOff>0</xdr:rowOff>
                  </to>
                </anchor>
              </controlPr>
            </control>
          </mc:Choice>
        </mc:AlternateContent>
        <mc:AlternateContent xmlns:mc="http://schemas.openxmlformats.org/markup-compatibility/2006">
          <mc:Choice Requires="x14">
            <control shapeId="43031" r:id="rId25" name="Check Box 23">
              <controlPr defaultSize="0" autoFill="0" autoLine="0" autoPict="0" altText="3 Fahrstreifen">
                <anchor moveWithCells="1">
                  <from>
                    <xdr:col>1</xdr:col>
                    <xdr:colOff>0</xdr:colOff>
                    <xdr:row>72</xdr:row>
                    <xdr:rowOff>0</xdr:rowOff>
                  </from>
                  <to>
                    <xdr:col>2</xdr:col>
                    <xdr:colOff>7315</xdr:colOff>
                    <xdr:row>73</xdr:row>
                    <xdr:rowOff>0</xdr:rowOff>
                  </to>
                </anchor>
              </controlPr>
            </control>
          </mc:Choice>
        </mc:AlternateContent>
        <mc:AlternateContent xmlns:mc="http://schemas.openxmlformats.org/markup-compatibility/2006">
          <mc:Choice Requires="x14">
            <control shapeId="43032" r:id="rId26" name="Check Box 24">
              <controlPr defaultSize="0" autoFill="0" autoLine="0" autoPict="0" altText="">
                <anchor moveWithCells="1">
                  <from>
                    <xdr:col>1</xdr:col>
                    <xdr:colOff>0</xdr:colOff>
                    <xdr:row>80</xdr:row>
                    <xdr:rowOff>0</xdr:rowOff>
                  </from>
                  <to>
                    <xdr:col>2</xdr:col>
                    <xdr:colOff>7315</xdr:colOff>
                    <xdr:row>81</xdr:row>
                    <xdr:rowOff>0</xdr:rowOff>
                  </to>
                </anchor>
              </controlPr>
            </control>
          </mc:Choice>
        </mc:AlternateContent>
        <mc:AlternateContent xmlns:mc="http://schemas.openxmlformats.org/markup-compatibility/2006">
          <mc:Choice Requires="x14">
            <control shapeId="43033" r:id="rId27" name="Check Box 25">
              <controlPr defaultSize="0" autoFill="0" autoLine="0" autoPict="0" altText="">
                <anchor moveWithCells="1">
                  <from>
                    <xdr:col>1</xdr:col>
                    <xdr:colOff>0</xdr:colOff>
                    <xdr:row>84</xdr:row>
                    <xdr:rowOff>0</xdr:rowOff>
                  </from>
                  <to>
                    <xdr:col>2</xdr:col>
                    <xdr:colOff>7315</xdr:colOff>
                    <xdr:row>85</xdr:row>
                    <xdr:rowOff>0</xdr:rowOff>
                  </to>
                </anchor>
              </controlPr>
            </control>
          </mc:Choice>
        </mc:AlternateContent>
        <mc:AlternateContent xmlns:mc="http://schemas.openxmlformats.org/markup-compatibility/2006">
          <mc:Choice Requires="x14">
            <control shapeId="43034" r:id="rId28" name="Check Box 26">
              <controlPr defaultSize="0" autoFill="0" autoLine="0" autoPict="0" altText="">
                <anchor moveWithCells="1">
                  <from>
                    <xdr:col>1</xdr:col>
                    <xdr:colOff>0</xdr:colOff>
                    <xdr:row>86</xdr:row>
                    <xdr:rowOff>0</xdr:rowOff>
                  </from>
                  <to>
                    <xdr:col>2</xdr:col>
                    <xdr:colOff>7315</xdr:colOff>
                    <xdr:row>87</xdr:row>
                    <xdr:rowOff>0</xdr:rowOff>
                  </to>
                </anchor>
              </controlPr>
            </control>
          </mc:Choice>
        </mc:AlternateContent>
        <mc:AlternateContent xmlns:mc="http://schemas.openxmlformats.org/markup-compatibility/2006">
          <mc:Choice Requires="x14">
            <control shapeId="43035" r:id="rId29" name="Check Box 27">
              <controlPr defaultSize="0" autoFill="0" autoLine="0" autoPict="0" altText="">
                <anchor moveWithCells="1">
                  <from>
                    <xdr:col>1</xdr:col>
                    <xdr:colOff>0</xdr:colOff>
                    <xdr:row>88</xdr:row>
                    <xdr:rowOff>0</xdr:rowOff>
                  </from>
                  <to>
                    <xdr:col>2</xdr:col>
                    <xdr:colOff>7315</xdr:colOff>
                    <xdr:row>89</xdr:row>
                    <xdr:rowOff>0</xdr:rowOff>
                  </to>
                </anchor>
              </controlPr>
            </control>
          </mc:Choice>
        </mc:AlternateContent>
        <mc:AlternateContent xmlns:mc="http://schemas.openxmlformats.org/markup-compatibility/2006">
          <mc:Choice Requires="x14">
            <control shapeId="43036" r:id="rId30" name="Check Box 28">
              <controlPr defaultSize="0" autoFill="0" autoLine="0" autoPict="0" altText="">
                <anchor moveWithCells="1">
                  <from>
                    <xdr:col>1</xdr:col>
                    <xdr:colOff>0</xdr:colOff>
                    <xdr:row>97</xdr:row>
                    <xdr:rowOff>0</xdr:rowOff>
                  </from>
                  <to>
                    <xdr:col>2</xdr:col>
                    <xdr:colOff>7315</xdr:colOff>
                    <xdr:row>98</xdr:row>
                    <xdr:rowOff>0</xdr:rowOff>
                  </to>
                </anchor>
              </controlPr>
            </control>
          </mc:Choice>
        </mc:AlternateContent>
        <mc:AlternateContent xmlns:mc="http://schemas.openxmlformats.org/markup-compatibility/2006">
          <mc:Choice Requires="x14">
            <control shapeId="43037" r:id="rId31" name="Check Box 29">
              <controlPr defaultSize="0" autoFill="0" autoLine="0" autoPict="0" altText="">
                <anchor moveWithCells="1">
                  <from>
                    <xdr:col>1</xdr:col>
                    <xdr:colOff>0</xdr:colOff>
                    <xdr:row>101</xdr:row>
                    <xdr:rowOff>0</xdr:rowOff>
                  </from>
                  <to>
                    <xdr:col>2</xdr:col>
                    <xdr:colOff>7315</xdr:colOff>
                    <xdr:row>102</xdr:row>
                    <xdr:rowOff>0</xdr:rowOff>
                  </to>
                </anchor>
              </controlPr>
            </control>
          </mc:Choice>
        </mc:AlternateContent>
        <mc:AlternateContent xmlns:mc="http://schemas.openxmlformats.org/markup-compatibility/2006">
          <mc:Choice Requires="x14">
            <control shapeId="43038" r:id="rId32" name="Check Box 30">
              <controlPr defaultSize="0" autoFill="0" autoLine="0" autoPict="0" altText="3 Fahrstreifen">
                <anchor moveWithCells="1">
                  <from>
                    <xdr:col>1</xdr:col>
                    <xdr:colOff>0</xdr:colOff>
                    <xdr:row>99</xdr:row>
                    <xdr:rowOff>0</xdr:rowOff>
                  </from>
                  <to>
                    <xdr:col>2</xdr:col>
                    <xdr:colOff>7315</xdr:colOff>
                    <xdr:row>100</xdr:row>
                    <xdr:rowOff>0</xdr:rowOff>
                  </to>
                </anchor>
              </controlPr>
            </control>
          </mc:Choice>
        </mc:AlternateContent>
        <mc:AlternateContent xmlns:mc="http://schemas.openxmlformats.org/markup-compatibility/2006">
          <mc:Choice Requires="x14">
            <control shapeId="43039" r:id="rId33" name="Check Box 31">
              <controlPr defaultSize="0" autoFill="0" autoLine="0" autoPict="0" altText="3 Fahrstreifen">
                <anchor moveWithCells="1">
                  <from>
                    <xdr:col>1</xdr:col>
                    <xdr:colOff>0</xdr:colOff>
                    <xdr:row>103</xdr:row>
                    <xdr:rowOff>0</xdr:rowOff>
                  </from>
                  <to>
                    <xdr:col>2</xdr:col>
                    <xdr:colOff>7315</xdr:colOff>
                    <xdr:row>104</xdr:row>
                    <xdr:rowOff>0</xdr:rowOff>
                  </to>
                </anchor>
              </controlPr>
            </control>
          </mc:Choice>
        </mc:AlternateContent>
        <mc:AlternateContent xmlns:mc="http://schemas.openxmlformats.org/markup-compatibility/2006">
          <mc:Choice Requires="x14">
            <control shapeId="43040" r:id="rId34" name="Check Box 32">
              <controlPr defaultSize="0" autoFill="0" autoLine="0" autoPict="0" altText="">
                <anchor moveWithCells="1">
                  <from>
                    <xdr:col>1</xdr:col>
                    <xdr:colOff>0</xdr:colOff>
                    <xdr:row>105</xdr:row>
                    <xdr:rowOff>0</xdr:rowOff>
                  </from>
                  <to>
                    <xdr:col>2</xdr:col>
                    <xdr:colOff>7315</xdr:colOff>
                    <xdr:row>106</xdr:row>
                    <xdr:rowOff>7315</xdr:rowOff>
                  </to>
                </anchor>
              </controlPr>
            </control>
          </mc:Choice>
        </mc:AlternateContent>
        <mc:AlternateContent xmlns:mc="http://schemas.openxmlformats.org/markup-compatibility/2006">
          <mc:Choice Requires="x14">
            <control shapeId="43041" r:id="rId35" name="Check Box 33">
              <controlPr defaultSize="0" autoFill="0" autoLine="0" autoPict="0" altText="">
                <anchor moveWithCells="1">
                  <from>
                    <xdr:col>1</xdr:col>
                    <xdr:colOff>0</xdr:colOff>
                    <xdr:row>110</xdr:row>
                    <xdr:rowOff>0</xdr:rowOff>
                  </from>
                  <to>
                    <xdr:col>2</xdr:col>
                    <xdr:colOff>7315</xdr:colOff>
                    <xdr:row>111</xdr:row>
                    <xdr:rowOff>0</xdr:rowOff>
                  </to>
                </anchor>
              </controlPr>
            </control>
          </mc:Choice>
        </mc:AlternateContent>
        <mc:AlternateContent xmlns:mc="http://schemas.openxmlformats.org/markup-compatibility/2006">
          <mc:Choice Requires="x14">
            <control shapeId="43042" r:id="rId36" name="Check Box 34">
              <controlPr defaultSize="0" autoFill="0" autoLine="0" autoPict="0" altText="">
                <anchor moveWithCells="1">
                  <from>
                    <xdr:col>1</xdr:col>
                    <xdr:colOff>0</xdr:colOff>
                    <xdr:row>112</xdr:row>
                    <xdr:rowOff>0</xdr:rowOff>
                  </from>
                  <to>
                    <xdr:col>2</xdr:col>
                    <xdr:colOff>7315</xdr:colOff>
                    <xdr:row>113</xdr:row>
                    <xdr:rowOff>0</xdr:rowOff>
                  </to>
                </anchor>
              </controlPr>
            </control>
          </mc:Choice>
        </mc:AlternateContent>
        <mc:AlternateContent xmlns:mc="http://schemas.openxmlformats.org/markup-compatibility/2006">
          <mc:Choice Requires="x14">
            <control shapeId="43043" r:id="rId37" name="Check Box 35">
              <controlPr defaultSize="0" autoFill="0" autoLine="0" autoPict="0" altText="">
                <anchor moveWithCells="1">
                  <from>
                    <xdr:col>1</xdr:col>
                    <xdr:colOff>0</xdr:colOff>
                    <xdr:row>114</xdr:row>
                    <xdr:rowOff>0</xdr:rowOff>
                  </from>
                  <to>
                    <xdr:col>2</xdr:col>
                    <xdr:colOff>7315</xdr:colOff>
                    <xdr:row>115</xdr:row>
                    <xdr:rowOff>0</xdr:rowOff>
                  </to>
                </anchor>
              </controlPr>
            </control>
          </mc:Choice>
        </mc:AlternateContent>
        <mc:AlternateContent xmlns:mc="http://schemas.openxmlformats.org/markup-compatibility/2006">
          <mc:Choice Requires="x14">
            <control shapeId="43044" r:id="rId38" name="Check Box 36">
              <controlPr defaultSize="0" autoFill="0" autoLine="0" autoPict="0" altText="">
                <anchor moveWithCells="1">
                  <from>
                    <xdr:col>1</xdr:col>
                    <xdr:colOff>0</xdr:colOff>
                    <xdr:row>116</xdr:row>
                    <xdr:rowOff>0</xdr:rowOff>
                  </from>
                  <to>
                    <xdr:col>2</xdr:col>
                    <xdr:colOff>7315</xdr:colOff>
                    <xdr:row>117</xdr:row>
                    <xdr:rowOff>0</xdr:rowOff>
                  </to>
                </anchor>
              </controlPr>
            </control>
          </mc:Choice>
        </mc:AlternateContent>
        <mc:AlternateContent xmlns:mc="http://schemas.openxmlformats.org/markup-compatibility/2006">
          <mc:Choice Requires="x14">
            <control shapeId="43045" r:id="rId39" name="Check Box 37">
              <controlPr defaultSize="0" autoFill="0" autoLine="0" autoPict="0" altText="">
                <anchor moveWithCells="1">
                  <from>
                    <xdr:col>1</xdr:col>
                    <xdr:colOff>0</xdr:colOff>
                    <xdr:row>121</xdr:row>
                    <xdr:rowOff>0</xdr:rowOff>
                  </from>
                  <to>
                    <xdr:col>2</xdr:col>
                    <xdr:colOff>7315</xdr:colOff>
                    <xdr:row>122</xdr:row>
                    <xdr:rowOff>0</xdr:rowOff>
                  </to>
                </anchor>
              </controlPr>
            </control>
          </mc:Choice>
        </mc:AlternateContent>
        <mc:AlternateContent xmlns:mc="http://schemas.openxmlformats.org/markup-compatibility/2006">
          <mc:Choice Requires="x14">
            <control shapeId="43046" r:id="rId40" name="Check Box 38">
              <controlPr defaultSize="0" autoFill="0" autoLine="0" autoPict="0" altText="">
                <anchor moveWithCells="1">
                  <from>
                    <xdr:col>1</xdr:col>
                    <xdr:colOff>0</xdr:colOff>
                    <xdr:row>123</xdr:row>
                    <xdr:rowOff>0</xdr:rowOff>
                  </from>
                  <to>
                    <xdr:col>2</xdr:col>
                    <xdr:colOff>7315</xdr:colOff>
                    <xdr:row>124</xdr:row>
                    <xdr:rowOff>0</xdr:rowOff>
                  </to>
                </anchor>
              </controlPr>
            </control>
          </mc:Choice>
        </mc:AlternateContent>
        <mc:AlternateContent xmlns:mc="http://schemas.openxmlformats.org/markup-compatibility/2006">
          <mc:Choice Requires="x14">
            <control shapeId="43047" r:id="rId41" name="Check Box 39">
              <controlPr defaultSize="0" autoFill="0" autoLine="0" autoPict="0" altText="3 Fahrstreifen">
                <anchor moveWithCells="1">
                  <from>
                    <xdr:col>1</xdr:col>
                    <xdr:colOff>0</xdr:colOff>
                    <xdr:row>125</xdr:row>
                    <xdr:rowOff>0</xdr:rowOff>
                  </from>
                  <to>
                    <xdr:col>2</xdr:col>
                    <xdr:colOff>7315</xdr:colOff>
                    <xdr:row>126</xdr:row>
                    <xdr:rowOff>0</xdr:rowOff>
                  </to>
                </anchor>
              </controlPr>
            </control>
          </mc:Choice>
        </mc:AlternateContent>
        <mc:AlternateContent xmlns:mc="http://schemas.openxmlformats.org/markup-compatibility/2006">
          <mc:Choice Requires="x14">
            <control shapeId="43048" r:id="rId42" name="Check Box 40">
              <controlPr defaultSize="0" autoFill="0" autoLine="0" autoPict="0" altText="">
                <anchor moveWithCells="1">
                  <from>
                    <xdr:col>1</xdr:col>
                    <xdr:colOff>0</xdr:colOff>
                    <xdr:row>127</xdr:row>
                    <xdr:rowOff>0</xdr:rowOff>
                  </from>
                  <to>
                    <xdr:col>2</xdr:col>
                    <xdr:colOff>7315</xdr:colOff>
                    <xdr:row>128</xdr:row>
                    <xdr:rowOff>0</xdr:rowOff>
                  </to>
                </anchor>
              </controlPr>
            </control>
          </mc:Choice>
        </mc:AlternateContent>
        <mc:AlternateContent xmlns:mc="http://schemas.openxmlformats.org/markup-compatibility/2006">
          <mc:Choice Requires="x14">
            <control shapeId="43049" r:id="rId43" name="Check Box 41">
              <controlPr defaultSize="0" autoFill="0" autoLine="0" autoPict="0" altText="3 Fahrstreifen">
                <anchor moveWithCells="1">
                  <from>
                    <xdr:col>1</xdr:col>
                    <xdr:colOff>0</xdr:colOff>
                    <xdr:row>129</xdr:row>
                    <xdr:rowOff>0</xdr:rowOff>
                  </from>
                  <to>
                    <xdr:col>2</xdr:col>
                    <xdr:colOff>7315</xdr:colOff>
                    <xdr:row>130</xdr:row>
                    <xdr:rowOff>0</xdr:rowOff>
                  </to>
                </anchor>
              </controlPr>
            </control>
          </mc:Choice>
        </mc:AlternateContent>
        <mc:AlternateContent xmlns:mc="http://schemas.openxmlformats.org/markup-compatibility/2006">
          <mc:Choice Requires="x14">
            <control shapeId="43050" r:id="rId44" name="Check Box 42">
              <controlPr defaultSize="0" autoFill="0" autoLine="0" autoPict="0" altText="">
                <anchor moveWithCells="1">
                  <from>
                    <xdr:col>1</xdr:col>
                    <xdr:colOff>0</xdr:colOff>
                    <xdr:row>131</xdr:row>
                    <xdr:rowOff>0</xdr:rowOff>
                  </from>
                  <to>
                    <xdr:col>2</xdr:col>
                    <xdr:colOff>7315</xdr:colOff>
                    <xdr:row>132</xdr:row>
                    <xdr:rowOff>0</xdr:rowOff>
                  </to>
                </anchor>
              </controlPr>
            </control>
          </mc:Choice>
        </mc:AlternateContent>
        <mc:AlternateContent xmlns:mc="http://schemas.openxmlformats.org/markup-compatibility/2006">
          <mc:Choice Requires="x14">
            <control shapeId="43051" r:id="rId45" name="Check Box 43">
              <controlPr defaultSize="0" autoFill="0" autoLine="0" autoPict="0" altText="">
                <anchor moveWithCells="1">
                  <from>
                    <xdr:col>1</xdr:col>
                    <xdr:colOff>0</xdr:colOff>
                    <xdr:row>133</xdr:row>
                    <xdr:rowOff>0</xdr:rowOff>
                  </from>
                  <to>
                    <xdr:col>2</xdr:col>
                    <xdr:colOff>7315</xdr:colOff>
                    <xdr:row>134</xdr:row>
                    <xdr:rowOff>0</xdr:rowOff>
                  </to>
                </anchor>
              </controlPr>
            </control>
          </mc:Choice>
        </mc:AlternateContent>
        <mc:AlternateContent xmlns:mc="http://schemas.openxmlformats.org/markup-compatibility/2006">
          <mc:Choice Requires="x14">
            <control shapeId="43052" r:id="rId46" name="Check Box 44">
              <controlPr defaultSize="0" autoFill="0" autoLine="0" autoPict="0" altText="">
                <anchor moveWithCells="1">
                  <from>
                    <xdr:col>1</xdr:col>
                    <xdr:colOff>0</xdr:colOff>
                    <xdr:row>139</xdr:row>
                    <xdr:rowOff>0</xdr:rowOff>
                  </from>
                  <to>
                    <xdr:col>2</xdr:col>
                    <xdr:colOff>7315</xdr:colOff>
                    <xdr:row>140</xdr:row>
                    <xdr:rowOff>0</xdr:rowOff>
                  </to>
                </anchor>
              </controlPr>
            </control>
          </mc:Choice>
        </mc:AlternateContent>
        <mc:AlternateContent xmlns:mc="http://schemas.openxmlformats.org/markup-compatibility/2006">
          <mc:Choice Requires="x14">
            <control shapeId="43053" r:id="rId47" name="Check Box 45">
              <controlPr defaultSize="0" autoFill="0" autoLine="0" autoPict="0" altText="">
                <anchor moveWithCells="1">
                  <from>
                    <xdr:col>1</xdr:col>
                    <xdr:colOff>0</xdr:colOff>
                    <xdr:row>142</xdr:row>
                    <xdr:rowOff>0</xdr:rowOff>
                  </from>
                  <to>
                    <xdr:col>2</xdr:col>
                    <xdr:colOff>7315</xdr:colOff>
                    <xdr:row>143</xdr:row>
                    <xdr:rowOff>0</xdr:rowOff>
                  </to>
                </anchor>
              </controlPr>
            </control>
          </mc:Choice>
        </mc:AlternateContent>
        <mc:AlternateContent xmlns:mc="http://schemas.openxmlformats.org/markup-compatibility/2006">
          <mc:Choice Requires="x14">
            <control shapeId="43054" r:id="rId48" name="Check Box 46">
              <controlPr defaultSize="0" autoFill="0" autoLine="0" autoPict="0" altText="">
                <anchor moveWithCells="1">
                  <from>
                    <xdr:col>1</xdr:col>
                    <xdr:colOff>0</xdr:colOff>
                    <xdr:row>145</xdr:row>
                    <xdr:rowOff>0</xdr:rowOff>
                  </from>
                  <to>
                    <xdr:col>2</xdr:col>
                    <xdr:colOff>7315</xdr:colOff>
                    <xdr:row>146</xdr:row>
                    <xdr:rowOff>0</xdr:rowOff>
                  </to>
                </anchor>
              </controlPr>
            </control>
          </mc:Choice>
        </mc:AlternateContent>
        <mc:AlternateContent xmlns:mc="http://schemas.openxmlformats.org/markup-compatibility/2006">
          <mc:Choice Requires="x14">
            <control shapeId="43055" r:id="rId49" name="Check Box 47">
              <controlPr defaultSize="0" autoFill="0" autoLine="0" autoPict="0" altText="">
                <anchor moveWithCells="1">
                  <from>
                    <xdr:col>1</xdr:col>
                    <xdr:colOff>0</xdr:colOff>
                    <xdr:row>147</xdr:row>
                    <xdr:rowOff>0</xdr:rowOff>
                  </from>
                  <to>
                    <xdr:col>2</xdr:col>
                    <xdr:colOff>7315</xdr:colOff>
                    <xdr:row>148</xdr:row>
                    <xdr:rowOff>0</xdr:rowOff>
                  </to>
                </anchor>
              </controlPr>
            </control>
          </mc:Choice>
        </mc:AlternateContent>
        <mc:AlternateContent xmlns:mc="http://schemas.openxmlformats.org/markup-compatibility/2006">
          <mc:Choice Requires="x14">
            <control shapeId="43056" r:id="rId50" name="Check Box 48">
              <controlPr defaultSize="0" autoFill="0" autoLine="0" autoPict="0" altText="">
                <anchor moveWithCells="1">
                  <from>
                    <xdr:col>1</xdr:col>
                    <xdr:colOff>0</xdr:colOff>
                    <xdr:row>150</xdr:row>
                    <xdr:rowOff>0</xdr:rowOff>
                  </from>
                  <to>
                    <xdr:col>2</xdr:col>
                    <xdr:colOff>7315</xdr:colOff>
                    <xdr:row>151</xdr:row>
                    <xdr:rowOff>0</xdr:rowOff>
                  </to>
                </anchor>
              </controlPr>
            </control>
          </mc:Choice>
        </mc:AlternateContent>
        <mc:AlternateContent xmlns:mc="http://schemas.openxmlformats.org/markup-compatibility/2006">
          <mc:Choice Requires="x14">
            <control shapeId="43057" r:id="rId51" name="Check Box 49">
              <controlPr defaultSize="0" autoFill="0" autoLine="0" autoPict="0" altText="">
                <anchor moveWithCells="1">
                  <from>
                    <xdr:col>1</xdr:col>
                    <xdr:colOff>0</xdr:colOff>
                    <xdr:row>152</xdr:row>
                    <xdr:rowOff>0</xdr:rowOff>
                  </from>
                  <to>
                    <xdr:col>2</xdr:col>
                    <xdr:colOff>7315</xdr:colOff>
                    <xdr:row>153</xdr:row>
                    <xdr:rowOff>0</xdr:rowOff>
                  </to>
                </anchor>
              </controlPr>
            </control>
          </mc:Choice>
        </mc:AlternateContent>
        <mc:AlternateContent xmlns:mc="http://schemas.openxmlformats.org/markup-compatibility/2006">
          <mc:Choice Requires="x14">
            <control shapeId="43058" r:id="rId52" name="Check Box 50">
              <controlPr defaultSize="0" autoFill="0" autoLine="0" autoPict="0" altText="">
                <anchor moveWithCells="1">
                  <from>
                    <xdr:col>1</xdr:col>
                    <xdr:colOff>0</xdr:colOff>
                    <xdr:row>155</xdr:row>
                    <xdr:rowOff>0</xdr:rowOff>
                  </from>
                  <to>
                    <xdr:col>2</xdr:col>
                    <xdr:colOff>7315</xdr:colOff>
                    <xdr:row>156</xdr:row>
                    <xdr:rowOff>7315</xdr:rowOff>
                  </to>
                </anchor>
              </controlPr>
            </control>
          </mc:Choice>
        </mc:AlternateContent>
        <mc:AlternateContent xmlns:mc="http://schemas.openxmlformats.org/markup-compatibility/2006">
          <mc:Choice Requires="x14">
            <control shapeId="43059" r:id="rId53" name="Check Box 51">
              <controlPr defaultSize="0" autoFill="0" autoLine="0" autoPict="0" altText="">
                <anchor moveWithCells="1">
                  <from>
                    <xdr:col>1</xdr:col>
                    <xdr:colOff>0</xdr:colOff>
                    <xdr:row>157</xdr:row>
                    <xdr:rowOff>0</xdr:rowOff>
                  </from>
                  <to>
                    <xdr:col>2</xdr:col>
                    <xdr:colOff>7315</xdr:colOff>
                    <xdr:row>158</xdr:row>
                    <xdr:rowOff>0</xdr:rowOff>
                  </to>
                </anchor>
              </controlPr>
            </control>
          </mc:Choice>
        </mc:AlternateContent>
        <mc:AlternateContent xmlns:mc="http://schemas.openxmlformats.org/markup-compatibility/2006">
          <mc:Choice Requires="x14">
            <control shapeId="43060" r:id="rId54" name="Check Box 52">
              <controlPr defaultSize="0" autoFill="0" autoLine="0" autoPict="0" altText="">
                <anchor moveWithCells="1">
                  <from>
                    <xdr:col>1</xdr:col>
                    <xdr:colOff>0</xdr:colOff>
                    <xdr:row>162</xdr:row>
                    <xdr:rowOff>0</xdr:rowOff>
                  </from>
                  <to>
                    <xdr:col>2</xdr:col>
                    <xdr:colOff>7315</xdr:colOff>
                    <xdr:row>163</xdr:row>
                    <xdr:rowOff>7315</xdr:rowOff>
                  </to>
                </anchor>
              </controlPr>
            </control>
          </mc:Choice>
        </mc:AlternateContent>
        <mc:AlternateContent xmlns:mc="http://schemas.openxmlformats.org/markup-compatibility/2006">
          <mc:Choice Requires="x14">
            <control shapeId="43061" r:id="rId55" name="Check Box 53">
              <controlPr defaultSize="0" autoFill="0" autoLine="0" autoPict="0" altText="">
                <anchor moveWithCells="1">
                  <from>
                    <xdr:col>1</xdr:col>
                    <xdr:colOff>0</xdr:colOff>
                    <xdr:row>164</xdr:row>
                    <xdr:rowOff>0</xdr:rowOff>
                  </from>
                  <to>
                    <xdr:col>2</xdr:col>
                    <xdr:colOff>7315</xdr:colOff>
                    <xdr:row>165</xdr:row>
                    <xdr:rowOff>0</xdr:rowOff>
                  </to>
                </anchor>
              </controlPr>
            </control>
          </mc:Choice>
        </mc:AlternateContent>
        <mc:AlternateContent xmlns:mc="http://schemas.openxmlformats.org/markup-compatibility/2006">
          <mc:Choice Requires="x14">
            <control shapeId="43062" r:id="rId56" name="Check Box 54">
              <controlPr defaultSize="0" autoFill="0" autoLine="0" autoPict="0" altText="">
                <anchor moveWithCells="1">
                  <from>
                    <xdr:col>1</xdr:col>
                    <xdr:colOff>0</xdr:colOff>
                    <xdr:row>166</xdr:row>
                    <xdr:rowOff>0</xdr:rowOff>
                  </from>
                  <to>
                    <xdr:col>2</xdr:col>
                    <xdr:colOff>7315</xdr:colOff>
                    <xdr:row>167</xdr:row>
                    <xdr:rowOff>0</xdr:rowOff>
                  </to>
                </anchor>
              </controlPr>
            </control>
          </mc:Choice>
        </mc:AlternateContent>
        <mc:AlternateContent xmlns:mc="http://schemas.openxmlformats.org/markup-compatibility/2006">
          <mc:Choice Requires="x14">
            <control shapeId="43063" r:id="rId57" name="Check Box 55">
              <controlPr defaultSize="0" autoFill="0" autoLine="0" autoPict="0" altText="">
                <anchor moveWithCells="1">
                  <from>
                    <xdr:col>1</xdr:col>
                    <xdr:colOff>0</xdr:colOff>
                    <xdr:row>168</xdr:row>
                    <xdr:rowOff>0</xdr:rowOff>
                  </from>
                  <to>
                    <xdr:col>2</xdr:col>
                    <xdr:colOff>7315</xdr:colOff>
                    <xdr:row>169</xdr:row>
                    <xdr:rowOff>0</xdr:rowOff>
                  </to>
                </anchor>
              </controlPr>
            </control>
          </mc:Choice>
        </mc:AlternateContent>
        <mc:AlternateContent xmlns:mc="http://schemas.openxmlformats.org/markup-compatibility/2006">
          <mc:Choice Requires="x14">
            <control shapeId="43064" r:id="rId58" name="Check Box 56">
              <controlPr defaultSize="0" autoFill="0" autoLine="0" autoPict="0" altText="">
                <anchor moveWithCells="1">
                  <from>
                    <xdr:col>1</xdr:col>
                    <xdr:colOff>0</xdr:colOff>
                    <xdr:row>170</xdr:row>
                    <xdr:rowOff>0</xdr:rowOff>
                  </from>
                  <to>
                    <xdr:col>2</xdr:col>
                    <xdr:colOff>7315</xdr:colOff>
                    <xdr:row>171</xdr:row>
                    <xdr:rowOff>7315</xdr:rowOff>
                  </to>
                </anchor>
              </controlPr>
            </control>
          </mc:Choice>
        </mc:AlternateContent>
        <mc:AlternateContent xmlns:mc="http://schemas.openxmlformats.org/markup-compatibility/2006">
          <mc:Choice Requires="x14">
            <control shapeId="43065" r:id="rId59" name="Check Box 57">
              <controlPr defaultSize="0" autoFill="0" autoLine="0" autoPict="0" altText="">
                <anchor moveWithCells="1">
                  <from>
                    <xdr:col>1</xdr:col>
                    <xdr:colOff>0</xdr:colOff>
                    <xdr:row>173</xdr:row>
                    <xdr:rowOff>0</xdr:rowOff>
                  </from>
                  <to>
                    <xdr:col>2</xdr:col>
                    <xdr:colOff>7315</xdr:colOff>
                    <xdr:row>174</xdr:row>
                    <xdr:rowOff>0</xdr:rowOff>
                  </to>
                </anchor>
              </controlPr>
            </control>
          </mc:Choice>
        </mc:AlternateContent>
        <mc:AlternateContent xmlns:mc="http://schemas.openxmlformats.org/markup-compatibility/2006">
          <mc:Choice Requires="x14">
            <control shapeId="43066" r:id="rId60" name="Check Box 58">
              <controlPr defaultSize="0" autoFill="0" autoLine="0" autoPict="0" altText="">
                <anchor moveWithCells="1">
                  <from>
                    <xdr:col>1</xdr:col>
                    <xdr:colOff>0</xdr:colOff>
                    <xdr:row>176</xdr:row>
                    <xdr:rowOff>0</xdr:rowOff>
                  </from>
                  <to>
                    <xdr:col>2</xdr:col>
                    <xdr:colOff>7315</xdr:colOff>
                    <xdr:row>177</xdr:row>
                    <xdr:rowOff>0</xdr:rowOff>
                  </to>
                </anchor>
              </controlPr>
            </control>
          </mc:Choice>
        </mc:AlternateContent>
        <mc:AlternateContent xmlns:mc="http://schemas.openxmlformats.org/markup-compatibility/2006">
          <mc:Choice Requires="x14">
            <control shapeId="43067" r:id="rId61" name="Check Box 59">
              <controlPr defaultSize="0" autoFill="0" autoLine="0" autoPict="0" altText="">
                <anchor moveWithCells="1">
                  <from>
                    <xdr:col>1</xdr:col>
                    <xdr:colOff>0</xdr:colOff>
                    <xdr:row>178</xdr:row>
                    <xdr:rowOff>0</xdr:rowOff>
                  </from>
                  <to>
                    <xdr:col>2</xdr:col>
                    <xdr:colOff>7315</xdr:colOff>
                    <xdr:row>179</xdr:row>
                    <xdr:rowOff>0</xdr:rowOff>
                  </to>
                </anchor>
              </controlPr>
            </control>
          </mc:Choice>
        </mc:AlternateContent>
        <mc:AlternateContent xmlns:mc="http://schemas.openxmlformats.org/markup-compatibility/2006">
          <mc:Choice Requires="x14">
            <control shapeId="43068" r:id="rId62" name="Check Box 60">
              <controlPr defaultSize="0" autoFill="0" autoLine="0" autoPict="0" altText="">
                <anchor moveWithCells="1">
                  <from>
                    <xdr:col>1</xdr:col>
                    <xdr:colOff>0</xdr:colOff>
                    <xdr:row>181</xdr:row>
                    <xdr:rowOff>0</xdr:rowOff>
                  </from>
                  <to>
                    <xdr:col>2</xdr:col>
                    <xdr:colOff>7315</xdr:colOff>
                    <xdr:row>182</xdr:row>
                    <xdr:rowOff>0</xdr:rowOff>
                  </to>
                </anchor>
              </controlPr>
            </control>
          </mc:Choice>
        </mc:AlternateContent>
        <mc:AlternateContent xmlns:mc="http://schemas.openxmlformats.org/markup-compatibility/2006">
          <mc:Choice Requires="x14">
            <control shapeId="43069" r:id="rId63" name="Check Box 61">
              <controlPr defaultSize="0" autoFill="0" autoLine="0" autoPict="0" altText="">
                <anchor moveWithCells="1">
                  <from>
                    <xdr:col>1</xdr:col>
                    <xdr:colOff>0</xdr:colOff>
                    <xdr:row>183</xdr:row>
                    <xdr:rowOff>0</xdr:rowOff>
                  </from>
                  <to>
                    <xdr:col>2</xdr:col>
                    <xdr:colOff>7315</xdr:colOff>
                    <xdr:row>184</xdr:row>
                    <xdr:rowOff>7315</xdr:rowOff>
                  </to>
                </anchor>
              </controlPr>
            </control>
          </mc:Choice>
        </mc:AlternateContent>
        <mc:AlternateContent xmlns:mc="http://schemas.openxmlformats.org/markup-compatibility/2006">
          <mc:Choice Requires="x14">
            <control shapeId="43070" r:id="rId64" name="Check Box 62">
              <controlPr defaultSize="0" autoFill="0" autoLine="0" autoPict="0" altText="">
                <anchor moveWithCells="1">
                  <from>
                    <xdr:col>1</xdr:col>
                    <xdr:colOff>0</xdr:colOff>
                    <xdr:row>188</xdr:row>
                    <xdr:rowOff>0</xdr:rowOff>
                  </from>
                  <to>
                    <xdr:col>2</xdr:col>
                    <xdr:colOff>7315</xdr:colOff>
                    <xdr:row>189</xdr:row>
                    <xdr:rowOff>7315</xdr:rowOff>
                  </to>
                </anchor>
              </controlPr>
            </control>
          </mc:Choice>
        </mc:AlternateContent>
        <mc:AlternateContent xmlns:mc="http://schemas.openxmlformats.org/markup-compatibility/2006">
          <mc:Choice Requires="x14">
            <control shapeId="43071" r:id="rId65" name="Check Box 63">
              <controlPr defaultSize="0" autoFill="0" autoLine="0" autoPict="0" altText="">
                <anchor moveWithCells="1">
                  <from>
                    <xdr:col>1</xdr:col>
                    <xdr:colOff>0</xdr:colOff>
                    <xdr:row>190</xdr:row>
                    <xdr:rowOff>0</xdr:rowOff>
                  </from>
                  <to>
                    <xdr:col>2</xdr:col>
                    <xdr:colOff>7315</xdr:colOff>
                    <xdr:row>191</xdr:row>
                    <xdr:rowOff>7315</xdr:rowOff>
                  </to>
                </anchor>
              </controlPr>
            </control>
          </mc:Choice>
        </mc:AlternateContent>
        <mc:AlternateContent xmlns:mc="http://schemas.openxmlformats.org/markup-compatibility/2006">
          <mc:Choice Requires="x14">
            <control shapeId="43072" r:id="rId66" name="Check Box 64">
              <controlPr defaultSize="0" autoFill="0" autoLine="0" autoPict="0" altText="">
                <anchor moveWithCells="1">
                  <from>
                    <xdr:col>1</xdr:col>
                    <xdr:colOff>0</xdr:colOff>
                    <xdr:row>192</xdr:row>
                    <xdr:rowOff>0</xdr:rowOff>
                  </from>
                  <to>
                    <xdr:col>2</xdr:col>
                    <xdr:colOff>7315</xdr:colOff>
                    <xdr:row>193</xdr:row>
                    <xdr:rowOff>0</xdr:rowOff>
                  </to>
                </anchor>
              </controlPr>
            </control>
          </mc:Choice>
        </mc:AlternateContent>
        <mc:AlternateContent xmlns:mc="http://schemas.openxmlformats.org/markup-compatibility/2006">
          <mc:Choice Requires="x14">
            <control shapeId="43073" r:id="rId67" name="Check Box 65">
              <controlPr defaultSize="0" autoFill="0" autoLine="0" autoPict="0" altText="">
                <anchor moveWithCells="1">
                  <from>
                    <xdr:col>1</xdr:col>
                    <xdr:colOff>0</xdr:colOff>
                    <xdr:row>76</xdr:row>
                    <xdr:rowOff>0</xdr:rowOff>
                  </from>
                  <to>
                    <xdr:col>2</xdr:col>
                    <xdr:colOff>7315</xdr:colOff>
                    <xdr:row>77</xdr:row>
                    <xdr:rowOff>0</xdr:rowOff>
                  </to>
                </anchor>
              </controlPr>
            </control>
          </mc:Choice>
        </mc:AlternateContent>
        <mc:AlternateContent xmlns:mc="http://schemas.openxmlformats.org/markup-compatibility/2006">
          <mc:Choice Requires="x14">
            <control shapeId="43074" r:id="rId68" name="Check Box 66">
              <controlPr defaultSize="0" autoFill="0" autoLine="0" autoPict="0" altText="">
                <anchor moveWithCells="1">
                  <from>
                    <xdr:col>1</xdr:col>
                    <xdr:colOff>0</xdr:colOff>
                    <xdr:row>95</xdr:row>
                    <xdr:rowOff>0</xdr:rowOff>
                  </from>
                  <to>
                    <xdr:col>2</xdr:col>
                    <xdr:colOff>7315</xdr:colOff>
                    <xdr:row>96</xdr:row>
                    <xdr:rowOff>0</xdr:rowOff>
                  </to>
                </anchor>
              </controlPr>
            </control>
          </mc:Choice>
        </mc:AlternateContent>
        <mc:AlternateContent xmlns:mc="http://schemas.openxmlformats.org/markup-compatibility/2006">
          <mc:Choice Requires="x14">
            <control shapeId="43075" r:id="rId69" name="Check Box 67">
              <controlPr defaultSize="0" autoFill="0" autoLine="0" autoPict="0" altText="">
                <anchor moveWithCells="1">
                  <from>
                    <xdr:col>1</xdr:col>
                    <xdr:colOff>0</xdr:colOff>
                    <xdr:row>82</xdr:row>
                    <xdr:rowOff>0</xdr:rowOff>
                  </from>
                  <to>
                    <xdr:col>2</xdr:col>
                    <xdr:colOff>7315</xdr:colOff>
                    <xdr:row>83</xdr:row>
                    <xdr:rowOff>0</xdr:rowOff>
                  </to>
                </anchor>
              </controlPr>
            </control>
          </mc:Choice>
        </mc:AlternateContent>
        <mc:AlternateContent xmlns:mc="http://schemas.openxmlformats.org/markup-compatibility/2006">
          <mc:Choice Requires="x14">
            <control shapeId="43076" r:id="rId70" name="Check Box 68">
              <controlPr defaultSize="0" autoFill="0" autoLine="0" autoPict="0" altText="">
                <anchor moveWithCells="1">
                  <from>
                    <xdr:col>1</xdr:col>
                    <xdr:colOff>0</xdr:colOff>
                    <xdr:row>60</xdr:row>
                    <xdr:rowOff>0</xdr:rowOff>
                  </from>
                  <to>
                    <xdr:col>2</xdr:col>
                    <xdr:colOff>7315</xdr:colOff>
                    <xdr:row>61</xdr:row>
                    <xdr:rowOff>0</xdr:rowOff>
                  </to>
                </anchor>
              </controlPr>
            </control>
          </mc:Choice>
        </mc:AlternateContent>
        <mc:AlternateContent xmlns:mc="http://schemas.openxmlformats.org/markup-compatibility/2006">
          <mc:Choice Requires="x14">
            <control shapeId="43077" r:id="rId71" name="Check Box 69">
              <controlPr defaultSize="0" autoFill="0" autoLine="0" autoPict="0" altText="">
                <anchor moveWithCells="1">
                  <from>
                    <xdr:col>1</xdr:col>
                    <xdr:colOff>0</xdr:colOff>
                    <xdr:row>78</xdr:row>
                    <xdr:rowOff>0</xdr:rowOff>
                  </from>
                  <to>
                    <xdr:col>2</xdr:col>
                    <xdr:colOff>7315</xdr:colOff>
                    <xdr:row>79</xdr:row>
                    <xdr:rowOff>0</xdr:rowOff>
                  </to>
                </anchor>
              </controlPr>
            </control>
          </mc:Choice>
        </mc:AlternateContent>
        <mc:AlternateContent xmlns:mc="http://schemas.openxmlformats.org/markup-compatibility/2006">
          <mc:Choice Requires="x14">
            <control shapeId="43078" r:id="rId72" name="Check Box 70">
              <controlPr defaultSize="0" autoFill="0" autoLine="0" autoPict="0" altText="">
                <anchor moveWithCells="1">
                  <from>
                    <xdr:col>1</xdr:col>
                    <xdr:colOff>0</xdr:colOff>
                    <xdr:row>74</xdr:row>
                    <xdr:rowOff>0</xdr:rowOff>
                  </from>
                  <to>
                    <xdr:col>2</xdr:col>
                    <xdr:colOff>7315</xdr:colOff>
                    <xdr:row>75</xdr:row>
                    <xdr:rowOff>0</xdr:rowOff>
                  </to>
                </anchor>
              </controlPr>
            </control>
          </mc:Choice>
        </mc:AlternateContent>
        <mc:AlternateContent xmlns:mc="http://schemas.openxmlformats.org/markup-compatibility/2006">
          <mc:Choice Requires="x14">
            <control shapeId="43079" r:id="rId73" name="Check Box 71">
              <controlPr defaultSize="0" autoFill="0" autoLine="0" autoPict="0" altText="">
                <anchor moveWithCells="1">
                  <from>
                    <xdr:col>1</xdr:col>
                    <xdr:colOff>0</xdr:colOff>
                    <xdr:row>13</xdr:row>
                    <xdr:rowOff>0</xdr:rowOff>
                  </from>
                  <to>
                    <xdr:col>2</xdr:col>
                    <xdr:colOff>7315</xdr:colOff>
                    <xdr:row>14</xdr:row>
                    <xdr:rowOff>0</xdr:rowOff>
                  </to>
                </anchor>
              </controlPr>
            </control>
          </mc:Choice>
        </mc:AlternateContent>
        <mc:AlternateContent xmlns:mc="http://schemas.openxmlformats.org/markup-compatibility/2006">
          <mc:Choice Requires="x14">
            <control shapeId="43080" r:id="rId74" name="Check Box 72">
              <controlPr defaultSize="0" autoFill="0" autoLine="0" autoPict="0" altText="">
                <anchor moveWithCells="1">
                  <from>
                    <xdr:col>1</xdr:col>
                    <xdr:colOff>0</xdr:colOff>
                    <xdr:row>12</xdr:row>
                    <xdr:rowOff>0</xdr:rowOff>
                  </from>
                  <to>
                    <xdr:col>2</xdr:col>
                    <xdr:colOff>7315</xdr:colOff>
                    <xdr:row>13</xdr:row>
                    <xdr:rowOff>7315</xdr:rowOff>
                  </to>
                </anchor>
              </controlPr>
            </control>
          </mc:Choice>
        </mc:AlternateContent>
        <mc:AlternateContent xmlns:mc="http://schemas.openxmlformats.org/markup-compatibility/2006">
          <mc:Choice Requires="x14">
            <control shapeId="43083" r:id="rId75" name="Check Box 75">
              <controlPr defaultSize="0" autoFill="0" autoLine="0" autoPict="0" altText="">
                <anchor moveWithCells="1">
                  <from>
                    <xdr:col>1</xdr:col>
                    <xdr:colOff>0</xdr:colOff>
                    <xdr:row>162</xdr:row>
                    <xdr:rowOff>0</xdr:rowOff>
                  </from>
                  <to>
                    <xdr:col>2</xdr:col>
                    <xdr:colOff>7315</xdr:colOff>
                    <xdr:row>163</xdr:row>
                    <xdr:rowOff>7315</xdr:rowOff>
                  </to>
                </anchor>
              </controlPr>
            </control>
          </mc:Choice>
        </mc:AlternateContent>
        <mc:AlternateContent xmlns:mc="http://schemas.openxmlformats.org/markup-compatibility/2006">
          <mc:Choice Requires="x14">
            <control shapeId="43084" r:id="rId76" name="Check Box 76">
              <controlPr defaultSize="0" autoFill="0" autoLine="0" autoPict="0" altText="">
                <anchor moveWithCells="1">
                  <from>
                    <xdr:col>1</xdr:col>
                    <xdr:colOff>0</xdr:colOff>
                    <xdr:row>170</xdr:row>
                    <xdr:rowOff>0</xdr:rowOff>
                  </from>
                  <to>
                    <xdr:col>2</xdr:col>
                    <xdr:colOff>7315</xdr:colOff>
                    <xdr:row>171</xdr:row>
                    <xdr:rowOff>7315</xdr:rowOff>
                  </to>
                </anchor>
              </controlPr>
            </control>
          </mc:Choice>
        </mc:AlternateContent>
        <mc:AlternateContent xmlns:mc="http://schemas.openxmlformats.org/markup-compatibility/2006">
          <mc:Choice Requires="x14">
            <control shapeId="43085" r:id="rId77" name="Check Box 77">
              <controlPr defaultSize="0" autoFill="0" autoLine="0" autoPict="0" altText="">
                <anchor moveWithCells="1">
                  <from>
                    <xdr:col>1</xdr:col>
                    <xdr:colOff>0</xdr:colOff>
                    <xdr:row>170</xdr:row>
                    <xdr:rowOff>0</xdr:rowOff>
                  </from>
                  <to>
                    <xdr:col>2</xdr:col>
                    <xdr:colOff>7315</xdr:colOff>
                    <xdr:row>171</xdr:row>
                    <xdr:rowOff>7315</xdr:rowOff>
                  </to>
                </anchor>
              </controlPr>
            </control>
          </mc:Choice>
        </mc:AlternateContent>
        <mc:AlternateContent xmlns:mc="http://schemas.openxmlformats.org/markup-compatibility/2006">
          <mc:Choice Requires="x14">
            <control shapeId="43086" r:id="rId78" name="Check Box 78">
              <controlPr defaultSize="0" autoFill="0" autoLine="0" autoPict="0" altText="">
                <anchor moveWithCells="1">
                  <from>
                    <xdr:col>1</xdr:col>
                    <xdr:colOff>0</xdr:colOff>
                    <xdr:row>20</xdr:row>
                    <xdr:rowOff>0</xdr:rowOff>
                  </from>
                  <to>
                    <xdr:col>2</xdr:col>
                    <xdr:colOff>7315</xdr:colOff>
                    <xdr:row>21</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theme="7" tint="0.59999389629810485"/>
    <pageSetUpPr fitToPage="1"/>
  </sheetPr>
  <dimension ref="A1:Q411"/>
  <sheetViews>
    <sheetView showGridLines="0" zoomScaleNormal="100" zoomScaleSheetLayoutView="100" workbookViewId="0">
      <pane ySplit="12" topLeftCell="A13" activePane="bottomLeft" state="frozen"/>
      <selection pane="bottomLeft" activeCell="F5" sqref="F5"/>
    </sheetView>
  </sheetViews>
  <sheetFormatPr baseColWidth="10" defaultColWidth="0" defaultRowHeight="0" customHeight="1" zeroHeight="1"/>
  <cols>
    <col min="1" max="1" width="5.6640625" style="1046" customWidth="1"/>
    <col min="2" max="2" width="3.33203125" style="171" customWidth="1"/>
    <col min="3" max="5" width="3.33203125" style="172" customWidth="1"/>
    <col min="6" max="6" width="51.6640625" style="172" customWidth="1"/>
    <col min="7" max="8" width="7.33203125" style="172" customWidth="1"/>
    <col min="9" max="9" width="12.33203125" style="172" customWidth="1"/>
    <col min="10" max="10" width="12.6640625" style="172" customWidth="1"/>
    <col min="11" max="11" width="2.6640625" style="172" customWidth="1"/>
    <col min="12" max="12" width="16.6640625" style="145" hidden="1" customWidth="1"/>
    <col min="13" max="16384" width="11.44140625" style="172" hidden="1"/>
  </cols>
  <sheetData>
    <row r="1" spans="1:15" ht="16.600000000000001" customHeight="1"/>
    <row r="2" spans="1:15" s="7" customFormat="1" ht="18.75" customHeight="1">
      <c r="A2" s="218"/>
      <c r="B2" s="411" t="str">
        <f>IF(Projektgrundlagen!B2="","",Projektgrundlagen!B2)</f>
        <v>Objektplanung Verkehrsanlagen</v>
      </c>
      <c r="C2" s="411"/>
      <c r="D2" s="411"/>
      <c r="E2" s="411"/>
      <c r="F2" s="412"/>
      <c r="G2" s="258" t="str">
        <f>IF(Projektgrundlagen!F2="","",Projektgrundlagen!F2)</f>
        <v>VII.15.4</v>
      </c>
      <c r="H2" s="257"/>
      <c r="I2" s="1398" t="s">
        <v>978</v>
      </c>
      <c r="J2" s="1399"/>
      <c r="K2" s="1488" t="s">
        <v>769</v>
      </c>
      <c r="L2" s="126" t="s">
        <v>159</v>
      </c>
      <c r="M2" s="222" t="s">
        <v>770</v>
      </c>
      <c r="O2" s="221" t="s">
        <v>502</v>
      </c>
    </row>
    <row r="3" spans="1:15" s="7" customFormat="1" ht="18.75" customHeight="1">
      <c r="A3" s="218"/>
      <c r="B3" s="157" t="s">
        <v>691</v>
      </c>
      <c r="C3" s="411"/>
      <c r="D3" s="411"/>
      <c r="E3" s="413"/>
      <c r="F3" s="414"/>
      <c r="G3" s="231" t="str">
        <f>IF(Projektgrundlagen!F3="","",Projektgrundlagen!F3)</f>
        <v>Vertragsnr.:</v>
      </c>
      <c r="H3" s="232"/>
      <c r="I3" s="1424" t="str">
        <f>IF(Projektgrundlagen!G3="","",Projektgrundlagen!G3)</f>
        <v/>
      </c>
      <c r="J3" s="1425"/>
      <c r="K3" s="1488"/>
      <c r="L3" s="140"/>
      <c r="M3" s="7" t="b">
        <f>Projektgrundlagen!$I$23</f>
        <v>0</v>
      </c>
      <c r="O3" s="140" t="str">
        <f ca="1">MID(CELL("dateiname",B2),FIND("]",CELL("dateiname",B2))+1,255)</f>
        <v>HB-C2 Grundlstg Bund</v>
      </c>
    </row>
    <row r="4" spans="1:15" s="7" customFormat="1" ht="7.5" customHeight="1">
      <c r="A4" s="218"/>
      <c r="B4" s="216"/>
      <c r="C4" s="411"/>
      <c r="D4" s="411"/>
      <c r="E4" s="216"/>
      <c r="F4" s="216"/>
      <c r="G4" s="101"/>
      <c r="H4" s="101"/>
      <c r="I4" s="418"/>
      <c r="J4" s="418"/>
      <c r="K4" s="1488"/>
      <c r="L4" s="140"/>
    </row>
    <row r="5" spans="1:15" s="7" customFormat="1" ht="15" customHeight="1">
      <c r="A5" s="218"/>
      <c r="B5" s="405" t="str">
        <f>IF(Projektgrundlagen!B5="","",Projektgrundlagen!B5)</f>
        <v>Maßnahmennr:</v>
      </c>
      <c r="C5" s="419"/>
      <c r="D5" s="419"/>
      <c r="E5" s="406"/>
      <c r="F5" s="336" t="str">
        <f>IF(Projektgrundlagen!E5="","",Projektgrundlagen!E5)</f>
        <v>B11S.ALSR0138.00</v>
      </c>
      <c r="G5" s="424" t="str">
        <f>IF(Projektgrundlagen!F5="","",Projektgrundlagen!F5)</f>
        <v>Vergabenr.:</v>
      </c>
      <c r="H5" s="424"/>
      <c r="I5" s="1391" t="str">
        <f>IF(Projektgrundlagen!G5="","",Projektgrundlagen!G5)</f>
        <v>25-131201</v>
      </c>
      <c r="J5" s="1423"/>
      <c r="K5" s="1488"/>
      <c r="L5" s="140"/>
    </row>
    <row r="6" spans="1:15" s="7" customFormat="1" ht="15" customHeight="1">
      <c r="A6" s="218"/>
      <c r="B6" s="407" t="str">
        <f>IF(Projektgrundlagen!B6="","",Projektgrundlagen!B6)</f>
        <v>Maßnahme:</v>
      </c>
      <c r="C6" s="420"/>
      <c r="D6" s="420"/>
      <c r="E6" s="408"/>
      <c r="F6" s="1418" t="str">
        <f>IF(Projektgrundlagen!E6="","",Projektgrundlagen!E6)</f>
        <v>St2054 Geh- und Radweg westl. Babenried - Jesenwang</v>
      </c>
      <c r="G6" s="1418"/>
      <c r="H6" s="1418"/>
      <c r="I6" s="1418"/>
      <c r="J6" s="1419"/>
      <c r="K6" s="1488"/>
      <c r="L6" s="140"/>
    </row>
    <row r="7" spans="1:15" s="7" customFormat="1" ht="15" customHeight="1">
      <c r="A7" s="218"/>
      <c r="B7" s="407" t="str">
        <f>IF(Projektgrundlagen!B7="","",Projektgrundlagen!B7)</f>
        <v/>
      </c>
      <c r="C7" s="420"/>
      <c r="D7" s="420"/>
      <c r="E7" s="408"/>
      <c r="F7" s="1418" t="str">
        <f>IF(Projektgrundlagen!E7="","",Projektgrundlagen!E7)</f>
        <v/>
      </c>
      <c r="G7" s="1418"/>
      <c r="H7" s="1418"/>
      <c r="I7" s="1418"/>
      <c r="J7" s="1419"/>
      <c r="K7" s="1488"/>
      <c r="L7" s="140"/>
    </row>
    <row r="8" spans="1:15" s="7" customFormat="1" ht="15" customHeight="1">
      <c r="A8" s="218"/>
      <c r="B8" s="409" t="str">
        <f>IF(Projektgrundlagen!B8="","",Projektgrundlagen!B8)</f>
        <v>Bieter:</v>
      </c>
      <c r="C8" s="421"/>
      <c r="D8" s="421"/>
      <c r="E8" s="410"/>
      <c r="F8" s="1420" t="str">
        <f>IF(Projektgrundlagen!E8="","",Projektgrundlagen!E8)</f>
        <v/>
      </c>
      <c r="G8" s="1420"/>
      <c r="H8" s="1420"/>
      <c r="I8" s="1420"/>
      <c r="J8" s="1421"/>
      <c r="K8" s="1488"/>
      <c r="L8" s="140"/>
    </row>
    <row r="9" spans="1:15" s="339" customFormat="1" ht="16.7">
      <c r="A9" s="337"/>
      <c r="B9" s="338"/>
      <c r="C9" s="360"/>
      <c r="D9" s="360"/>
      <c r="L9" s="340"/>
    </row>
    <row r="10" spans="1:15" s="166" customFormat="1" ht="27.1" customHeight="1">
      <c r="A10" s="1046"/>
      <c r="B10" s="1489" t="s">
        <v>1151</v>
      </c>
      <c r="C10" s="1489"/>
      <c r="D10" s="1489"/>
      <c r="E10" s="1489"/>
      <c r="F10" s="1489"/>
      <c r="G10" s="1489"/>
      <c r="H10" s="1490"/>
      <c r="I10" s="589" t="s">
        <v>593</v>
      </c>
      <c r="J10" s="590" t="s">
        <v>594</v>
      </c>
      <c r="L10" s="146"/>
    </row>
    <row r="11" spans="1:15" s="166" customFormat="1" ht="27.1" customHeight="1">
      <c r="A11" s="1046"/>
      <c r="B11" s="1169" t="s">
        <v>1150</v>
      </c>
      <c r="C11" s="591"/>
      <c r="D11" s="591"/>
      <c r="E11" s="1017"/>
      <c r="F11" s="1017"/>
      <c r="G11" s="588"/>
      <c r="H11" s="592" t="str">
        <f>IF($M$3,"","Grundleistungen Hochbau Bund sind nicht Teil dieser Honorarermittlung!")</f>
        <v>Grundleistungen Hochbau Bund sind nicht Teil dieser Honorarermittlung!</v>
      </c>
      <c r="I11" s="593" t="s">
        <v>727</v>
      </c>
      <c r="J11" s="593" t="s">
        <v>727</v>
      </c>
      <c r="L11" s="146"/>
    </row>
    <row r="12" spans="1:15" s="166" customFormat="1" ht="7.5" customHeight="1">
      <c r="A12" s="1046"/>
      <c r="B12" s="1026"/>
      <c r="C12" s="1027"/>
      <c r="D12" s="1027"/>
      <c r="E12" s="1026"/>
      <c r="F12" s="1026"/>
      <c r="G12" s="1028"/>
      <c r="H12" s="1029"/>
      <c r="I12" s="1030"/>
      <c r="J12" s="1030"/>
      <c r="L12" s="146"/>
    </row>
    <row r="13" spans="1:15" s="166" customFormat="1" ht="16.7">
      <c r="A13" s="228" t="str">
        <f>IF(COUNTIF($L$13:$L$14,TRUE)&gt;1,"è","")</f>
        <v/>
      </c>
      <c r="B13" s="342"/>
      <c r="C13" s="363"/>
      <c r="D13" s="363"/>
      <c r="E13" s="1427" t="s">
        <v>599</v>
      </c>
      <c r="F13" s="1427"/>
      <c r="G13" s="1427"/>
      <c r="H13" s="1427"/>
      <c r="I13" s="1427"/>
      <c r="J13" s="1428"/>
      <c r="L13" s="146" t="b">
        <v>0</v>
      </c>
      <c r="M13" s="201" t="b">
        <f>IF(COUNTIF(L13:L14,TRUE)=1,TRUE,FALSE)</f>
        <v>0</v>
      </c>
      <c r="N13" s="213" t="s">
        <v>601</v>
      </c>
    </row>
    <row r="14" spans="1:15" s="166" customFormat="1" ht="17.3" customHeight="1">
      <c r="A14" s="228" t="str">
        <f>IF(COUNTIF($L$13:$L$14,TRUE)&gt;1,"è","")</f>
        <v/>
      </c>
      <c r="B14" s="342"/>
      <c r="C14" s="363"/>
      <c r="D14" s="363"/>
      <c r="E14" s="1427" t="s">
        <v>600</v>
      </c>
      <c r="F14" s="1427"/>
      <c r="G14" s="1427"/>
      <c r="H14" s="1427"/>
      <c r="I14" s="1427"/>
      <c r="J14" s="1428"/>
      <c r="L14" s="146" t="b">
        <v>0</v>
      </c>
    </row>
    <row r="15" spans="1:15" s="166" customFormat="1" ht="7.5" customHeight="1">
      <c r="A15" s="1046"/>
      <c r="B15" s="217"/>
      <c r="C15" s="362"/>
      <c r="D15" s="362"/>
      <c r="E15" s="217"/>
      <c r="F15" s="217"/>
      <c r="G15" s="76"/>
      <c r="H15" s="327"/>
      <c r="I15" s="341"/>
      <c r="J15" s="341"/>
      <c r="L15" s="146"/>
    </row>
    <row r="16" spans="1:15" s="167" customFormat="1" ht="29.95" customHeight="1">
      <c r="A16" s="1048"/>
      <c r="B16" s="1469" t="s">
        <v>1014</v>
      </c>
      <c r="C16" s="1470"/>
      <c r="D16" s="1470"/>
      <c r="E16" s="1470"/>
      <c r="F16" s="1470"/>
      <c r="G16" s="1470"/>
      <c r="H16" s="1470"/>
      <c r="I16" s="1470"/>
      <c r="J16" s="1471"/>
      <c r="L16" s="147"/>
    </row>
    <row r="17" spans="1:12" s="166" customFormat="1" ht="17.3" customHeight="1">
      <c r="A17" s="1046"/>
      <c r="B17" s="344"/>
      <c r="C17" s="1148" t="s">
        <v>1125</v>
      </c>
      <c r="D17" s="417"/>
      <c r="E17" s="1408" t="s">
        <v>604</v>
      </c>
      <c r="F17" s="1408"/>
      <c r="G17" s="1408"/>
      <c r="H17" s="1171"/>
      <c r="I17" s="1172">
        <v>1</v>
      </c>
      <c r="J17" s="1173">
        <f>IF(L17,I17,0)</f>
        <v>0</v>
      </c>
      <c r="L17" s="146" t="b">
        <v>0</v>
      </c>
    </row>
    <row r="18" spans="1:12" s="166" customFormat="1" ht="15" customHeight="1">
      <c r="A18" s="1046"/>
      <c r="B18" s="343"/>
      <c r="C18" s="378"/>
      <c r="D18" s="373"/>
      <c r="E18" s="1441" t="s">
        <v>605</v>
      </c>
      <c r="F18" s="1441"/>
      <c r="G18" s="1441"/>
      <c r="H18" s="346"/>
      <c r="I18" s="390"/>
      <c r="J18" s="386"/>
      <c r="L18" s="146"/>
    </row>
    <row r="19" spans="1:12" s="166" customFormat="1" ht="17.3" customHeight="1">
      <c r="A19" s="1046"/>
      <c r="B19" s="344"/>
      <c r="C19" s="1149" t="s">
        <v>1126</v>
      </c>
      <c r="D19" s="422"/>
      <c r="E19" s="1443" t="s">
        <v>606</v>
      </c>
      <c r="F19" s="1443"/>
      <c r="G19" s="1443"/>
      <c r="H19" s="1175"/>
      <c r="I19" s="1176">
        <v>0.65</v>
      </c>
      <c r="J19" s="388">
        <f t="shared" ref="J19" si="0">IF(L19,I19,0)</f>
        <v>0</v>
      </c>
      <c r="L19" s="146" t="b">
        <v>0</v>
      </c>
    </row>
    <row r="20" spans="1:12" s="166" customFormat="1" ht="15" customHeight="1">
      <c r="A20" s="1046"/>
      <c r="B20" s="343"/>
      <c r="C20" s="378"/>
      <c r="D20" s="373"/>
      <c r="E20" s="1441" t="s">
        <v>607</v>
      </c>
      <c r="F20" s="1441"/>
      <c r="G20" s="1441"/>
      <c r="H20" s="346"/>
      <c r="I20" s="390"/>
      <c r="J20" s="386"/>
      <c r="L20" s="146"/>
    </row>
    <row r="21" spans="1:12" s="166" customFormat="1" ht="17.3" customHeight="1">
      <c r="A21" s="1046"/>
      <c r="B21" s="344"/>
      <c r="C21" s="1149" t="s">
        <v>1127</v>
      </c>
      <c r="D21" s="422"/>
      <c r="E21" s="1430" t="s">
        <v>608</v>
      </c>
      <c r="F21" s="1430"/>
      <c r="G21" s="1430"/>
      <c r="H21" s="1177"/>
      <c r="I21" s="392">
        <v>0.1</v>
      </c>
      <c r="J21" s="388">
        <f>IF(L21,I21,0)</f>
        <v>0</v>
      </c>
      <c r="L21" s="146" t="b">
        <v>0</v>
      </c>
    </row>
    <row r="22" spans="1:12" s="166" customFormat="1" ht="15" customHeight="1">
      <c r="A22" s="1046"/>
      <c r="B22" s="343"/>
      <c r="C22" s="378"/>
      <c r="D22" s="373"/>
      <c r="E22" s="1429" t="s">
        <v>1142</v>
      </c>
      <c r="F22" s="1429"/>
      <c r="G22" s="1429"/>
      <c r="H22" s="346"/>
      <c r="I22" s="390"/>
      <c r="J22" s="386"/>
      <c r="L22" s="146"/>
    </row>
    <row r="23" spans="1:12" s="166" customFormat="1" ht="17.3" customHeight="1">
      <c r="A23" s="1046"/>
      <c r="B23" s="344"/>
      <c r="C23" s="1149" t="s">
        <v>1128</v>
      </c>
      <c r="D23" s="422"/>
      <c r="E23" s="1446" t="s">
        <v>306</v>
      </c>
      <c r="F23" s="1446"/>
      <c r="G23" s="1446"/>
      <c r="H23" s="1179"/>
      <c r="I23" s="1180">
        <v>0.05</v>
      </c>
      <c r="J23" s="388">
        <f>IF(L23,I23,0)</f>
        <v>0</v>
      </c>
      <c r="L23" s="146" t="b">
        <v>0</v>
      </c>
    </row>
    <row r="24" spans="1:12" s="166" customFormat="1" ht="15" customHeight="1">
      <c r="A24" s="1046"/>
      <c r="B24" s="343"/>
      <c r="C24" s="378"/>
      <c r="D24" s="373"/>
      <c r="E24" s="1441"/>
      <c r="F24" s="1441"/>
      <c r="G24" s="1441"/>
      <c r="H24" s="346"/>
      <c r="I24" s="390"/>
      <c r="J24" s="386"/>
      <c r="L24" s="146"/>
    </row>
    <row r="25" spans="1:12" s="166" customFormat="1" ht="17.3" customHeight="1">
      <c r="A25" s="1046"/>
      <c r="B25" s="344"/>
      <c r="C25" s="1149" t="s">
        <v>1129</v>
      </c>
      <c r="D25" s="422"/>
      <c r="E25" s="1414" t="s">
        <v>305</v>
      </c>
      <c r="F25" s="1414"/>
      <c r="G25" s="1414"/>
      <c r="H25" s="1181"/>
      <c r="I25" s="1180">
        <v>0.2</v>
      </c>
      <c r="J25" s="388">
        <f>IF(L25,I25,0)</f>
        <v>0</v>
      </c>
      <c r="L25" s="146" t="b">
        <v>0</v>
      </c>
    </row>
    <row r="26" spans="1:12" s="166" customFormat="1" ht="15" customHeight="1" thickBot="1">
      <c r="A26" s="1046"/>
      <c r="B26" s="343"/>
      <c r="C26" s="378"/>
      <c r="D26" s="373"/>
      <c r="E26" s="1465"/>
      <c r="F26" s="1465"/>
      <c r="G26" s="1465"/>
      <c r="H26" s="346"/>
      <c r="I26" s="390"/>
      <c r="J26" s="386"/>
      <c r="L26" s="146"/>
    </row>
    <row r="27" spans="1:12" s="166" customFormat="1" ht="22.5" customHeight="1" thickBot="1">
      <c r="A27" s="1046"/>
      <c r="B27" s="353"/>
      <c r="C27" s="364"/>
      <c r="D27" s="364"/>
      <c r="E27" s="354"/>
      <c r="F27" s="355"/>
      <c r="G27" s="355"/>
      <c r="H27" s="356" t="s">
        <v>1145</v>
      </c>
      <c r="I27" s="396">
        <f>IF($M$3,SUM(I17:I25),0)</f>
        <v>0</v>
      </c>
      <c r="J27" s="358">
        <f>IF($M$3,SUMIF(L17:L25,TRUE,J17:J25),0)</f>
        <v>0</v>
      </c>
      <c r="L27" s="146"/>
    </row>
    <row r="28" spans="1:12" s="166" customFormat="1" ht="7.5" customHeight="1">
      <c r="A28" s="1046"/>
      <c r="B28" s="368"/>
      <c r="C28" s="365"/>
      <c r="D28" s="365"/>
      <c r="E28" s="366"/>
      <c r="F28" s="79"/>
      <c r="G28" s="79"/>
      <c r="H28" s="352"/>
      <c r="I28" s="369"/>
      <c r="J28" s="367"/>
      <c r="L28" s="146"/>
    </row>
    <row r="29" spans="1:12" s="167" customFormat="1" ht="29.95" customHeight="1">
      <c r="A29" s="1048"/>
      <c r="B29" s="1469" t="s">
        <v>1015</v>
      </c>
      <c r="C29" s="1470"/>
      <c r="D29" s="1470"/>
      <c r="E29" s="1470"/>
      <c r="F29" s="1470"/>
      <c r="G29" s="1470"/>
      <c r="H29" s="1470"/>
      <c r="I29" s="1470"/>
      <c r="J29" s="1471"/>
      <c r="L29" s="147"/>
    </row>
    <row r="30" spans="1:12" s="166" customFormat="1" ht="17.3" customHeight="1">
      <c r="A30" s="1046"/>
      <c r="B30" s="344"/>
      <c r="C30" s="1148" t="s">
        <v>1125</v>
      </c>
      <c r="D30" s="417"/>
      <c r="E30" s="1449" t="s">
        <v>349</v>
      </c>
      <c r="F30" s="1449"/>
      <c r="G30" s="1449"/>
      <c r="H30" s="1171"/>
      <c r="I30" s="1182">
        <v>0.1</v>
      </c>
      <c r="J30" s="1173">
        <f t="shared" ref="J30" si="1">IF(L30,I30,0)</f>
        <v>0</v>
      </c>
      <c r="L30" s="146" t="b">
        <v>0</v>
      </c>
    </row>
    <row r="31" spans="1:12" s="166" customFormat="1" ht="15" customHeight="1">
      <c r="A31" s="1046"/>
      <c r="B31" s="343"/>
      <c r="C31" s="378"/>
      <c r="D31" s="373"/>
      <c r="E31" s="1441"/>
      <c r="F31" s="1441"/>
      <c r="G31" s="1441"/>
      <c r="H31" s="346"/>
      <c r="I31" s="390"/>
      <c r="J31" s="386"/>
      <c r="L31" s="146"/>
    </row>
    <row r="32" spans="1:12" s="166" customFormat="1" ht="17.3" customHeight="1">
      <c r="A32" s="1046"/>
      <c r="B32" s="344"/>
      <c r="C32" s="1149" t="s">
        <v>1126</v>
      </c>
      <c r="D32" s="422"/>
      <c r="E32" s="1430" t="s">
        <v>728</v>
      </c>
      <c r="F32" s="1430"/>
      <c r="G32" s="1430"/>
      <c r="H32" s="1177"/>
      <c r="I32" s="1183">
        <v>0.5</v>
      </c>
      <c r="J32" s="388">
        <f>IF(L32,I32,0)</f>
        <v>0</v>
      </c>
      <c r="L32" s="146" t="b">
        <v>0</v>
      </c>
    </row>
    <row r="33" spans="1:12" s="166" customFormat="1" ht="15" customHeight="1">
      <c r="A33" s="1046"/>
      <c r="B33" s="343"/>
      <c r="C33" s="378"/>
      <c r="D33" s="373"/>
      <c r="E33" s="1441"/>
      <c r="F33" s="1441"/>
      <c r="G33" s="1441"/>
      <c r="H33" s="346"/>
      <c r="I33" s="390"/>
      <c r="J33" s="386"/>
      <c r="L33" s="146"/>
    </row>
    <row r="34" spans="1:12" s="166" customFormat="1" ht="17.3" customHeight="1">
      <c r="A34" s="1046"/>
      <c r="B34" s="344"/>
      <c r="C34" s="1149" t="s">
        <v>1127</v>
      </c>
      <c r="D34" s="422"/>
      <c r="E34" s="1450" t="s">
        <v>610</v>
      </c>
      <c r="F34" s="1450"/>
      <c r="G34" s="1450"/>
      <c r="H34" s="1179"/>
      <c r="I34" s="1180">
        <v>0.3</v>
      </c>
      <c r="J34" s="388">
        <f>IF(L34,I34,0)</f>
        <v>0</v>
      </c>
      <c r="L34" s="146" t="b">
        <v>0</v>
      </c>
    </row>
    <row r="35" spans="1:12" s="166" customFormat="1" ht="15" customHeight="1">
      <c r="A35" s="1046"/>
      <c r="B35" s="343"/>
      <c r="C35" s="378"/>
      <c r="D35" s="373"/>
      <c r="E35" s="1441" t="s">
        <v>611</v>
      </c>
      <c r="F35" s="1441"/>
      <c r="G35" s="1441"/>
      <c r="H35" s="346"/>
      <c r="I35" s="390"/>
      <c r="J35" s="386"/>
      <c r="L35" s="146"/>
    </row>
    <row r="36" spans="1:12" s="166" customFormat="1" ht="17.3" customHeight="1">
      <c r="A36" s="1046"/>
      <c r="B36" s="344"/>
      <c r="C36" s="1149" t="s">
        <v>1128</v>
      </c>
      <c r="D36" s="422"/>
      <c r="E36" s="1443" t="s">
        <v>1017</v>
      </c>
      <c r="F36" s="1443"/>
      <c r="G36" s="1443"/>
      <c r="H36" s="1181"/>
      <c r="I36" s="1180">
        <v>2</v>
      </c>
      <c r="J36" s="388">
        <f>IF(L36,I36,0)</f>
        <v>0</v>
      </c>
      <c r="L36" s="146" t="b">
        <v>0</v>
      </c>
    </row>
    <row r="37" spans="1:12" s="166" customFormat="1" ht="29.95" customHeight="1">
      <c r="A37" s="1046"/>
      <c r="B37" s="343"/>
      <c r="C37" s="378"/>
      <c r="D37" s="373"/>
      <c r="E37" s="1444" t="s">
        <v>1000</v>
      </c>
      <c r="F37" s="1444"/>
      <c r="G37" s="1444"/>
      <c r="H37" s="346"/>
      <c r="I37" s="390"/>
      <c r="J37" s="386"/>
      <c r="L37" s="146"/>
    </row>
    <row r="38" spans="1:12" s="166" customFormat="1" ht="17.3" customHeight="1">
      <c r="A38" s="1046"/>
      <c r="B38" s="344"/>
      <c r="C38" s="1149" t="s">
        <v>1129</v>
      </c>
      <c r="D38" s="422"/>
      <c r="E38" s="1443" t="s">
        <v>614</v>
      </c>
      <c r="F38" s="1443"/>
      <c r="G38" s="1443"/>
      <c r="H38" s="1181"/>
      <c r="I38" s="1180">
        <v>11</v>
      </c>
      <c r="J38" s="388">
        <f t="shared" ref="J38" si="2">IF(L38,I38,0)</f>
        <v>0</v>
      </c>
      <c r="L38" s="146" t="b">
        <v>0</v>
      </c>
    </row>
    <row r="39" spans="1:12" s="166" customFormat="1" ht="40.5" customHeight="1">
      <c r="A39" s="1046"/>
      <c r="B39" s="343"/>
      <c r="C39" s="378"/>
      <c r="D39" s="373"/>
      <c r="E39" s="1409" t="s">
        <v>615</v>
      </c>
      <c r="F39" s="1409"/>
      <c r="G39" s="1409"/>
      <c r="H39" s="346"/>
      <c r="I39" s="390"/>
      <c r="J39" s="386"/>
      <c r="L39" s="146"/>
    </row>
    <row r="40" spans="1:12" s="166" customFormat="1" ht="16.7">
      <c r="A40" s="1046"/>
      <c r="B40" s="348"/>
      <c r="C40" s="378"/>
      <c r="D40" s="373"/>
      <c r="E40" s="1442" t="s">
        <v>354</v>
      </c>
      <c r="F40" s="1442"/>
      <c r="G40" s="1442"/>
      <c r="H40" s="80"/>
      <c r="I40" s="390"/>
      <c r="J40" s="386"/>
      <c r="L40" s="146"/>
    </row>
    <row r="41" spans="1:12" s="148" customFormat="1" ht="57.05" customHeight="1">
      <c r="A41" s="1050"/>
      <c r="B41" s="348"/>
      <c r="C41" s="378"/>
      <c r="D41" s="373"/>
      <c r="E41" s="1480" t="s">
        <v>355</v>
      </c>
      <c r="F41" s="1480"/>
      <c r="G41" s="1480"/>
      <c r="H41" s="477"/>
      <c r="I41" s="390"/>
      <c r="J41" s="386"/>
      <c r="L41" s="146"/>
    </row>
    <row r="42" spans="1:12" s="166" customFormat="1" ht="17.3" customHeight="1">
      <c r="A42" s="1046"/>
      <c r="B42" s="344"/>
      <c r="C42" s="1149" t="s">
        <v>1136</v>
      </c>
      <c r="D42" s="422"/>
      <c r="E42" s="1413" t="s">
        <v>616</v>
      </c>
      <c r="F42" s="1413"/>
      <c r="G42" s="1413"/>
      <c r="H42" s="1175"/>
      <c r="I42" s="1180">
        <v>2.5</v>
      </c>
      <c r="J42" s="388">
        <f t="shared" ref="J42:J54" si="3">IF(L42,I42,0)</f>
        <v>0</v>
      </c>
      <c r="L42" s="146" t="b">
        <v>0</v>
      </c>
    </row>
    <row r="43" spans="1:12" s="166" customFormat="1" ht="16.600000000000001" customHeight="1">
      <c r="A43" s="1046"/>
      <c r="B43" s="343"/>
      <c r="C43" s="378"/>
      <c r="D43" s="373"/>
      <c r="E43" s="1441" t="s">
        <v>771</v>
      </c>
      <c r="F43" s="1441"/>
      <c r="G43" s="1441"/>
      <c r="H43" s="346"/>
      <c r="I43" s="390"/>
      <c r="J43" s="386"/>
      <c r="L43" s="146"/>
    </row>
    <row r="44" spans="1:12" s="166" customFormat="1" ht="17.3" customHeight="1">
      <c r="A44" s="1046"/>
      <c r="B44" s="344"/>
      <c r="C44" s="1149" t="s">
        <v>1130</v>
      </c>
      <c r="D44" s="422"/>
      <c r="E44" s="1443" t="s">
        <v>1001</v>
      </c>
      <c r="F44" s="1443"/>
      <c r="G44" s="1443"/>
      <c r="H44" s="1181"/>
      <c r="I44" s="1180">
        <v>1</v>
      </c>
      <c r="J44" s="388">
        <f t="shared" si="3"/>
        <v>0</v>
      </c>
      <c r="L44" s="146" t="b">
        <v>0</v>
      </c>
    </row>
    <row r="45" spans="1:12" s="166" customFormat="1" ht="29.95" customHeight="1">
      <c r="A45" s="1046"/>
      <c r="B45" s="343"/>
      <c r="C45" s="378"/>
      <c r="D45" s="425"/>
      <c r="E45" s="1444" t="s">
        <v>1002</v>
      </c>
      <c r="F45" s="1444"/>
      <c r="G45" s="1444"/>
      <c r="H45" s="404"/>
      <c r="I45" s="390"/>
      <c r="J45" s="386"/>
      <c r="L45" s="146"/>
    </row>
    <row r="46" spans="1:12" s="166" customFormat="1" ht="17.3" customHeight="1">
      <c r="A46" s="1046"/>
      <c r="B46" s="344"/>
      <c r="C46" s="1149" t="s">
        <v>1131</v>
      </c>
      <c r="D46" s="422"/>
      <c r="E46" s="1443" t="s">
        <v>624</v>
      </c>
      <c r="F46" s="1443"/>
      <c r="G46" s="1443"/>
      <c r="H46" s="1175"/>
      <c r="I46" s="1180">
        <v>0.5</v>
      </c>
      <c r="J46" s="388">
        <f t="shared" si="3"/>
        <v>0</v>
      </c>
      <c r="L46" s="146" t="b">
        <v>0</v>
      </c>
    </row>
    <row r="47" spans="1:12" s="166" customFormat="1" ht="15" customHeight="1">
      <c r="A47" s="1046"/>
      <c r="B47" s="343"/>
      <c r="C47" s="378"/>
      <c r="D47" s="373"/>
      <c r="E47" s="1441" t="s">
        <v>620</v>
      </c>
      <c r="F47" s="1441"/>
      <c r="G47" s="1441"/>
      <c r="H47" s="346"/>
      <c r="I47" s="390"/>
      <c r="J47" s="386"/>
      <c r="L47" s="146"/>
    </row>
    <row r="48" spans="1:12" s="166" customFormat="1" ht="17.3" customHeight="1">
      <c r="A48" s="1046"/>
      <c r="B48" s="344"/>
      <c r="C48" s="1149" t="s">
        <v>1132</v>
      </c>
      <c r="D48" s="422"/>
      <c r="E48" s="1414" t="s">
        <v>307</v>
      </c>
      <c r="F48" s="1414"/>
      <c r="G48" s="1414"/>
      <c r="H48" s="1175"/>
      <c r="I48" s="1180">
        <v>0.5</v>
      </c>
      <c r="J48" s="388">
        <f t="shared" si="3"/>
        <v>0</v>
      </c>
      <c r="L48" s="146" t="b">
        <v>0</v>
      </c>
    </row>
    <row r="49" spans="1:12" s="166" customFormat="1" ht="15" customHeight="1">
      <c r="A49" s="1046"/>
      <c r="B49" s="343"/>
      <c r="C49" s="378"/>
      <c r="D49" s="373"/>
      <c r="E49" s="1441"/>
      <c r="F49" s="1441"/>
      <c r="G49" s="1441"/>
      <c r="H49" s="346"/>
      <c r="I49" s="390"/>
      <c r="J49" s="386"/>
      <c r="L49" s="146"/>
    </row>
    <row r="50" spans="1:12" s="166" customFormat="1" ht="17.3" customHeight="1">
      <c r="A50" s="1046"/>
      <c r="B50" s="344"/>
      <c r="C50" s="1149" t="s">
        <v>1133</v>
      </c>
      <c r="D50" s="422"/>
      <c r="E50" s="1443" t="s">
        <v>621</v>
      </c>
      <c r="F50" s="1443"/>
      <c r="G50" s="1443"/>
      <c r="H50" s="1184"/>
      <c r="I50" s="1180">
        <v>0.25</v>
      </c>
      <c r="J50" s="388">
        <f t="shared" si="3"/>
        <v>0</v>
      </c>
      <c r="L50" s="146" t="b">
        <v>0</v>
      </c>
    </row>
    <row r="51" spans="1:12" s="166" customFormat="1" ht="16.600000000000001" customHeight="1">
      <c r="A51" s="1046"/>
      <c r="B51" s="343"/>
      <c r="C51" s="378"/>
      <c r="D51" s="373"/>
      <c r="E51" s="1444" t="s">
        <v>622</v>
      </c>
      <c r="F51" s="1444"/>
      <c r="G51" s="1444"/>
      <c r="H51" s="1161"/>
      <c r="I51" s="390"/>
      <c r="J51" s="386"/>
      <c r="L51" s="146"/>
    </row>
    <row r="52" spans="1:12" s="166" customFormat="1" ht="17.3" customHeight="1">
      <c r="A52" s="1046"/>
      <c r="B52" s="344"/>
      <c r="C52" s="1149" t="s">
        <v>1134</v>
      </c>
      <c r="D52" s="422"/>
      <c r="E52" s="1413" t="s">
        <v>1223</v>
      </c>
      <c r="F52" s="1413"/>
      <c r="G52" s="1413"/>
      <c r="H52" s="1175"/>
      <c r="I52" s="1180">
        <v>1</v>
      </c>
      <c r="J52" s="388">
        <f t="shared" si="3"/>
        <v>0</v>
      </c>
      <c r="L52" s="146" t="b">
        <v>0</v>
      </c>
    </row>
    <row r="53" spans="1:12" s="166" customFormat="1" ht="45.1" customHeight="1">
      <c r="A53" s="1046"/>
      <c r="B53" s="343"/>
      <c r="C53" s="378"/>
      <c r="D53" s="373"/>
      <c r="E53" s="1444" t="s">
        <v>772</v>
      </c>
      <c r="F53" s="1444"/>
      <c r="G53" s="1444"/>
      <c r="H53" s="1161"/>
      <c r="I53" s="390"/>
      <c r="J53" s="386"/>
      <c r="L53" s="146"/>
    </row>
    <row r="54" spans="1:12" s="166" customFormat="1" ht="17.3" customHeight="1">
      <c r="A54" s="1046"/>
      <c r="B54" s="344"/>
      <c r="C54" s="1149" t="s">
        <v>1135</v>
      </c>
      <c r="D54" s="422"/>
      <c r="E54" s="1413" t="s">
        <v>773</v>
      </c>
      <c r="F54" s="1413"/>
      <c r="G54" s="1413"/>
      <c r="H54" s="1175"/>
      <c r="I54" s="1180">
        <v>0.35</v>
      </c>
      <c r="J54" s="388">
        <f t="shared" si="3"/>
        <v>0</v>
      </c>
      <c r="L54" s="146" t="b">
        <v>0</v>
      </c>
    </row>
    <row r="55" spans="1:12" s="166" customFormat="1" ht="15" customHeight="1">
      <c r="A55" s="1046"/>
      <c r="B55" s="343"/>
      <c r="C55" s="378"/>
      <c r="D55" s="373"/>
      <c r="E55" s="1444" t="s">
        <v>774</v>
      </c>
      <c r="F55" s="1444"/>
      <c r="G55" s="1444"/>
      <c r="H55" s="1161"/>
      <c r="I55" s="390"/>
      <c r="J55" s="386"/>
      <c r="L55" s="146"/>
    </row>
    <row r="56" spans="1:12" s="166" customFormat="1" ht="17.3" customHeight="1">
      <c r="A56" s="1046"/>
      <c r="B56" s="174"/>
      <c r="C56" s="1186"/>
      <c r="D56" s="422"/>
      <c r="E56" s="1467" t="s">
        <v>1140</v>
      </c>
      <c r="F56" s="1467"/>
      <c r="G56" s="1467"/>
      <c r="H56" s="1175"/>
      <c r="I56" s="1188"/>
      <c r="J56" s="388">
        <f>IF(L56,IF(AND($L$13,$M$13),I56+2,I56),0)</f>
        <v>0</v>
      </c>
      <c r="L56" s="148" t="b">
        <f>IF(AND($L$13,$M$13),L13,FALSE)</f>
        <v>0</v>
      </c>
    </row>
    <row r="57" spans="1:12" s="166" customFormat="1" ht="16.600000000000001" customHeight="1" thickBot="1">
      <c r="A57" s="1046"/>
      <c r="B57" s="343"/>
      <c r="C57" s="378"/>
      <c r="D57" s="373"/>
      <c r="E57" s="1491"/>
      <c r="F57" s="1491"/>
      <c r="G57" s="1491"/>
      <c r="H57" s="1161"/>
      <c r="I57" s="393"/>
      <c r="J57" s="386"/>
      <c r="L57" s="146"/>
    </row>
    <row r="58" spans="1:12" s="166" customFormat="1" ht="22.5" customHeight="1" thickBot="1">
      <c r="A58" s="1046"/>
      <c r="B58" s="353"/>
      <c r="C58" s="364"/>
      <c r="D58" s="364"/>
      <c r="E58" s="354"/>
      <c r="F58" s="355"/>
      <c r="G58" s="355"/>
      <c r="H58" s="356" t="s">
        <v>1019</v>
      </c>
      <c r="I58" s="357">
        <f>IF($M$3,SUM(I30:I56),0)</f>
        <v>0</v>
      </c>
      <c r="J58" s="358">
        <f>IF($M$3,SUMIF(L30:L56,TRUE,J30:J56),0)</f>
        <v>0</v>
      </c>
      <c r="L58" s="146"/>
    </row>
    <row r="59" spans="1:12" s="166" customFormat="1" ht="7.5" customHeight="1">
      <c r="A59" s="1046"/>
      <c r="B59" s="372"/>
      <c r="C59" s="380"/>
      <c r="D59" s="380"/>
      <c r="E59" s="381"/>
      <c r="F59" s="81"/>
      <c r="G59" s="81"/>
      <c r="H59" s="382"/>
      <c r="I59" s="383"/>
      <c r="J59" s="367"/>
      <c r="L59" s="146"/>
    </row>
    <row r="60" spans="1:12" s="167" customFormat="1" ht="29.95" customHeight="1">
      <c r="A60" s="1048"/>
      <c r="B60" s="1469" t="s">
        <v>1016</v>
      </c>
      <c r="C60" s="1470"/>
      <c r="D60" s="1470"/>
      <c r="E60" s="1470"/>
      <c r="F60" s="1470"/>
      <c r="G60" s="1470"/>
      <c r="H60" s="1470"/>
      <c r="I60" s="1470"/>
      <c r="J60" s="1471"/>
      <c r="L60" s="147"/>
    </row>
    <row r="61" spans="1:12" s="166" customFormat="1" ht="17.3" customHeight="1">
      <c r="A61" s="1046"/>
      <c r="B61" s="344"/>
      <c r="C61" s="1148" t="s">
        <v>1125</v>
      </c>
      <c r="D61" s="1189"/>
      <c r="E61" s="1408" t="s">
        <v>775</v>
      </c>
      <c r="F61" s="1408"/>
      <c r="G61" s="1408"/>
      <c r="H61" s="1190"/>
      <c r="I61" s="1182">
        <v>18.350000000000001</v>
      </c>
      <c r="J61" s="1173">
        <f t="shared" ref="J61" si="4">IF(L61,I61,0)</f>
        <v>0</v>
      </c>
      <c r="L61" s="146" t="b">
        <v>0</v>
      </c>
    </row>
    <row r="62" spans="1:12" s="166" customFormat="1" ht="79.95" customHeight="1">
      <c r="A62" s="1046"/>
      <c r="B62" s="343"/>
      <c r="C62" s="378"/>
      <c r="D62" s="373"/>
      <c r="E62" s="1444" t="s">
        <v>776</v>
      </c>
      <c r="F62" s="1444"/>
      <c r="G62" s="1444"/>
      <c r="H62" s="1161"/>
      <c r="I62" s="390"/>
      <c r="J62" s="386"/>
      <c r="L62" s="146"/>
    </row>
    <row r="63" spans="1:12" s="168" customFormat="1" ht="17.3" customHeight="1">
      <c r="A63" s="1051"/>
      <c r="B63" s="344"/>
      <c r="C63" s="1149" t="s">
        <v>1126</v>
      </c>
      <c r="D63" s="422"/>
      <c r="E63" s="1413" t="s">
        <v>777</v>
      </c>
      <c r="F63" s="1413"/>
      <c r="G63" s="1413"/>
      <c r="H63" s="1191"/>
      <c r="I63" s="1180">
        <v>0.65</v>
      </c>
      <c r="J63" s="388">
        <f t="shared" ref="J63:J71" si="5">IF(L63,I63,0)</f>
        <v>0</v>
      </c>
      <c r="L63" s="149" t="b">
        <v>0</v>
      </c>
    </row>
    <row r="64" spans="1:12" s="166" customFormat="1" ht="29.95" customHeight="1">
      <c r="A64" s="1046"/>
      <c r="B64" s="348"/>
      <c r="C64" s="378"/>
      <c r="D64" s="373"/>
      <c r="E64" s="1444" t="s">
        <v>778</v>
      </c>
      <c r="F64" s="1444"/>
      <c r="G64" s="1444"/>
      <c r="H64" s="1161"/>
      <c r="I64" s="390"/>
      <c r="J64" s="386"/>
      <c r="L64" s="146"/>
    </row>
    <row r="65" spans="1:12" s="166" customFormat="1" ht="17.3" customHeight="1">
      <c r="A65" s="1046"/>
      <c r="B65" s="344"/>
      <c r="C65" s="1149" t="s">
        <v>1127</v>
      </c>
      <c r="D65" s="422"/>
      <c r="E65" s="1413" t="s">
        <v>779</v>
      </c>
      <c r="F65" s="1413"/>
      <c r="G65" s="1413"/>
      <c r="H65" s="1181"/>
      <c r="I65" s="1180">
        <v>1</v>
      </c>
      <c r="J65" s="388">
        <f t="shared" si="5"/>
        <v>0</v>
      </c>
      <c r="L65" s="146" t="b">
        <v>0</v>
      </c>
    </row>
    <row r="66" spans="1:12" s="166" customFormat="1" ht="15" customHeight="1">
      <c r="A66" s="1046"/>
      <c r="B66" s="343"/>
      <c r="C66" s="378"/>
      <c r="D66" s="373"/>
      <c r="E66" s="1444" t="s">
        <v>633</v>
      </c>
      <c r="F66" s="1444"/>
      <c r="G66" s="1444"/>
      <c r="H66" s="1161"/>
      <c r="I66" s="390"/>
      <c r="J66" s="386"/>
      <c r="L66" s="146"/>
    </row>
    <row r="67" spans="1:12" s="166" customFormat="1" ht="16.45" customHeight="1">
      <c r="A67" s="1046"/>
      <c r="B67" s="344"/>
      <c r="C67" s="1149" t="s">
        <v>1128</v>
      </c>
      <c r="D67" s="422"/>
      <c r="E67" s="1413" t="s">
        <v>627</v>
      </c>
      <c r="F67" s="1413"/>
      <c r="G67" s="1413"/>
      <c r="H67" s="1181"/>
      <c r="I67" s="1180">
        <v>0.5</v>
      </c>
      <c r="J67" s="388">
        <f t="shared" si="5"/>
        <v>0</v>
      </c>
      <c r="L67" s="146" t="b">
        <v>0</v>
      </c>
    </row>
    <row r="68" spans="1:12" s="166" customFormat="1" ht="16.600000000000001" customHeight="1">
      <c r="A68" s="1046"/>
      <c r="B68" s="350"/>
      <c r="C68" s="378"/>
      <c r="D68" s="373"/>
      <c r="E68" s="1444" t="s">
        <v>628</v>
      </c>
      <c r="F68" s="1444"/>
      <c r="G68" s="1444"/>
      <c r="H68" s="1161"/>
      <c r="I68" s="390"/>
      <c r="J68" s="386"/>
      <c r="L68" s="146"/>
    </row>
    <row r="69" spans="1:12" s="166" customFormat="1" ht="17.3" customHeight="1">
      <c r="A69" s="1046"/>
      <c r="B69" s="344"/>
      <c r="C69" s="1149" t="s">
        <v>1129</v>
      </c>
      <c r="D69" s="422"/>
      <c r="E69" s="1413" t="s">
        <v>736</v>
      </c>
      <c r="F69" s="1413"/>
      <c r="G69" s="1413"/>
      <c r="H69" s="1181"/>
      <c r="I69" s="1180">
        <v>0.5</v>
      </c>
      <c r="J69" s="388">
        <f t="shared" si="5"/>
        <v>0</v>
      </c>
      <c r="L69" s="146" t="b">
        <v>0</v>
      </c>
    </row>
    <row r="70" spans="1:12" s="166" customFormat="1" ht="29.95" customHeight="1">
      <c r="A70" s="1046"/>
      <c r="B70" s="343"/>
      <c r="C70" s="378"/>
      <c r="D70" s="373"/>
      <c r="E70" s="1444" t="s">
        <v>737</v>
      </c>
      <c r="F70" s="1444"/>
      <c r="G70" s="1444"/>
      <c r="H70" s="1161"/>
      <c r="I70" s="390"/>
      <c r="J70" s="386"/>
      <c r="L70" s="146"/>
    </row>
    <row r="71" spans="1:12" s="166" customFormat="1" ht="17.3" customHeight="1">
      <c r="A71" s="1046"/>
      <c r="B71" s="344"/>
      <c r="C71" s="1149" t="s">
        <v>1136</v>
      </c>
      <c r="D71" s="422"/>
      <c r="E71" s="1413" t="s">
        <v>634</v>
      </c>
      <c r="F71" s="1413"/>
      <c r="G71" s="1413"/>
      <c r="H71" s="1175"/>
      <c r="I71" s="1180">
        <v>0.5</v>
      </c>
      <c r="J71" s="388">
        <f t="shared" si="5"/>
        <v>0</v>
      </c>
      <c r="L71" s="146" t="b">
        <v>0</v>
      </c>
    </row>
    <row r="72" spans="1:12" s="166" customFormat="1" ht="15" customHeight="1">
      <c r="A72" s="1046"/>
      <c r="B72" s="343"/>
      <c r="C72" s="378"/>
      <c r="D72" s="373"/>
      <c r="E72" s="1444" t="s">
        <v>635</v>
      </c>
      <c r="F72" s="1444"/>
      <c r="G72" s="1444"/>
      <c r="H72" s="1161"/>
      <c r="I72" s="390"/>
      <c r="J72" s="386"/>
      <c r="L72" s="146"/>
    </row>
    <row r="73" spans="1:12" s="166" customFormat="1" ht="17.3" customHeight="1">
      <c r="A73" s="1046"/>
      <c r="B73" s="344"/>
      <c r="C73" s="1149" t="s">
        <v>1130</v>
      </c>
      <c r="D73" s="1192"/>
      <c r="E73" s="1413" t="s">
        <v>1222</v>
      </c>
      <c r="F73" s="1413"/>
      <c r="G73" s="1413"/>
      <c r="H73" s="1193"/>
      <c r="I73" s="1180">
        <v>0.75</v>
      </c>
      <c r="J73" s="388">
        <f>IF(L73,I73,0)</f>
        <v>0</v>
      </c>
      <c r="L73" s="146" t="b">
        <v>0</v>
      </c>
    </row>
    <row r="74" spans="1:12" s="166" customFormat="1" ht="70.150000000000006" customHeight="1">
      <c r="A74" s="1046"/>
      <c r="B74" s="343"/>
      <c r="C74" s="378"/>
      <c r="D74" s="373"/>
      <c r="E74" s="1444" t="s">
        <v>780</v>
      </c>
      <c r="F74" s="1444"/>
      <c r="G74" s="1444"/>
      <c r="H74" s="1161"/>
      <c r="I74" s="390"/>
      <c r="J74" s="386"/>
      <c r="L74" s="146"/>
    </row>
    <row r="75" spans="1:12" s="166" customFormat="1" ht="17.3" customHeight="1">
      <c r="A75" s="1046"/>
      <c r="B75" s="344"/>
      <c r="C75" s="1149" t="s">
        <v>1131</v>
      </c>
      <c r="D75" s="422"/>
      <c r="E75" s="1414" t="s">
        <v>309</v>
      </c>
      <c r="F75" s="1414"/>
      <c r="G75" s="1414"/>
      <c r="H75" s="1175"/>
      <c r="I75" s="1180">
        <v>0.55000000000000004</v>
      </c>
      <c r="J75" s="388">
        <f>IF(L75,I75,0)</f>
        <v>0</v>
      </c>
      <c r="L75" s="146" t="b">
        <v>0</v>
      </c>
    </row>
    <row r="76" spans="1:12" s="166" customFormat="1" ht="15" customHeight="1">
      <c r="A76" s="1046"/>
      <c r="B76" s="343"/>
      <c r="C76" s="378"/>
      <c r="D76" s="373"/>
      <c r="E76" s="1441"/>
      <c r="F76" s="1441"/>
      <c r="G76" s="1441"/>
      <c r="H76" s="346"/>
      <c r="I76" s="390"/>
      <c r="J76" s="386"/>
      <c r="L76" s="146"/>
    </row>
    <row r="77" spans="1:12" s="166" customFormat="1" ht="17.3" customHeight="1">
      <c r="A77" s="1046"/>
      <c r="B77" s="344"/>
      <c r="C77" s="1149" t="s">
        <v>1132</v>
      </c>
      <c r="D77" s="422"/>
      <c r="E77" s="1413" t="s">
        <v>985</v>
      </c>
      <c r="F77" s="1413"/>
      <c r="G77" s="1413"/>
      <c r="H77" s="1194"/>
      <c r="I77" s="1180">
        <v>0.5</v>
      </c>
      <c r="J77" s="388">
        <f t="shared" ref="J77:J89" si="6">IF(L77,I77,0)</f>
        <v>0</v>
      </c>
      <c r="L77" s="146" t="b">
        <v>0</v>
      </c>
    </row>
    <row r="78" spans="1:12" s="166" customFormat="1" ht="69" customHeight="1">
      <c r="A78" s="1046"/>
      <c r="B78" s="343"/>
      <c r="C78" s="378"/>
      <c r="D78" s="373"/>
      <c r="E78" s="1444" t="s">
        <v>986</v>
      </c>
      <c r="F78" s="1444"/>
      <c r="G78" s="1444"/>
      <c r="H78" s="1161"/>
      <c r="I78" s="390"/>
      <c r="J78" s="386"/>
      <c r="L78" s="146"/>
    </row>
    <row r="79" spans="1:12" s="166" customFormat="1" ht="17.3" customHeight="1">
      <c r="A79" s="1046"/>
      <c r="B79" s="344"/>
      <c r="C79" s="1149" t="s">
        <v>1133</v>
      </c>
      <c r="D79" s="422"/>
      <c r="E79" s="1458" t="s">
        <v>212</v>
      </c>
      <c r="F79" s="1458"/>
      <c r="G79" s="1458"/>
      <c r="H79" s="1175"/>
      <c r="I79" s="1180">
        <v>0.5</v>
      </c>
      <c r="J79" s="388">
        <f t="shared" si="6"/>
        <v>0</v>
      </c>
      <c r="L79" s="146" t="b">
        <v>0</v>
      </c>
    </row>
    <row r="80" spans="1:12" s="166" customFormat="1" ht="15" customHeight="1">
      <c r="A80" s="1046"/>
      <c r="B80" s="343"/>
      <c r="C80" s="378"/>
      <c r="D80" s="373"/>
      <c r="E80" s="1441"/>
      <c r="F80" s="1441"/>
      <c r="G80" s="1441"/>
      <c r="H80" s="346"/>
      <c r="I80" s="390"/>
      <c r="J80" s="386"/>
      <c r="L80" s="146"/>
    </row>
    <row r="81" spans="1:17" s="166" customFormat="1" ht="17.3" customHeight="1">
      <c r="A81" s="1046"/>
      <c r="B81" s="344"/>
      <c r="C81" s="1149" t="s">
        <v>1134</v>
      </c>
      <c r="D81" s="422"/>
      <c r="E81" s="1414" t="s">
        <v>118</v>
      </c>
      <c r="F81" s="1414"/>
      <c r="G81" s="1414"/>
      <c r="H81" s="1194"/>
      <c r="I81" s="1180">
        <v>0.1</v>
      </c>
      <c r="J81" s="388">
        <f t="shared" si="6"/>
        <v>0</v>
      </c>
      <c r="L81" s="146" t="b">
        <v>0</v>
      </c>
    </row>
    <row r="82" spans="1:17" s="166" customFormat="1" ht="15" customHeight="1">
      <c r="A82" s="1046"/>
      <c r="B82" s="343"/>
      <c r="C82" s="378"/>
      <c r="D82" s="373"/>
      <c r="E82" s="1441"/>
      <c r="F82" s="1441"/>
      <c r="G82" s="1441"/>
      <c r="H82" s="346"/>
      <c r="I82" s="390"/>
      <c r="J82" s="386"/>
      <c r="L82" s="146"/>
    </row>
    <row r="83" spans="1:17" s="166" customFormat="1" ht="17.3" customHeight="1">
      <c r="A83" s="1046"/>
      <c r="B83" s="344"/>
      <c r="C83" s="1149" t="s">
        <v>1135</v>
      </c>
      <c r="D83" s="422"/>
      <c r="E83" s="1414" t="s">
        <v>102</v>
      </c>
      <c r="F83" s="1414"/>
      <c r="G83" s="1414"/>
      <c r="H83" s="1184"/>
      <c r="I83" s="1180">
        <v>0.1</v>
      </c>
      <c r="J83" s="388">
        <f t="shared" si="6"/>
        <v>0</v>
      </c>
      <c r="L83" s="146" t="b">
        <v>0</v>
      </c>
      <c r="Q83" s="169"/>
    </row>
    <row r="84" spans="1:17" s="166" customFormat="1" ht="15" customHeight="1">
      <c r="A84" s="1046"/>
      <c r="B84" s="343"/>
      <c r="C84" s="378"/>
      <c r="D84" s="373"/>
      <c r="E84" s="1441"/>
      <c r="F84" s="1441"/>
      <c r="G84" s="1441"/>
      <c r="H84" s="346"/>
      <c r="I84" s="390"/>
      <c r="J84" s="386"/>
      <c r="L84" s="146"/>
    </row>
    <row r="85" spans="1:17" s="166" customFormat="1" ht="17.3" customHeight="1">
      <c r="A85" s="1046"/>
      <c r="B85" s="344"/>
      <c r="C85" s="1149" t="s">
        <v>1137</v>
      </c>
      <c r="D85" s="1192"/>
      <c r="E85" s="1413" t="s">
        <v>637</v>
      </c>
      <c r="F85" s="1413"/>
      <c r="G85" s="1413"/>
      <c r="H85" s="1193"/>
      <c r="I85" s="1180">
        <v>0.5</v>
      </c>
      <c r="J85" s="388">
        <f t="shared" si="6"/>
        <v>0</v>
      </c>
      <c r="L85" s="146" t="b">
        <v>0</v>
      </c>
    </row>
    <row r="86" spans="1:17" s="166" customFormat="1" ht="29.95" customHeight="1">
      <c r="A86" s="1046"/>
      <c r="B86" s="348"/>
      <c r="C86" s="378"/>
      <c r="D86" s="373"/>
      <c r="E86" s="1444" t="s">
        <v>638</v>
      </c>
      <c r="F86" s="1444"/>
      <c r="G86" s="1444"/>
      <c r="H86" s="1161"/>
      <c r="I86" s="390"/>
      <c r="J86" s="386"/>
      <c r="L86" s="146"/>
    </row>
    <row r="87" spans="1:17" s="166" customFormat="1" ht="17.3" customHeight="1">
      <c r="A87" s="1046"/>
      <c r="B87" s="344"/>
      <c r="C87" s="1149" t="s">
        <v>1138</v>
      </c>
      <c r="D87" s="422"/>
      <c r="E87" s="1414" t="s">
        <v>310</v>
      </c>
      <c r="F87" s="1414"/>
      <c r="G87" s="1414"/>
      <c r="H87" s="1175"/>
      <c r="I87" s="1180">
        <v>0.25</v>
      </c>
      <c r="J87" s="388">
        <f t="shared" si="6"/>
        <v>0</v>
      </c>
      <c r="L87" s="146" t="b">
        <v>0</v>
      </c>
    </row>
    <row r="88" spans="1:17" s="166" customFormat="1" ht="15" customHeight="1">
      <c r="A88" s="1046"/>
      <c r="B88" s="343"/>
      <c r="C88" s="378"/>
      <c r="D88" s="373"/>
      <c r="E88" s="1441"/>
      <c r="F88" s="1441"/>
      <c r="G88" s="1441"/>
      <c r="H88" s="346"/>
      <c r="I88" s="390"/>
      <c r="J88" s="386"/>
      <c r="L88" s="146"/>
    </row>
    <row r="89" spans="1:17" s="166" customFormat="1" ht="17.3" customHeight="1">
      <c r="A89" s="1046"/>
      <c r="B89" s="344"/>
      <c r="C89" s="1149" t="s">
        <v>1139</v>
      </c>
      <c r="D89" s="422"/>
      <c r="E89" s="1413" t="s">
        <v>781</v>
      </c>
      <c r="F89" s="1413"/>
      <c r="G89" s="1413"/>
      <c r="H89" s="1181"/>
      <c r="I89" s="1180">
        <v>0.25</v>
      </c>
      <c r="J89" s="388">
        <f t="shared" si="6"/>
        <v>0</v>
      </c>
      <c r="L89" s="146" t="b">
        <v>0</v>
      </c>
    </row>
    <row r="90" spans="1:17" s="166" customFormat="1" ht="29.95" customHeight="1">
      <c r="A90" s="1046"/>
      <c r="B90" s="348"/>
      <c r="C90" s="378"/>
      <c r="D90" s="373"/>
      <c r="E90" s="1409" t="s">
        <v>1021</v>
      </c>
      <c r="F90" s="1409"/>
      <c r="G90" s="1409"/>
      <c r="H90" s="1161"/>
      <c r="I90" s="390"/>
      <c r="J90" s="386"/>
      <c r="L90" s="146"/>
    </row>
    <row r="91" spans="1:17" s="166" customFormat="1" ht="15" customHeight="1">
      <c r="A91" s="1046"/>
      <c r="B91" s="348"/>
      <c r="C91" s="378"/>
      <c r="D91" s="373"/>
      <c r="E91" s="1486" t="s">
        <v>1020</v>
      </c>
      <c r="F91" s="1486"/>
      <c r="G91" s="1486"/>
      <c r="H91" s="346"/>
      <c r="I91" s="390"/>
      <c r="J91" s="386"/>
      <c r="L91" s="146"/>
    </row>
    <row r="92" spans="1:17" s="166" customFormat="1" ht="15" customHeight="1">
      <c r="A92" s="1046"/>
      <c r="B92" s="351"/>
      <c r="C92" s="378"/>
      <c r="D92" s="373"/>
      <c r="E92" s="1487" t="s">
        <v>1022</v>
      </c>
      <c r="F92" s="1485"/>
      <c r="G92" s="1485"/>
      <c r="H92" s="1204"/>
      <c r="I92" s="1178"/>
      <c r="J92" s="386"/>
      <c r="L92" s="146"/>
    </row>
    <row r="93" spans="1:17" s="166" customFormat="1" ht="17.3" customHeight="1">
      <c r="A93" s="1046"/>
      <c r="B93" s="174"/>
      <c r="C93" s="1186"/>
      <c r="D93" s="422"/>
      <c r="E93" s="1467" t="s">
        <v>1141</v>
      </c>
      <c r="F93" s="1467"/>
      <c r="G93" s="1467"/>
      <c r="H93" s="1468"/>
      <c r="I93" s="1188"/>
      <c r="J93" s="388">
        <f>IF(L93,IF(AND($L$14,$M$13),I93+20,I93),0)</f>
        <v>0</v>
      </c>
      <c r="L93" s="148" t="b">
        <f>IF(AND($L$14,$M$13),L14,FALSE)</f>
        <v>0</v>
      </c>
    </row>
    <row r="94" spans="1:17" s="166" customFormat="1" ht="16.600000000000001" customHeight="1" thickBot="1">
      <c r="A94" s="1046"/>
      <c r="B94" s="343"/>
      <c r="C94" s="378"/>
      <c r="D94" s="373"/>
      <c r="E94" s="1466"/>
      <c r="F94" s="1466"/>
      <c r="G94" s="1466"/>
      <c r="H94" s="1161"/>
      <c r="I94" s="393"/>
      <c r="J94" s="386"/>
      <c r="L94" s="146"/>
    </row>
    <row r="95" spans="1:17" s="166" customFormat="1" ht="22.5" customHeight="1" thickBot="1">
      <c r="A95" s="1046"/>
      <c r="B95" s="353"/>
      <c r="C95" s="364"/>
      <c r="D95" s="364"/>
      <c r="E95" s="354"/>
      <c r="F95" s="355"/>
      <c r="G95" s="355"/>
      <c r="H95" s="356" t="s">
        <v>1018</v>
      </c>
      <c r="I95" s="396">
        <f>IF($M$3,SUM(I61:I89),0)</f>
        <v>0</v>
      </c>
      <c r="J95" s="358">
        <f>IF($M$3,SUMIF(L61:L93,TRUE,J61:J93),0)</f>
        <v>0</v>
      </c>
      <c r="L95" s="146"/>
    </row>
    <row r="96" spans="1:17" s="166" customFormat="1" ht="7.5" customHeight="1">
      <c r="A96" s="1046"/>
      <c r="B96" s="368"/>
      <c r="C96" s="365"/>
      <c r="D96" s="365"/>
      <c r="E96" s="366"/>
      <c r="F96" s="79"/>
      <c r="G96" s="79"/>
      <c r="H96" s="352"/>
      <c r="I96" s="369"/>
      <c r="J96" s="367"/>
      <c r="L96" s="146"/>
    </row>
    <row r="97" spans="1:12" s="166" customFormat="1" ht="29.95" customHeight="1">
      <c r="A97" s="1046"/>
      <c r="B97" s="1469" t="s">
        <v>1025</v>
      </c>
      <c r="C97" s="1470"/>
      <c r="D97" s="1470"/>
      <c r="E97" s="1470"/>
      <c r="F97" s="1470"/>
      <c r="G97" s="1470"/>
      <c r="H97" s="1470"/>
      <c r="I97" s="1470"/>
      <c r="J97" s="1471"/>
      <c r="L97" s="146"/>
    </row>
    <row r="98" spans="1:12" s="166" customFormat="1" ht="17.3" customHeight="1">
      <c r="A98" s="1046"/>
      <c r="B98" s="344"/>
      <c r="C98" s="1148" t="s">
        <v>1125</v>
      </c>
      <c r="D98" s="417"/>
      <c r="E98" s="1408" t="s">
        <v>639</v>
      </c>
      <c r="F98" s="1408"/>
      <c r="G98" s="1408"/>
      <c r="H98" s="1171"/>
      <c r="I98" s="1182">
        <v>5.75</v>
      </c>
      <c r="J98" s="1195">
        <f>IF(L98,I98,0)</f>
        <v>0</v>
      </c>
      <c r="L98" s="146" t="b">
        <v>0</v>
      </c>
    </row>
    <row r="99" spans="1:12" s="166" customFormat="1" ht="54.75" customHeight="1">
      <c r="A99" s="1046"/>
      <c r="B99" s="348"/>
      <c r="C99" s="378"/>
      <c r="D99" s="373"/>
      <c r="E99" s="1444" t="s">
        <v>640</v>
      </c>
      <c r="F99" s="1444"/>
      <c r="G99" s="1444"/>
      <c r="H99" s="1161"/>
      <c r="I99" s="390"/>
      <c r="J99" s="426"/>
      <c r="L99" s="146"/>
    </row>
    <row r="100" spans="1:12" s="166" customFormat="1" ht="17.3" customHeight="1">
      <c r="A100" s="1046"/>
      <c r="B100" s="344"/>
      <c r="C100" s="1149" t="s">
        <v>1126</v>
      </c>
      <c r="D100" s="422"/>
      <c r="E100" s="1413" t="s">
        <v>641</v>
      </c>
      <c r="F100" s="1413"/>
      <c r="G100" s="1413"/>
      <c r="H100" s="1175"/>
      <c r="I100" s="1180">
        <v>0.5</v>
      </c>
      <c r="J100" s="1197">
        <f>IF(L100,I100,0)</f>
        <v>0</v>
      </c>
      <c r="L100" s="146" t="b">
        <v>0</v>
      </c>
    </row>
    <row r="101" spans="1:12" s="166" customFormat="1" ht="15" customHeight="1">
      <c r="A101" s="1046"/>
      <c r="B101" s="348"/>
      <c r="C101" s="378"/>
      <c r="D101" s="373"/>
      <c r="E101" s="1444" t="s">
        <v>642</v>
      </c>
      <c r="F101" s="1444"/>
      <c r="G101" s="1444"/>
      <c r="H101" s="1161"/>
      <c r="I101" s="390"/>
      <c r="J101" s="426"/>
      <c r="L101" s="146"/>
    </row>
    <row r="102" spans="1:12" s="166" customFormat="1" ht="17.3" customHeight="1">
      <c r="A102" s="1046"/>
      <c r="B102" s="344"/>
      <c r="C102" s="1149" t="s">
        <v>1127</v>
      </c>
      <c r="D102" s="422"/>
      <c r="E102" s="1413" t="s">
        <v>643</v>
      </c>
      <c r="F102" s="1413"/>
      <c r="G102" s="1413"/>
      <c r="H102" s="1175"/>
      <c r="I102" s="1180">
        <v>0.25</v>
      </c>
      <c r="J102" s="1197">
        <f t="shared" ref="J102" si="7">IF(L102,I102,0)</f>
        <v>0</v>
      </c>
      <c r="L102" s="146" t="b">
        <v>0</v>
      </c>
    </row>
    <row r="103" spans="1:12" s="166" customFormat="1" ht="29.95" customHeight="1">
      <c r="A103" s="1046"/>
      <c r="B103" s="348"/>
      <c r="C103" s="378"/>
      <c r="D103" s="373"/>
      <c r="E103" s="1444" t="s">
        <v>741</v>
      </c>
      <c r="F103" s="1444"/>
      <c r="G103" s="1444"/>
      <c r="H103" s="1161"/>
      <c r="I103" s="390"/>
      <c r="J103" s="426"/>
      <c r="L103" s="146"/>
    </row>
    <row r="104" spans="1:12" s="166" customFormat="1" ht="17.3" customHeight="1">
      <c r="A104" s="1046"/>
      <c r="B104" s="344"/>
      <c r="C104" s="1149" t="s">
        <v>1128</v>
      </c>
      <c r="D104" s="422"/>
      <c r="E104" s="1477" t="s">
        <v>229</v>
      </c>
      <c r="F104" s="1477"/>
      <c r="G104" s="1477"/>
      <c r="H104" s="1200"/>
      <c r="I104" s="1180">
        <v>0.75</v>
      </c>
      <c r="J104" s="1197">
        <f>IF(L104,I104,0)</f>
        <v>0</v>
      </c>
      <c r="L104" s="146" t="b">
        <v>0</v>
      </c>
    </row>
    <row r="105" spans="1:12" s="166" customFormat="1" ht="15" customHeight="1">
      <c r="A105" s="1046"/>
      <c r="B105" s="343"/>
      <c r="C105" s="378"/>
      <c r="D105" s="373"/>
      <c r="E105" s="1441"/>
      <c r="F105" s="1441"/>
      <c r="G105" s="1441"/>
      <c r="H105" s="346"/>
      <c r="I105" s="390"/>
      <c r="J105" s="386"/>
      <c r="L105" s="146"/>
    </row>
    <row r="106" spans="1:12" s="166" customFormat="1" ht="17.3" customHeight="1">
      <c r="A106" s="1046"/>
      <c r="B106" s="344"/>
      <c r="C106" s="1149" t="s">
        <v>1129</v>
      </c>
      <c r="D106" s="422"/>
      <c r="E106" s="1413" t="s">
        <v>1003</v>
      </c>
      <c r="F106" s="1413"/>
      <c r="G106" s="1413"/>
      <c r="H106" s="1201"/>
      <c r="I106" s="1180">
        <v>0.5</v>
      </c>
      <c r="J106" s="1197">
        <f>IF(L106,I106,0)</f>
        <v>0</v>
      </c>
      <c r="L106" s="146" t="b">
        <v>0</v>
      </c>
    </row>
    <row r="107" spans="1:12" s="166" customFormat="1" ht="16.7">
      <c r="A107" s="1046"/>
      <c r="B107" s="348"/>
      <c r="C107" s="378"/>
      <c r="D107" s="373"/>
      <c r="E107" s="1441" t="s">
        <v>1023</v>
      </c>
      <c r="F107" s="1441"/>
      <c r="G107" s="1441"/>
      <c r="H107" s="1161"/>
      <c r="I107" s="390"/>
      <c r="J107" s="426"/>
      <c r="L107" s="146"/>
    </row>
    <row r="108" spans="1:12" s="166" customFormat="1" ht="17.3" customHeight="1">
      <c r="A108" s="1046"/>
      <c r="B108" s="344"/>
      <c r="C108" s="1149" t="s">
        <v>1136</v>
      </c>
      <c r="D108" s="422"/>
      <c r="E108" s="1443" t="s">
        <v>1005</v>
      </c>
      <c r="F108" s="1443"/>
      <c r="G108" s="1443"/>
      <c r="H108" s="1175"/>
      <c r="I108" s="1180">
        <v>0.25</v>
      </c>
      <c r="J108" s="1197">
        <f>IF(L108,I108,0)</f>
        <v>0</v>
      </c>
      <c r="L108" s="146" t="b">
        <v>0</v>
      </c>
    </row>
    <row r="109" spans="1:12" s="166" customFormat="1" ht="15" customHeight="1" thickBot="1">
      <c r="A109" s="1046"/>
      <c r="B109" s="348"/>
      <c r="C109" s="378"/>
      <c r="D109" s="373"/>
      <c r="E109" s="1475" t="s">
        <v>1006</v>
      </c>
      <c r="F109" s="1475"/>
      <c r="G109" s="1475"/>
      <c r="H109" s="1161"/>
      <c r="I109" s="390"/>
      <c r="J109" s="426"/>
      <c r="L109" s="146"/>
    </row>
    <row r="110" spans="1:12" s="166" customFormat="1" ht="22.5" customHeight="1" thickBot="1">
      <c r="A110" s="1046"/>
      <c r="B110" s="353"/>
      <c r="C110" s="364"/>
      <c r="D110" s="364"/>
      <c r="E110" s="354"/>
      <c r="F110" s="355"/>
      <c r="G110" s="355"/>
      <c r="H110" s="356" t="s">
        <v>1024</v>
      </c>
      <c r="I110" s="1054">
        <f>IF($M$3,SUM(I98:I108),)</f>
        <v>0</v>
      </c>
      <c r="J110" s="358">
        <f>IF($M$3,SUMIF(L97:L108,TRUE,J97:J108),0)</f>
        <v>0</v>
      </c>
      <c r="L110" s="146"/>
    </row>
    <row r="111" spans="1:12" s="166" customFormat="1" ht="7.5" customHeight="1" thickBot="1">
      <c r="A111" s="1046"/>
      <c r="B111" s="368"/>
      <c r="C111" s="365"/>
      <c r="D111" s="365"/>
      <c r="E111" s="366"/>
      <c r="F111" s="79"/>
      <c r="G111" s="79"/>
      <c r="H111" s="352"/>
      <c r="I111" s="369"/>
      <c r="J111" s="367"/>
      <c r="L111" s="146"/>
    </row>
    <row r="112" spans="1:12" s="166" customFormat="1" ht="22.5" customHeight="1" thickBot="1">
      <c r="A112" s="1046"/>
      <c r="B112" s="353"/>
      <c r="C112" s="364"/>
      <c r="D112" s="364"/>
      <c r="E112" s="354"/>
      <c r="F112" s="355"/>
      <c r="G112" s="355"/>
      <c r="H112" s="356" t="s">
        <v>1146</v>
      </c>
      <c r="I112" s="1054">
        <f>IF($M$3,SUM(I110,I58,I95,I27),0)</f>
        <v>0</v>
      </c>
      <c r="J112" s="358">
        <f>J110+J95+J58+J27</f>
        <v>0</v>
      </c>
      <c r="L112" s="146"/>
    </row>
    <row r="113" spans="1:12" s="166" customFormat="1" ht="16.7">
      <c r="A113" s="1046"/>
      <c r="B113" s="368"/>
      <c r="C113" s="365"/>
      <c r="D113" s="365"/>
      <c r="E113" s="366"/>
      <c r="F113" s="79"/>
      <c r="G113" s="79"/>
      <c r="H113" s="352"/>
      <c r="I113" s="369"/>
      <c r="J113" s="367"/>
      <c r="L113" s="146"/>
    </row>
    <row r="114" spans="1:12" s="166" customFormat="1" ht="29.95" customHeight="1">
      <c r="A114" s="1046"/>
      <c r="B114" s="1469" t="s">
        <v>744</v>
      </c>
      <c r="C114" s="1470"/>
      <c r="D114" s="1470"/>
      <c r="E114" s="1470"/>
      <c r="F114" s="1470"/>
      <c r="G114" s="1470"/>
      <c r="H114" s="1470"/>
      <c r="I114" s="1470"/>
      <c r="J114" s="1471"/>
      <c r="L114" s="146"/>
    </row>
    <row r="115" spans="1:12" s="166" customFormat="1" ht="17.3" customHeight="1">
      <c r="A115" s="1046"/>
      <c r="B115" s="344"/>
      <c r="C115" s="1205" t="s">
        <v>1125</v>
      </c>
      <c r="D115" s="373"/>
      <c r="E115" s="1408" t="s">
        <v>644</v>
      </c>
      <c r="F115" s="1408"/>
      <c r="G115" s="1408"/>
      <c r="H115" s="152"/>
      <c r="I115" s="1182">
        <v>6.5</v>
      </c>
      <c r="J115" s="1195">
        <f>IF(L115,I115,0)</f>
        <v>0</v>
      </c>
      <c r="L115" s="146" t="b">
        <v>0</v>
      </c>
    </row>
    <row r="116" spans="1:12" s="166" customFormat="1" ht="45.1" customHeight="1">
      <c r="A116" s="1046"/>
      <c r="B116" s="348"/>
      <c r="C116" s="378"/>
      <c r="D116" s="373"/>
      <c r="E116" s="1444" t="s">
        <v>645</v>
      </c>
      <c r="F116" s="1444"/>
      <c r="G116" s="1444"/>
      <c r="H116" s="1161"/>
      <c r="I116" s="390"/>
      <c r="J116" s="426"/>
      <c r="L116" s="146"/>
    </row>
    <row r="117" spans="1:12" s="166" customFormat="1" ht="17.3" customHeight="1">
      <c r="A117" s="1046"/>
      <c r="B117" s="344"/>
      <c r="C117" s="1149" t="s">
        <v>1126</v>
      </c>
      <c r="D117" s="422"/>
      <c r="E117" s="1413" t="s">
        <v>646</v>
      </c>
      <c r="F117" s="1413"/>
      <c r="G117" s="1413"/>
      <c r="H117" s="1201"/>
      <c r="I117" s="1180">
        <v>7</v>
      </c>
      <c r="J117" s="1197">
        <f t="shared" ref="J117" si="8">IF(L117,I117,0)</f>
        <v>0</v>
      </c>
      <c r="L117" s="146" t="b">
        <v>0</v>
      </c>
    </row>
    <row r="118" spans="1:12" s="166" customFormat="1" ht="29.95" customHeight="1">
      <c r="A118" s="1046"/>
      <c r="B118" s="348"/>
      <c r="C118" s="378"/>
      <c r="D118" s="373"/>
      <c r="E118" s="1444" t="s">
        <v>647</v>
      </c>
      <c r="F118" s="1444"/>
      <c r="G118" s="1444"/>
      <c r="H118" s="1161"/>
      <c r="I118" s="390"/>
      <c r="J118" s="426"/>
      <c r="L118" s="146"/>
    </row>
    <row r="119" spans="1:12" s="166" customFormat="1" ht="17.3" customHeight="1">
      <c r="A119" s="1046"/>
      <c r="B119" s="344"/>
      <c r="C119" s="1149" t="s">
        <v>1127</v>
      </c>
      <c r="D119" s="422"/>
      <c r="E119" s="1413" t="s">
        <v>648</v>
      </c>
      <c r="F119" s="1413"/>
      <c r="G119" s="1413"/>
      <c r="H119" s="1201"/>
      <c r="I119" s="1180">
        <v>1</v>
      </c>
      <c r="J119" s="1197">
        <f>IF(L119,I119,0)</f>
        <v>0</v>
      </c>
      <c r="L119" s="146" t="b">
        <v>0</v>
      </c>
    </row>
    <row r="120" spans="1:12" s="166" customFormat="1" ht="29.95" customHeight="1">
      <c r="A120" s="1046"/>
      <c r="B120" s="348"/>
      <c r="C120" s="378"/>
      <c r="D120" s="373"/>
      <c r="E120" s="1444" t="s">
        <v>649</v>
      </c>
      <c r="F120" s="1444"/>
      <c r="G120" s="1444"/>
      <c r="H120" s="1161"/>
      <c r="I120" s="390"/>
      <c r="J120" s="426"/>
      <c r="L120" s="146"/>
    </row>
    <row r="121" spans="1:12" s="166" customFormat="1" ht="17.3" customHeight="1">
      <c r="A121" s="1046"/>
      <c r="B121" s="344"/>
      <c r="C121" s="1149" t="s">
        <v>1128</v>
      </c>
      <c r="D121" s="422"/>
      <c r="E121" s="1414" t="s">
        <v>260</v>
      </c>
      <c r="F121" s="1414"/>
      <c r="G121" s="1414"/>
      <c r="H121" s="1181"/>
      <c r="I121" s="1180">
        <v>0.5</v>
      </c>
      <c r="J121" s="1197">
        <f>IF(L121,I121,0)</f>
        <v>0</v>
      </c>
      <c r="L121" s="146" t="b">
        <v>0</v>
      </c>
    </row>
    <row r="122" spans="1:12" s="166" customFormat="1" ht="15" customHeight="1" thickBot="1">
      <c r="A122" s="1046"/>
      <c r="B122" s="343"/>
      <c r="C122" s="378"/>
      <c r="D122" s="373"/>
      <c r="E122" s="1465"/>
      <c r="F122" s="1465"/>
      <c r="G122" s="1465"/>
      <c r="H122" s="346"/>
      <c r="I122" s="390"/>
      <c r="J122" s="386"/>
      <c r="L122" s="146"/>
    </row>
    <row r="123" spans="1:12" s="166" customFormat="1" ht="22.5" customHeight="1" thickBot="1">
      <c r="A123" s="1046"/>
      <c r="B123" s="353"/>
      <c r="C123" s="364"/>
      <c r="D123" s="364"/>
      <c r="E123" s="354"/>
      <c r="F123" s="355"/>
      <c r="G123" s="355"/>
      <c r="H123" s="356" t="s">
        <v>782</v>
      </c>
      <c r="I123" s="1054">
        <f>IF($M$3,SUM(I115:I121),0)</f>
        <v>0</v>
      </c>
      <c r="J123" s="358">
        <f>IF($M$3,SUMIF(L115:L121,TRUE,J115:J121),0)</f>
        <v>0</v>
      </c>
      <c r="L123" s="146"/>
    </row>
    <row r="124" spans="1:12" s="166" customFormat="1" ht="16.7">
      <c r="A124" s="1046"/>
      <c r="B124" s="368"/>
      <c r="C124" s="365"/>
      <c r="D124" s="365"/>
      <c r="E124" s="366"/>
      <c r="F124" s="79"/>
      <c r="G124" s="79"/>
      <c r="H124" s="352"/>
      <c r="I124" s="369"/>
      <c r="J124" s="367"/>
      <c r="L124" s="146"/>
    </row>
    <row r="125" spans="1:12" s="170" customFormat="1" ht="29.95" customHeight="1">
      <c r="A125" s="1052"/>
      <c r="B125" s="1482" t="s">
        <v>1026</v>
      </c>
      <c r="C125" s="1483"/>
      <c r="D125" s="1483"/>
      <c r="E125" s="1483"/>
      <c r="F125" s="1483"/>
      <c r="G125" s="1483"/>
      <c r="H125" s="1483"/>
      <c r="I125" s="1483"/>
      <c r="J125" s="1484"/>
      <c r="L125" s="150"/>
    </row>
    <row r="126" spans="1:12" s="166" customFormat="1" ht="17.3" customHeight="1">
      <c r="A126" s="1046"/>
      <c r="B126" s="344"/>
      <c r="C126" s="1148" t="s">
        <v>1125</v>
      </c>
      <c r="D126" s="417"/>
      <c r="E126" s="1158" t="s">
        <v>650</v>
      </c>
      <c r="F126" s="1158"/>
      <c r="G126" s="1158"/>
      <c r="H126" s="1203"/>
      <c r="I126" s="1182">
        <v>4</v>
      </c>
      <c r="J126" s="1195">
        <f>IF(L126,I126,0)</f>
        <v>0</v>
      </c>
      <c r="L126" s="146" t="b">
        <v>0</v>
      </c>
    </row>
    <row r="127" spans="1:12" s="166" customFormat="1" ht="15" customHeight="1">
      <c r="A127" s="1046"/>
      <c r="B127" s="348"/>
      <c r="C127" s="378"/>
      <c r="D127" s="373"/>
      <c r="E127" s="1159" t="s">
        <v>651</v>
      </c>
      <c r="F127" s="1159"/>
      <c r="G127" s="1159"/>
      <c r="H127" s="1161"/>
      <c r="I127" s="390"/>
      <c r="J127" s="426"/>
      <c r="L127" s="146"/>
    </row>
    <row r="128" spans="1:12" s="166" customFormat="1" ht="17.3" customHeight="1">
      <c r="A128" s="1046"/>
      <c r="B128" s="344"/>
      <c r="C128" s="1149" t="s">
        <v>1126</v>
      </c>
      <c r="D128" s="422"/>
      <c r="E128" s="1196" t="s">
        <v>652</v>
      </c>
      <c r="F128" s="1196"/>
      <c r="G128" s="1196"/>
      <c r="H128" s="1201"/>
      <c r="I128" s="1180">
        <v>4.5</v>
      </c>
      <c r="J128" s="1197">
        <f>IF(L128,I128,0)</f>
        <v>0</v>
      </c>
      <c r="L128" s="146" t="b">
        <v>0</v>
      </c>
    </row>
    <row r="129" spans="1:12" s="166" customFormat="1" ht="55.15" customHeight="1">
      <c r="A129" s="1046"/>
      <c r="B129" s="348"/>
      <c r="C129" s="378"/>
      <c r="D129" s="373"/>
      <c r="E129" s="1409" t="s">
        <v>783</v>
      </c>
      <c r="F129" s="1409"/>
      <c r="G129" s="1409"/>
      <c r="H129" s="1161"/>
      <c r="I129" s="390"/>
      <c r="J129" s="426"/>
      <c r="L129" s="146"/>
    </row>
    <row r="130" spans="1:12" s="166" customFormat="1" ht="17.3" customHeight="1">
      <c r="A130" s="1046"/>
      <c r="B130" s="344"/>
      <c r="C130" s="1149" t="s">
        <v>1127</v>
      </c>
      <c r="D130" s="422"/>
      <c r="E130" s="1196" t="s">
        <v>748</v>
      </c>
      <c r="F130" s="1196"/>
      <c r="G130" s="1196"/>
      <c r="H130" s="1201"/>
      <c r="I130" s="1180">
        <v>0.5</v>
      </c>
      <c r="J130" s="1197">
        <f t="shared" ref="J130" si="9">IF(L130,I130,0)</f>
        <v>0</v>
      </c>
      <c r="L130" s="146" t="b">
        <v>0</v>
      </c>
    </row>
    <row r="131" spans="1:12" s="166" customFormat="1" ht="15" customHeight="1">
      <c r="A131" s="1046"/>
      <c r="B131" s="348"/>
      <c r="C131" s="378"/>
      <c r="D131" s="373"/>
      <c r="E131" s="1409" t="s">
        <v>747</v>
      </c>
      <c r="F131" s="1409"/>
      <c r="G131" s="1409"/>
      <c r="H131" s="1161"/>
      <c r="I131" s="390"/>
      <c r="J131" s="426"/>
      <c r="L131" s="146"/>
    </row>
    <row r="132" spans="1:12" s="166" customFormat="1" ht="17.3" customHeight="1">
      <c r="A132" s="1046"/>
      <c r="B132" s="344"/>
      <c r="C132" s="1149" t="s">
        <v>1128</v>
      </c>
      <c r="D132" s="422"/>
      <c r="E132" s="1185" t="s">
        <v>263</v>
      </c>
      <c r="F132" s="1207"/>
      <c r="G132" s="1207"/>
      <c r="H132" s="1181"/>
      <c r="I132" s="1180">
        <v>0.25</v>
      </c>
      <c r="J132" s="1197">
        <f>IF(L132,I132,0)</f>
        <v>0</v>
      </c>
      <c r="L132" s="146" t="b">
        <v>0</v>
      </c>
    </row>
    <row r="133" spans="1:12" s="166" customFormat="1" ht="29.95" customHeight="1">
      <c r="A133" s="1046"/>
      <c r="B133" s="348"/>
      <c r="C133" s="378"/>
      <c r="D133" s="373"/>
      <c r="E133" s="1409" t="s">
        <v>749</v>
      </c>
      <c r="F133" s="1409"/>
      <c r="G133" s="1409"/>
      <c r="H133" s="1161"/>
      <c r="I133" s="390"/>
      <c r="J133" s="426"/>
      <c r="L133" s="146"/>
    </row>
    <row r="134" spans="1:12" s="166" customFormat="1" ht="17.3" customHeight="1">
      <c r="A134" s="1046"/>
      <c r="B134" s="344"/>
      <c r="C134" s="1149" t="s">
        <v>1129</v>
      </c>
      <c r="D134" s="422"/>
      <c r="E134" s="1196" t="s">
        <v>654</v>
      </c>
      <c r="F134" s="1207"/>
      <c r="G134" s="1207"/>
      <c r="H134" s="1181"/>
      <c r="I134" s="1180">
        <v>0.5</v>
      </c>
      <c r="J134" s="1197">
        <f>IF(L134,I134,0)</f>
        <v>0</v>
      </c>
      <c r="L134" s="146" t="b">
        <v>0</v>
      </c>
    </row>
    <row r="135" spans="1:12" s="166" customFormat="1" ht="15" customHeight="1">
      <c r="A135" s="1046"/>
      <c r="B135" s="348"/>
      <c r="C135" s="378"/>
      <c r="D135" s="373"/>
      <c r="E135" s="1157" t="s">
        <v>655</v>
      </c>
      <c r="F135" s="1157"/>
      <c r="G135" s="1157"/>
      <c r="H135" s="1161"/>
      <c r="I135" s="390"/>
      <c r="J135" s="426"/>
      <c r="L135" s="146"/>
    </row>
    <row r="136" spans="1:12" s="166" customFormat="1" ht="17.3" customHeight="1">
      <c r="A136" s="1046"/>
      <c r="B136" s="344"/>
      <c r="C136" s="1149" t="s">
        <v>1136</v>
      </c>
      <c r="D136" s="422"/>
      <c r="E136" s="1166" t="s">
        <v>750</v>
      </c>
      <c r="F136" s="1166"/>
      <c r="G136" s="1166"/>
      <c r="H136" s="1193"/>
      <c r="I136" s="1180">
        <v>0.15</v>
      </c>
      <c r="J136" s="1197">
        <f>IF(L136,I136,0)</f>
        <v>0</v>
      </c>
      <c r="L136" s="146" t="b">
        <v>0</v>
      </c>
    </row>
    <row r="137" spans="1:12" s="166" customFormat="1" ht="45.1" customHeight="1">
      <c r="A137" s="1046"/>
      <c r="B137" s="348"/>
      <c r="C137" s="378"/>
      <c r="D137" s="373"/>
      <c r="E137" s="1409" t="s">
        <v>751</v>
      </c>
      <c r="F137" s="1409"/>
      <c r="G137" s="1409"/>
      <c r="H137" s="1161"/>
      <c r="I137" s="390"/>
      <c r="J137" s="426"/>
      <c r="L137" s="146"/>
    </row>
    <row r="138" spans="1:12" s="166" customFormat="1" ht="17.3" customHeight="1">
      <c r="A138" s="1046"/>
      <c r="B138" s="370"/>
      <c r="C138" s="1149" t="s">
        <v>1130</v>
      </c>
      <c r="D138" s="422"/>
      <c r="E138" s="1414" t="s">
        <v>413</v>
      </c>
      <c r="F138" s="1414"/>
      <c r="G138" s="1414"/>
      <c r="H138" s="1181"/>
      <c r="I138" s="1180">
        <v>0.1</v>
      </c>
      <c r="J138" s="1197">
        <f>IF(L138,I138-0.15,0)</f>
        <v>0</v>
      </c>
      <c r="L138" s="148" t="b">
        <v>0</v>
      </c>
    </row>
    <row r="139" spans="1:12" s="166" customFormat="1" ht="15" customHeight="1">
      <c r="A139" s="1046"/>
      <c r="B139" s="343"/>
      <c r="C139" s="378"/>
      <c r="D139" s="373"/>
      <c r="E139" s="1429"/>
      <c r="F139" s="1429"/>
      <c r="G139" s="1429"/>
      <c r="H139" s="346"/>
      <c r="I139" s="390"/>
      <c r="J139" s="386"/>
      <c r="L139" s="146"/>
    </row>
    <row r="140" spans="1:12" s="166" customFormat="1" ht="15" customHeight="1" thickBot="1">
      <c r="A140" s="1046"/>
      <c r="B140" s="351"/>
      <c r="C140" s="378"/>
      <c r="D140" s="373"/>
      <c r="E140" s="1165" t="s">
        <v>784</v>
      </c>
      <c r="F140" s="1204"/>
      <c r="G140" s="1204"/>
      <c r="H140" s="1204"/>
      <c r="I140" s="1178"/>
      <c r="J140" s="426"/>
      <c r="L140" s="146"/>
    </row>
    <row r="141" spans="1:12" s="166" customFormat="1" ht="22.5" customHeight="1" thickBot="1">
      <c r="A141" s="1046"/>
      <c r="B141" s="353"/>
      <c r="C141" s="364"/>
      <c r="D141" s="364"/>
      <c r="E141" s="354"/>
      <c r="F141" s="355"/>
      <c r="G141" s="355"/>
      <c r="H141" s="356" t="s">
        <v>1028</v>
      </c>
      <c r="I141" s="1054">
        <f>IF($M$3,SUM(I126:I140),0)</f>
        <v>0</v>
      </c>
      <c r="J141" s="358">
        <f>IF($M$3,SUMIF(L126:L140,TRUE,J126:J140),0)</f>
        <v>0</v>
      </c>
      <c r="L141" s="146"/>
    </row>
    <row r="142" spans="1:12" s="166" customFormat="1" ht="7.5" customHeight="1">
      <c r="A142" s="1046"/>
      <c r="B142" s="368"/>
      <c r="C142" s="365"/>
      <c r="D142" s="365"/>
      <c r="E142" s="366"/>
      <c r="F142" s="79"/>
      <c r="G142" s="79"/>
      <c r="H142" s="352"/>
      <c r="I142" s="369"/>
      <c r="J142" s="367"/>
      <c r="L142" s="146"/>
    </row>
    <row r="143" spans="1:12" s="166" customFormat="1" ht="29.95" customHeight="1">
      <c r="A143" s="1046"/>
      <c r="B143" s="1469" t="s">
        <v>1027</v>
      </c>
      <c r="C143" s="1470"/>
      <c r="D143" s="1470"/>
      <c r="E143" s="1470"/>
      <c r="F143" s="1470"/>
      <c r="G143" s="1470"/>
      <c r="H143" s="1470"/>
      <c r="I143" s="1470"/>
      <c r="J143" s="1471"/>
      <c r="L143" s="146"/>
    </row>
    <row r="144" spans="1:12" s="166" customFormat="1" ht="17.3" customHeight="1">
      <c r="A144" s="1046"/>
      <c r="B144" s="370"/>
      <c r="C144" s="1205" t="s">
        <v>1125</v>
      </c>
      <c r="D144" s="373"/>
      <c r="E144" s="1449" t="s">
        <v>414</v>
      </c>
      <c r="F144" s="1449"/>
      <c r="G144" s="1449"/>
      <c r="H144" s="37"/>
      <c r="I144" s="1182">
        <v>0.1</v>
      </c>
      <c r="J144" s="1195">
        <f>IF(L144,I144-0.25,0)</f>
        <v>0</v>
      </c>
      <c r="L144" s="148" t="b">
        <v>0</v>
      </c>
    </row>
    <row r="145" spans="1:12" s="166" customFormat="1" ht="15" customHeight="1">
      <c r="A145" s="1046"/>
      <c r="B145" s="343"/>
      <c r="C145" s="378"/>
      <c r="D145" s="373"/>
      <c r="E145" s="1429"/>
      <c r="F145" s="1429"/>
      <c r="G145" s="1429"/>
      <c r="H145" s="346"/>
      <c r="I145" s="390"/>
      <c r="J145" s="386"/>
      <c r="L145" s="146"/>
    </row>
    <row r="146" spans="1:12" s="166" customFormat="1" ht="15" customHeight="1">
      <c r="A146" s="1046"/>
      <c r="B146" s="351"/>
      <c r="C146" s="378"/>
      <c r="D146" s="373"/>
      <c r="E146" s="1485" t="s">
        <v>692</v>
      </c>
      <c r="F146" s="1485"/>
      <c r="G146" s="1485"/>
      <c r="H146" s="1204"/>
      <c r="I146" s="1178"/>
      <c r="J146" s="426"/>
      <c r="L146" s="146"/>
    </row>
    <row r="147" spans="1:12" s="166" customFormat="1" ht="17.3" customHeight="1">
      <c r="A147" s="1046"/>
      <c r="B147" s="344"/>
      <c r="C147" s="1149" t="s">
        <v>1126</v>
      </c>
      <c r="D147" s="422"/>
      <c r="E147" s="1413" t="s">
        <v>755</v>
      </c>
      <c r="F147" s="1413"/>
      <c r="G147" s="1413"/>
      <c r="H147" s="1181"/>
      <c r="I147" s="1180">
        <v>2.25</v>
      </c>
      <c r="J147" s="1197">
        <f>IF(L147,I147-1,0)</f>
        <v>0</v>
      </c>
      <c r="L147" s="146" t="b">
        <v>0</v>
      </c>
    </row>
    <row r="148" spans="1:12" s="166" customFormat="1" ht="15" customHeight="1">
      <c r="A148" s="1046"/>
      <c r="B148" s="343"/>
      <c r="C148" s="378"/>
      <c r="D148" s="373"/>
      <c r="E148" s="1429"/>
      <c r="F148" s="1429"/>
      <c r="G148" s="1429"/>
      <c r="H148" s="346"/>
      <c r="I148" s="390"/>
      <c r="J148" s="386"/>
      <c r="L148" s="146"/>
    </row>
    <row r="149" spans="1:12" s="166" customFormat="1" ht="24.05" customHeight="1">
      <c r="A149" s="1046"/>
      <c r="B149" s="351"/>
      <c r="C149" s="378"/>
      <c r="D149" s="373"/>
      <c r="E149" s="1405" t="s">
        <v>753</v>
      </c>
      <c r="F149" s="1405"/>
      <c r="G149" s="1405"/>
      <c r="H149" s="1405"/>
      <c r="I149" s="1178"/>
      <c r="J149" s="426"/>
      <c r="L149" s="146"/>
    </row>
    <row r="150" spans="1:12" s="166" customFormat="1" ht="17.3" customHeight="1">
      <c r="A150" s="1046"/>
      <c r="B150" s="344"/>
      <c r="C150" s="1149" t="s">
        <v>1127</v>
      </c>
      <c r="D150" s="422"/>
      <c r="E150" s="1413" t="s">
        <v>656</v>
      </c>
      <c r="F150" s="1413"/>
      <c r="G150" s="1413"/>
      <c r="H150" s="1181"/>
      <c r="I150" s="1180">
        <v>0.4</v>
      </c>
      <c r="J150" s="1197">
        <f t="shared" ref="J150:J162" si="10">IF(L150,I150,0)</f>
        <v>0</v>
      </c>
      <c r="L150" s="146" t="b">
        <v>0</v>
      </c>
    </row>
    <row r="151" spans="1:12" s="166" customFormat="1" ht="15" customHeight="1">
      <c r="A151" s="1046"/>
      <c r="B151" s="348"/>
      <c r="C151" s="378"/>
      <c r="D151" s="373"/>
      <c r="E151" s="1479" t="s">
        <v>657</v>
      </c>
      <c r="F151" s="1479"/>
      <c r="G151" s="1479"/>
      <c r="H151" s="1161"/>
      <c r="I151" s="390"/>
      <c r="J151" s="426"/>
      <c r="L151" s="146"/>
    </row>
    <row r="152" spans="1:12" s="166" customFormat="1" ht="17.3" customHeight="1">
      <c r="A152" s="1046"/>
      <c r="B152" s="344"/>
      <c r="C152" s="1149" t="s">
        <v>1128</v>
      </c>
      <c r="D152" s="422"/>
      <c r="E152" s="1413" t="s">
        <v>756</v>
      </c>
      <c r="F152" s="1413"/>
      <c r="G152" s="1413"/>
      <c r="H152" s="1175"/>
      <c r="I152" s="1180">
        <v>0.25</v>
      </c>
      <c r="J152" s="1197">
        <f>IF(L152,I152-0.1,0)</f>
        <v>0</v>
      </c>
      <c r="L152" s="146" t="b">
        <v>0</v>
      </c>
    </row>
    <row r="153" spans="1:12" s="166" customFormat="1" ht="15" customHeight="1">
      <c r="A153" s="1046"/>
      <c r="B153" s="343"/>
      <c r="C153" s="378"/>
      <c r="D153" s="373"/>
      <c r="E153" s="1429"/>
      <c r="F153" s="1429"/>
      <c r="G153" s="1429"/>
      <c r="H153" s="346"/>
      <c r="I153" s="390"/>
      <c r="J153" s="386"/>
      <c r="L153" s="146"/>
    </row>
    <row r="154" spans="1:12" s="166" customFormat="1" ht="25.2" customHeight="1">
      <c r="A154" s="1046"/>
      <c r="B154" s="351"/>
      <c r="C154" s="378"/>
      <c r="D154" s="373"/>
      <c r="E154" s="1481" t="s">
        <v>754</v>
      </c>
      <c r="F154" s="1481"/>
      <c r="G154" s="1481"/>
      <c r="H154" s="1204"/>
      <c r="I154" s="1178"/>
      <c r="J154" s="426"/>
      <c r="L154" s="146"/>
    </row>
    <row r="155" spans="1:12" s="166" customFormat="1" ht="17.3" customHeight="1">
      <c r="A155" s="1046"/>
      <c r="B155" s="344"/>
      <c r="C155" s="1149" t="s">
        <v>1129</v>
      </c>
      <c r="D155" s="422"/>
      <c r="E155" s="1413" t="s">
        <v>785</v>
      </c>
      <c r="F155" s="1413"/>
      <c r="G155" s="1413"/>
      <c r="H155" s="1181"/>
      <c r="I155" s="1180">
        <v>0.5</v>
      </c>
      <c r="J155" s="1197">
        <f t="shared" si="10"/>
        <v>0</v>
      </c>
      <c r="L155" s="146" t="b">
        <v>0</v>
      </c>
    </row>
    <row r="156" spans="1:12" s="166" customFormat="1" ht="15" customHeight="1">
      <c r="A156" s="1046"/>
      <c r="B156" s="348"/>
      <c r="C156" s="378"/>
      <c r="D156" s="373"/>
      <c r="E156" s="1479" t="s">
        <v>786</v>
      </c>
      <c r="F156" s="1479"/>
      <c r="G156" s="1479"/>
      <c r="H156" s="1161"/>
      <c r="I156" s="390"/>
      <c r="J156" s="426"/>
      <c r="L156" s="146"/>
    </row>
    <row r="157" spans="1:12" s="166" customFormat="1" ht="17.3" customHeight="1">
      <c r="A157" s="1046"/>
      <c r="B157" s="370"/>
      <c r="C157" s="1149" t="s">
        <v>1136</v>
      </c>
      <c r="D157" s="422"/>
      <c r="E157" s="1414" t="s">
        <v>419</v>
      </c>
      <c r="F157" s="1414"/>
      <c r="G157" s="1414"/>
      <c r="H157" s="1181"/>
      <c r="I157" s="1180">
        <v>0.1</v>
      </c>
      <c r="J157" s="1197">
        <f>IF(L157,I157-0.1,0)</f>
        <v>0</v>
      </c>
      <c r="L157" s="148" t="b">
        <v>0</v>
      </c>
    </row>
    <row r="158" spans="1:12" s="166" customFormat="1" ht="15" customHeight="1">
      <c r="A158" s="1046"/>
      <c r="B158" s="343"/>
      <c r="C158" s="378"/>
      <c r="D158" s="373"/>
      <c r="E158" s="1429"/>
      <c r="F158" s="1429"/>
      <c r="G158" s="1429"/>
      <c r="H158" s="346"/>
      <c r="I158" s="390"/>
      <c r="J158" s="386"/>
      <c r="L158" s="146"/>
    </row>
    <row r="159" spans="1:12" s="166" customFormat="1" ht="15" customHeight="1">
      <c r="A159" s="1046"/>
      <c r="B159" s="351"/>
      <c r="C159" s="378"/>
      <c r="D159" s="373"/>
      <c r="E159" s="1485" t="s">
        <v>692</v>
      </c>
      <c r="F159" s="1485"/>
      <c r="G159" s="1485"/>
      <c r="H159" s="1204"/>
      <c r="I159" s="1178"/>
      <c r="J159" s="426"/>
      <c r="L159" s="146"/>
    </row>
    <row r="160" spans="1:12" s="166" customFormat="1" ht="16.850000000000001" customHeight="1">
      <c r="A160" s="1046"/>
      <c r="B160" s="344"/>
      <c r="C160" s="1149" t="s">
        <v>1130</v>
      </c>
      <c r="D160" s="422"/>
      <c r="E160" s="1414" t="s">
        <v>658</v>
      </c>
      <c r="F160" s="1414"/>
      <c r="G160" s="1414"/>
      <c r="H160" s="1181"/>
      <c r="I160" s="1180">
        <v>0.25</v>
      </c>
      <c r="J160" s="1197">
        <f t="shared" si="10"/>
        <v>0</v>
      </c>
      <c r="L160" s="146" t="b">
        <v>0</v>
      </c>
    </row>
    <row r="161" spans="1:12" s="166" customFormat="1" ht="15" customHeight="1">
      <c r="A161" s="1046"/>
      <c r="B161" s="348"/>
      <c r="C161" s="378"/>
      <c r="D161" s="373"/>
      <c r="E161" s="1444" t="s">
        <v>787</v>
      </c>
      <c r="F161" s="1444"/>
      <c r="G161" s="1444"/>
      <c r="H161" s="1161"/>
      <c r="I161" s="390"/>
      <c r="J161" s="426"/>
      <c r="L161" s="146"/>
    </row>
    <row r="162" spans="1:12" s="166" customFormat="1" ht="17.3" customHeight="1">
      <c r="A162" s="1046"/>
      <c r="B162" s="344"/>
      <c r="C162" s="1149" t="s">
        <v>1131</v>
      </c>
      <c r="D162" s="422"/>
      <c r="E162" s="1414" t="s">
        <v>272</v>
      </c>
      <c r="F162" s="1414"/>
      <c r="G162" s="1414"/>
      <c r="H162" s="1181"/>
      <c r="I162" s="1180">
        <v>0.15</v>
      </c>
      <c r="J162" s="1197">
        <f t="shared" si="10"/>
        <v>0</v>
      </c>
      <c r="L162" s="146" t="b">
        <v>0</v>
      </c>
    </row>
    <row r="163" spans="1:12" s="166" customFormat="1" ht="15" customHeight="1" thickBot="1">
      <c r="A163" s="1046"/>
      <c r="B163" s="343"/>
      <c r="C163" s="378"/>
      <c r="D163" s="373"/>
      <c r="E163" s="1465"/>
      <c r="F163" s="1465"/>
      <c r="G163" s="1465"/>
      <c r="H163" s="346"/>
      <c r="I163" s="390"/>
      <c r="J163" s="386"/>
      <c r="L163" s="146"/>
    </row>
    <row r="164" spans="1:12" s="166" customFormat="1" ht="22.2" customHeight="1" thickBot="1">
      <c r="A164" s="1046"/>
      <c r="B164" s="353"/>
      <c r="C164" s="364"/>
      <c r="D164" s="364"/>
      <c r="E164" s="354"/>
      <c r="F164" s="355"/>
      <c r="G164" s="355"/>
      <c r="H164" s="356" t="s">
        <v>1029</v>
      </c>
      <c r="I164" s="1054">
        <f>IF($M$3,SUM(I144:I162),0)</f>
        <v>0</v>
      </c>
      <c r="J164" s="358">
        <f>IF($M$3,SUMIF(L144:L162,TRUE,J144:J162),0)</f>
        <v>0</v>
      </c>
      <c r="L164" s="146"/>
    </row>
    <row r="165" spans="1:12" s="166" customFormat="1" ht="7.5" customHeight="1" thickBot="1">
      <c r="A165" s="1046"/>
      <c r="B165" s="368"/>
      <c r="C165" s="365"/>
      <c r="D165" s="365"/>
      <c r="E165" s="366"/>
      <c r="F165" s="79"/>
      <c r="G165" s="79"/>
      <c r="H165" s="352"/>
      <c r="I165" s="369"/>
      <c r="J165" s="367"/>
      <c r="L165" s="146"/>
    </row>
    <row r="166" spans="1:12" s="166" customFormat="1" ht="22.5" customHeight="1" thickBot="1">
      <c r="A166" s="1046"/>
      <c r="B166" s="353"/>
      <c r="C166" s="364"/>
      <c r="D166" s="364"/>
      <c r="E166" s="354"/>
      <c r="F166" s="355"/>
      <c r="G166" s="355"/>
      <c r="H166" s="356" t="s">
        <v>1032</v>
      </c>
      <c r="I166" s="1054">
        <f>IF($M$3,SUM(I164,I141),0)</f>
        <v>0</v>
      </c>
      <c r="J166" s="358">
        <f>J164+J141</f>
        <v>0</v>
      </c>
      <c r="L166" s="146"/>
    </row>
    <row r="167" spans="1:12" s="166" customFormat="1" ht="16.7">
      <c r="A167" s="1046"/>
      <c r="B167" s="368"/>
      <c r="C167" s="365"/>
      <c r="D167" s="365"/>
      <c r="E167" s="366"/>
      <c r="F167" s="79"/>
      <c r="G167" s="79"/>
      <c r="H167" s="352"/>
      <c r="I167" s="369"/>
      <c r="J167" s="367"/>
      <c r="L167" s="146"/>
    </row>
    <row r="168" spans="1:12" s="166" customFormat="1" ht="29.95" customHeight="1">
      <c r="A168" s="1046"/>
      <c r="B168" s="1469" t="s">
        <v>758</v>
      </c>
      <c r="C168" s="1470"/>
      <c r="D168" s="1470"/>
      <c r="E168" s="1470"/>
      <c r="F168" s="1470"/>
      <c r="G168" s="1470"/>
      <c r="H168" s="1470"/>
      <c r="I168" s="1470"/>
      <c r="J168" s="1471"/>
      <c r="L168" s="146"/>
    </row>
    <row r="169" spans="1:12" s="166" customFormat="1" ht="16.850000000000001" customHeight="1">
      <c r="A169" s="1046"/>
      <c r="B169" s="344"/>
      <c r="C169" s="1149" t="s">
        <v>1125</v>
      </c>
      <c r="D169" s="422"/>
      <c r="E169" s="1408" t="s">
        <v>1143</v>
      </c>
      <c r="F169" s="1408"/>
      <c r="G169" s="1408"/>
      <c r="H169" s="1184"/>
      <c r="I169" s="1182">
        <v>8.25</v>
      </c>
      <c r="J169" s="1197">
        <f t="shared" ref="J169" si="11">IF(L169,I169,0)</f>
        <v>0</v>
      </c>
      <c r="L169" s="146" t="b">
        <v>0</v>
      </c>
    </row>
    <row r="170" spans="1:12" s="166" customFormat="1" ht="45.1" customHeight="1">
      <c r="A170" s="1046"/>
      <c r="B170" s="348"/>
      <c r="C170" s="378"/>
      <c r="D170" s="373"/>
      <c r="E170" s="1409" t="s">
        <v>661</v>
      </c>
      <c r="F170" s="1409"/>
      <c r="G170" s="1409"/>
      <c r="H170" s="431"/>
      <c r="I170" s="390"/>
      <c r="J170" s="426"/>
      <c r="L170" s="146"/>
    </row>
    <row r="171" spans="1:12" s="166" customFormat="1" ht="17.3" customHeight="1">
      <c r="A171" s="1046"/>
      <c r="B171" s="344"/>
      <c r="C171" s="1149" t="s">
        <v>1126</v>
      </c>
      <c r="D171" s="422"/>
      <c r="E171" s="1413" t="s">
        <v>1030</v>
      </c>
      <c r="F171" s="1414"/>
      <c r="G171" s="1414"/>
      <c r="H171" s="1181"/>
      <c r="I171" s="1180">
        <v>0.7</v>
      </c>
      <c r="J171" s="1197">
        <f t="shared" ref="J171:J188" si="12">IF(L171,I171,0)</f>
        <v>0</v>
      </c>
      <c r="L171" s="146" t="b">
        <v>0</v>
      </c>
    </row>
    <row r="172" spans="1:12" s="166" customFormat="1" ht="15" customHeight="1">
      <c r="A172" s="1046"/>
      <c r="B172" s="343"/>
      <c r="C172" s="378"/>
      <c r="D172" s="373"/>
      <c r="E172" s="1441" t="s">
        <v>1009</v>
      </c>
      <c r="F172" s="1441"/>
      <c r="G172" s="1441"/>
      <c r="H172" s="346"/>
      <c r="I172" s="390"/>
      <c r="J172" s="386"/>
      <c r="L172" s="146"/>
    </row>
    <row r="173" spans="1:12" s="166" customFormat="1" ht="17.3" customHeight="1">
      <c r="A173" s="1046"/>
      <c r="B173" s="344"/>
      <c r="C173" s="1149" t="s">
        <v>1127</v>
      </c>
      <c r="D173" s="422"/>
      <c r="E173" s="1413" t="s">
        <v>1031</v>
      </c>
      <c r="F173" s="1413"/>
      <c r="G173" s="1413"/>
      <c r="H173" s="1175"/>
      <c r="I173" s="1180">
        <v>0.25</v>
      </c>
      <c r="J173" s="1197">
        <f t="shared" si="12"/>
        <v>0</v>
      </c>
      <c r="L173" s="146" t="b">
        <v>0</v>
      </c>
    </row>
    <row r="174" spans="1:12" s="166" customFormat="1" ht="15" customHeight="1">
      <c r="A174" s="1046"/>
      <c r="B174" s="348"/>
      <c r="C174" s="378"/>
      <c r="D174" s="373"/>
      <c r="E174" s="1479" t="s">
        <v>1010</v>
      </c>
      <c r="F174" s="1479"/>
      <c r="G174" s="1479"/>
      <c r="H174" s="1161"/>
      <c r="I174" s="390"/>
      <c r="J174" s="426"/>
      <c r="L174" s="146"/>
    </row>
    <row r="175" spans="1:12" s="166" customFormat="1" ht="17.3" customHeight="1">
      <c r="A175" s="1046"/>
      <c r="B175" s="344"/>
      <c r="C175" s="1149" t="s">
        <v>1128</v>
      </c>
      <c r="D175" s="422"/>
      <c r="E175" s="1414" t="s">
        <v>275</v>
      </c>
      <c r="F175" s="1414"/>
      <c r="G175" s="1414"/>
      <c r="H175" s="1175"/>
      <c r="I175" s="1180">
        <v>1.25</v>
      </c>
      <c r="J175" s="1206">
        <f t="shared" si="12"/>
        <v>0</v>
      </c>
      <c r="L175" s="146" t="b">
        <v>0</v>
      </c>
    </row>
    <row r="176" spans="1:12" s="166" customFormat="1" ht="15" customHeight="1">
      <c r="A176" s="1046"/>
      <c r="B176" s="343"/>
      <c r="C176" s="378"/>
      <c r="D176" s="373"/>
      <c r="E176" s="1441"/>
      <c r="F176" s="1441"/>
      <c r="G176" s="1441"/>
      <c r="H176" s="346"/>
      <c r="I176" s="390"/>
      <c r="J176" s="386"/>
      <c r="L176" s="146"/>
    </row>
    <row r="177" spans="1:12" s="166" customFormat="1" ht="16.850000000000001" customHeight="1">
      <c r="A177" s="1046"/>
      <c r="B177" s="344"/>
      <c r="C177" s="1149" t="s">
        <v>1129</v>
      </c>
      <c r="D177" s="422"/>
      <c r="E177" s="1413" t="s">
        <v>760</v>
      </c>
      <c r="F177" s="1413"/>
      <c r="G177" s="1413"/>
      <c r="H177" s="1175"/>
      <c r="I177" s="1180">
        <v>2.5</v>
      </c>
      <c r="J177" s="1197">
        <f>IF(L177,I177-0.5,0)</f>
        <v>0</v>
      </c>
      <c r="L177" s="146" t="b">
        <v>0</v>
      </c>
    </row>
    <row r="178" spans="1:12" s="166" customFormat="1" ht="55.15" customHeight="1">
      <c r="A178" s="1046"/>
      <c r="B178" s="348"/>
      <c r="C178" s="378"/>
      <c r="D178" s="373"/>
      <c r="E178" s="1409" t="s">
        <v>761</v>
      </c>
      <c r="F178" s="1409"/>
      <c r="G178" s="1409"/>
      <c r="H178" s="1161"/>
      <c r="I178" s="390"/>
      <c r="J178" s="426"/>
      <c r="L178" s="146"/>
    </row>
    <row r="179" spans="1:12" s="166" customFormat="1" ht="12.85" customHeight="1">
      <c r="A179" s="1046"/>
      <c r="B179" s="351"/>
      <c r="C179" s="378"/>
      <c r="D179" s="373"/>
      <c r="E179" s="1405" t="s">
        <v>762</v>
      </c>
      <c r="F179" s="1405"/>
      <c r="G179" s="1405"/>
      <c r="H179" s="1405"/>
      <c r="I179" s="1178"/>
      <c r="J179" s="426"/>
      <c r="L179" s="146"/>
    </row>
    <row r="180" spans="1:12" s="166" customFormat="1" ht="17.3" customHeight="1">
      <c r="A180" s="1046"/>
      <c r="B180" s="344"/>
      <c r="C180" s="1149" t="s">
        <v>1136</v>
      </c>
      <c r="D180" s="422"/>
      <c r="E180" s="1185" t="s">
        <v>277</v>
      </c>
      <c r="F180" s="1174"/>
      <c r="G180" s="1174"/>
      <c r="H180" s="1175"/>
      <c r="I180" s="1180">
        <v>0.4</v>
      </c>
      <c r="J180" s="1197">
        <f>IF(L180,I180-0.2,0)</f>
        <v>0</v>
      </c>
      <c r="L180" s="146" t="b">
        <v>0</v>
      </c>
    </row>
    <row r="181" spans="1:12" s="166" customFormat="1" ht="15" customHeight="1">
      <c r="A181" s="1046"/>
      <c r="B181" s="343"/>
      <c r="C181" s="378"/>
      <c r="D181" s="373"/>
      <c r="E181" s="1429"/>
      <c r="F181" s="1429"/>
      <c r="G181" s="1429"/>
      <c r="H181" s="346"/>
      <c r="I181" s="390"/>
      <c r="J181" s="386"/>
      <c r="L181" s="146"/>
    </row>
    <row r="182" spans="1:12" s="166" customFormat="1" ht="12.85" customHeight="1">
      <c r="A182" s="1046"/>
      <c r="B182" s="351"/>
      <c r="C182" s="378"/>
      <c r="D182" s="373"/>
      <c r="E182" s="1405" t="s">
        <v>764</v>
      </c>
      <c r="F182" s="1405"/>
      <c r="G182" s="1405"/>
      <c r="H182" s="1405"/>
      <c r="I182" s="1178"/>
      <c r="J182" s="426"/>
      <c r="L182" s="146"/>
    </row>
    <row r="183" spans="1:12" s="166" customFormat="1" ht="17.3" customHeight="1">
      <c r="A183" s="1046"/>
      <c r="B183" s="344"/>
      <c r="C183" s="1149" t="s">
        <v>1130</v>
      </c>
      <c r="D183" s="422"/>
      <c r="E183" s="1196" t="s">
        <v>666</v>
      </c>
      <c r="F183" s="1174"/>
      <c r="G183" s="1174"/>
      <c r="H183" s="1175"/>
      <c r="I183" s="1180">
        <v>0.4</v>
      </c>
      <c r="J183" s="1197">
        <f t="shared" si="12"/>
        <v>0</v>
      </c>
      <c r="L183" s="146" t="b">
        <v>0</v>
      </c>
    </row>
    <row r="184" spans="1:12" s="166" customFormat="1" ht="15" customHeight="1">
      <c r="A184" s="1046"/>
      <c r="B184" s="348"/>
      <c r="C184" s="378"/>
      <c r="D184" s="373"/>
      <c r="E184" s="1157" t="s">
        <v>667</v>
      </c>
      <c r="F184" s="1157"/>
      <c r="G184" s="1157"/>
      <c r="H184" s="1161"/>
      <c r="I184" s="390"/>
      <c r="J184" s="426"/>
      <c r="L184" s="146"/>
    </row>
    <row r="185" spans="1:12" s="166" customFormat="1" ht="17.3" customHeight="1">
      <c r="A185" s="1046"/>
      <c r="B185" s="344"/>
      <c r="C185" s="1149" t="s">
        <v>1131</v>
      </c>
      <c r="D185" s="422"/>
      <c r="E185" s="1196" t="s">
        <v>763</v>
      </c>
      <c r="F185" s="1174"/>
      <c r="G185" s="1174"/>
      <c r="H185" s="1175"/>
      <c r="I185" s="1180">
        <v>0.35</v>
      </c>
      <c r="J185" s="1197">
        <f>IF(L185,I185-0.2,0)</f>
        <v>0</v>
      </c>
      <c r="L185" s="146" t="b">
        <v>0</v>
      </c>
    </row>
    <row r="186" spans="1:12" s="166" customFormat="1" ht="15" customHeight="1">
      <c r="A186" s="1046"/>
      <c r="B186" s="343"/>
      <c r="C186" s="378"/>
      <c r="D186" s="373"/>
      <c r="E186" s="1429"/>
      <c r="F186" s="1429"/>
      <c r="G186" s="1429"/>
      <c r="H186" s="346"/>
      <c r="I186" s="390"/>
      <c r="J186" s="386"/>
      <c r="L186" s="146"/>
    </row>
    <row r="187" spans="1:12" s="166" customFormat="1" ht="12.85" customHeight="1">
      <c r="A187" s="1046"/>
      <c r="B187" s="351"/>
      <c r="C187" s="378"/>
      <c r="D187" s="373"/>
      <c r="E187" s="1405" t="s">
        <v>765</v>
      </c>
      <c r="F187" s="1405"/>
      <c r="G187" s="1405"/>
      <c r="H187" s="1405"/>
      <c r="I187" s="1178"/>
      <c r="J187" s="426"/>
      <c r="L187" s="146"/>
    </row>
    <row r="188" spans="1:12" s="166" customFormat="1" ht="17.3" customHeight="1">
      <c r="A188" s="1046"/>
      <c r="B188" s="344"/>
      <c r="C188" s="1149" t="s">
        <v>1132</v>
      </c>
      <c r="D188" s="422"/>
      <c r="E188" s="1414" t="s">
        <v>281</v>
      </c>
      <c r="F188" s="1414"/>
      <c r="G188" s="1414"/>
      <c r="H188" s="1175"/>
      <c r="I188" s="1180">
        <v>0.15</v>
      </c>
      <c r="J188" s="1197">
        <f t="shared" si="12"/>
        <v>0</v>
      </c>
      <c r="L188" s="146" t="b">
        <v>0</v>
      </c>
    </row>
    <row r="189" spans="1:12" s="166" customFormat="1" ht="15" customHeight="1">
      <c r="A189" s="1046"/>
      <c r="B189" s="343"/>
      <c r="C189" s="378"/>
      <c r="D189" s="373"/>
      <c r="E189" s="1441"/>
      <c r="F189" s="1441"/>
      <c r="G189" s="1441"/>
      <c r="H189" s="346"/>
      <c r="I189" s="390"/>
      <c r="J189" s="386"/>
      <c r="L189" s="146"/>
    </row>
    <row r="190" spans="1:12" s="166" customFormat="1" ht="16.850000000000001" customHeight="1">
      <c r="A190" s="1046"/>
      <c r="B190" s="344"/>
      <c r="C190" s="1149" t="s">
        <v>1133</v>
      </c>
      <c r="D190" s="422"/>
      <c r="E190" s="1413" t="s">
        <v>668</v>
      </c>
      <c r="F190" s="1413"/>
      <c r="G190" s="1413"/>
      <c r="H190" s="1175"/>
      <c r="I190" s="1180">
        <v>0.75</v>
      </c>
      <c r="J190" s="1197">
        <f>IF(L190,I190,0)</f>
        <v>0</v>
      </c>
      <c r="L190" s="146" t="b">
        <v>0</v>
      </c>
    </row>
    <row r="191" spans="1:12" s="166" customFormat="1" ht="15" customHeight="1" thickBot="1">
      <c r="A191" s="1046"/>
      <c r="B191" s="348"/>
      <c r="C191" s="378"/>
      <c r="D191" s="373"/>
      <c r="E191" s="1478" t="s">
        <v>669</v>
      </c>
      <c r="F191" s="1478"/>
      <c r="G191" s="1478"/>
      <c r="H191" s="1161"/>
      <c r="I191" s="390"/>
      <c r="J191" s="426"/>
      <c r="L191" s="146"/>
    </row>
    <row r="192" spans="1:12" s="166" customFormat="1" ht="22.5" customHeight="1" thickBot="1">
      <c r="A192" s="1046"/>
      <c r="B192" s="353"/>
      <c r="C192" s="364"/>
      <c r="D192" s="364"/>
      <c r="E192" s="354"/>
      <c r="F192" s="355"/>
      <c r="G192" s="355"/>
      <c r="H192" s="356" t="s">
        <v>789</v>
      </c>
      <c r="I192" s="1054">
        <f>IF($M$3,SUM(I169:I190),0)</f>
        <v>0</v>
      </c>
      <c r="J192" s="358">
        <f>IF($M$3,SUMIF(L169:L190,TRUE,J169:J190),0)</f>
        <v>0</v>
      </c>
      <c r="L192" s="146"/>
    </row>
    <row r="193" spans="1:12" s="166" customFormat="1" ht="16.7">
      <c r="A193" s="1046"/>
      <c r="B193" s="368"/>
      <c r="C193" s="365"/>
      <c r="D193" s="365"/>
      <c r="E193" s="366"/>
      <c r="F193" s="79"/>
      <c r="G193" s="79"/>
      <c r="H193" s="352"/>
      <c r="I193" s="369"/>
      <c r="J193" s="367"/>
      <c r="L193" s="146"/>
    </row>
    <row r="194" spans="1:12" s="166" customFormat="1" ht="29.95" customHeight="1">
      <c r="A194" s="1046"/>
      <c r="B194" s="1469" t="s">
        <v>767</v>
      </c>
      <c r="C194" s="1470"/>
      <c r="D194" s="1470"/>
      <c r="E194" s="1470"/>
      <c r="F194" s="1470"/>
      <c r="G194" s="1470"/>
      <c r="H194" s="1470"/>
      <c r="I194" s="1470"/>
      <c r="J194" s="1471"/>
      <c r="L194" s="146"/>
    </row>
    <row r="195" spans="1:12" s="166" customFormat="1" ht="16.850000000000001" customHeight="1">
      <c r="A195" s="1046"/>
      <c r="B195" s="344"/>
      <c r="C195" s="1149" t="s">
        <v>1125</v>
      </c>
      <c r="D195" s="422"/>
      <c r="E195" s="1196" t="s">
        <v>670</v>
      </c>
      <c r="F195" s="1174"/>
      <c r="G195" s="1174"/>
      <c r="H195" s="1175"/>
      <c r="I195" s="1180">
        <v>0.8</v>
      </c>
      <c r="J195" s="1197">
        <f t="shared" ref="J195:J199" si="13">IF(L195,I195,0)</f>
        <v>0</v>
      </c>
      <c r="L195" s="146" t="b">
        <v>0</v>
      </c>
    </row>
    <row r="196" spans="1:12" s="166" customFormat="1" ht="45.1" customHeight="1">
      <c r="A196" s="1046"/>
      <c r="B196" s="348"/>
      <c r="C196" s="378"/>
      <c r="D196" s="373"/>
      <c r="E196" s="1409" t="s">
        <v>671</v>
      </c>
      <c r="F196" s="1409"/>
      <c r="G196" s="1409"/>
      <c r="H196" s="1161"/>
      <c r="I196" s="390"/>
      <c r="J196" s="426"/>
      <c r="L196" s="146"/>
    </row>
    <row r="197" spans="1:12" s="166" customFormat="1" ht="16.850000000000001" customHeight="1">
      <c r="A197" s="1046"/>
      <c r="B197" s="344"/>
      <c r="C197" s="1149" t="s">
        <v>1126</v>
      </c>
      <c r="D197" s="422"/>
      <c r="E197" s="1196" t="s">
        <v>672</v>
      </c>
      <c r="F197" s="1174"/>
      <c r="G197" s="1174"/>
      <c r="H197" s="1175"/>
      <c r="I197" s="1180">
        <v>0.1</v>
      </c>
      <c r="J197" s="1197">
        <f t="shared" si="13"/>
        <v>0</v>
      </c>
      <c r="L197" s="146" t="b">
        <v>0</v>
      </c>
    </row>
    <row r="198" spans="1:12" s="166" customFormat="1" ht="15" customHeight="1">
      <c r="A198" s="1046"/>
      <c r="B198" s="348"/>
      <c r="C198" s="378"/>
      <c r="D198" s="373"/>
      <c r="E198" s="1157" t="s">
        <v>673</v>
      </c>
      <c r="F198" s="1157"/>
      <c r="G198" s="1157"/>
      <c r="H198" s="1161"/>
      <c r="I198" s="390"/>
      <c r="J198" s="426"/>
      <c r="L198" s="146"/>
    </row>
    <row r="199" spans="1:12" s="166" customFormat="1" ht="17.3" customHeight="1">
      <c r="A199" s="1046"/>
      <c r="B199" s="344"/>
      <c r="C199" s="1149" t="s">
        <v>1127</v>
      </c>
      <c r="D199" s="422"/>
      <c r="E199" s="1196" t="s">
        <v>282</v>
      </c>
      <c r="F199" s="1174"/>
      <c r="G199" s="1174"/>
      <c r="H199" s="1175"/>
      <c r="I199" s="1180">
        <v>0.1</v>
      </c>
      <c r="J199" s="1197">
        <f t="shared" si="13"/>
        <v>0</v>
      </c>
      <c r="L199" s="146" t="b">
        <v>0</v>
      </c>
    </row>
    <row r="200" spans="1:12" s="166" customFormat="1" ht="15" customHeight="1" thickBot="1">
      <c r="A200" s="1046"/>
      <c r="B200" s="343"/>
      <c r="C200" s="378"/>
      <c r="D200" s="373"/>
      <c r="E200" s="1441"/>
      <c r="F200" s="1441"/>
      <c r="G200" s="1441"/>
      <c r="H200" s="346"/>
      <c r="I200" s="390"/>
      <c r="J200" s="386"/>
      <c r="L200" s="146"/>
    </row>
    <row r="201" spans="1:12" s="166" customFormat="1" ht="22.5" customHeight="1" thickBot="1">
      <c r="A201" s="1046"/>
      <c r="B201" s="353"/>
      <c r="C201" s="364"/>
      <c r="D201" s="364"/>
      <c r="E201" s="354"/>
      <c r="F201" s="355"/>
      <c r="G201" s="355"/>
      <c r="H201" s="356" t="s">
        <v>1148</v>
      </c>
      <c r="I201" s="1054">
        <f>IF($M$3,SUM(I195:I199),0)</f>
        <v>0</v>
      </c>
      <c r="J201" s="358">
        <f>IF($M$3,SUMIF(L195:L199,TRUE,J195:J199),0)</f>
        <v>0</v>
      </c>
      <c r="L201" s="146"/>
    </row>
    <row r="202" spans="1:12" s="151" customFormat="1" ht="17.3" thickBot="1">
      <c r="A202" s="1046"/>
      <c r="B202" s="37"/>
      <c r="C202" s="171"/>
      <c r="D202" s="171"/>
      <c r="E202" s="37"/>
      <c r="F202" s="37"/>
      <c r="G202" s="37"/>
      <c r="H202" s="37"/>
      <c r="I202" s="37"/>
      <c r="J202" s="37"/>
      <c r="L202" s="173"/>
    </row>
    <row r="203" spans="1:12" s="166" customFormat="1" ht="29.95" customHeight="1" thickBot="1">
      <c r="A203" s="1046"/>
      <c r="B203" s="1400" t="s">
        <v>1147</v>
      </c>
      <c r="C203" s="1401"/>
      <c r="D203" s="1401"/>
      <c r="E203" s="1401"/>
      <c r="F203" s="1401"/>
      <c r="G203" s="1401"/>
      <c r="H203" s="1401"/>
      <c r="I203" s="1055">
        <f>SUM(I27,I58,I95,I110,I123,I141,I164,I192,I201)</f>
        <v>0</v>
      </c>
      <c r="J203" s="433">
        <f>SUM(J27,J58,J95,J110,J123,J141,J164,J192,J201)</f>
        <v>0</v>
      </c>
      <c r="L203" s="146"/>
    </row>
    <row r="204" spans="1:12" ht="12.85" customHeight="1"/>
    <row r="205" spans="1:12" ht="12.85" hidden="1" customHeight="1"/>
    <row r="206" spans="1:12" ht="16.7" hidden="1"/>
    <row r="207" spans="1:12" ht="16.7" hidden="1"/>
    <row r="208" spans="1:12" ht="16.7" hidden="1"/>
    <row r="209" ht="16.7" hidden="1"/>
    <row r="210" ht="16.7" hidden="1"/>
    <row r="211" ht="16.7" hidden="1"/>
    <row r="212" ht="16.7" hidden="1"/>
    <row r="213" ht="13.1" hidden="1" customHeight="1"/>
    <row r="214" ht="13.1" hidden="1" customHeight="1"/>
    <row r="215" ht="13.1" hidden="1" customHeight="1"/>
    <row r="216" ht="13.1" hidden="1" customHeight="1"/>
    <row r="217" ht="13.1" hidden="1" customHeight="1"/>
    <row r="218" ht="13.1" hidden="1" customHeight="1"/>
    <row r="219" ht="13.1" hidden="1" customHeight="1"/>
    <row r="220" ht="13.1" hidden="1" customHeight="1"/>
    <row r="221" ht="13.1" hidden="1" customHeight="1"/>
    <row r="222" ht="13.1" hidden="1" customHeight="1"/>
    <row r="223" ht="13.1" hidden="1" customHeight="1"/>
    <row r="224" ht="13.1" hidden="1" customHeight="1"/>
    <row r="225" ht="13.1" hidden="1" customHeight="1"/>
    <row r="226" ht="13.1" hidden="1" customHeight="1"/>
    <row r="227" ht="13.1" hidden="1" customHeight="1"/>
    <row r="228" ht="13.1" hidden="1" customHeight="1"/>
    <row r="229" ht="13.1" hidden="1" customHeight="1"/>
    <row r="230" ht="13.1" hidden="1" customHeight="1"/>
    <row r="231" ht="13.1" hidden="1" customHeight="1"/>
    <row r="232" ht="13.1" hidden="1" customHeight="1"/>
    <row r="233" ht="13.1" hidden="1" customHeight="1"/>
    <row r="234" ht="13.1" hidden="1" customHeight="1"/>
    <row r="235" ht="13.1" hidden="1" customHeight="1"/>
    <row r="236" ht="13.1" hidden="1" customHeight="1"/>
    <row r="237" ht="13.1" hidden="1" customHeight="1"/>
    <row r="238" ht="13.1" hidden="1" customHeight="1"/>
    <row r="239" ht="13.1" hidden="1" customHeight="1"/>
    <row r="240" ht="13.1" hidden="1" customHeight="1"/>
    <row r="241" ht="13.1" hidden="1" customHeight="1"/>
    <row r="242" ht="13.1" hidden="1" customHeight="1"/>
    <row r="243" ht="13.1" hidden="1" customHeight="1"/>
    <row r="244" ht="13.1" hidden="1" customHeight="1"/>
    <row r="245" ht="13.1" hidden="1" customHeight="1"/>
    <row r="246" ht="13.1" hidden="1" customHeight="1"/>
    <row r="247" ht="13.1" hidden="1" customHeight="1"/>
    <row r="248" ht="13.1" hidden="1" customHeight="1"/>
    <row r="249" ht="13.1" hidden="1" customHeight="1"/>
    <row r="250" ht="13.1" hidden="1" customHeight="1"/>
    <row r="251" ht="13.1" hidden="1" customHeight="1"/>
    <row r="252" ht="13.1" hidden="1" customHeight="1"/>
    <row r="253" ht="13.1" hidden="1" customHeight="1"/>
    <row r="254" ht="13.1" hidden="1" customHeight="1"/>
    <row r="255" ht="13.1" hidden="1" customHeight="1"/>
    <row r="256" ht="13.1" hidden="1" customHeight="1"/>
    <row r="257" ht="13.1" hidden="1" customHeight="1"/>
    <row r="258" ht="13.1" hidden="1" customHeight="1"/>
    <row r="259" ht="13.1" hidden="1" customHeight="1"/>
    <row r="260" ht="13.1" hidden="1" customHeight="1"/>
    <row r="261" ht="13.1" hidden="1" customHeight="1"/>
    <row r="262" ht="13.1" hidden="1" customHeight="1"/>
    <row r="263" ht="13.1" hidden="1" customHeight="1"/>
    <row r="264" ht="13.1" hidden="1" customHeight="1"/>
    <row r="265" ht="13.1" hidden="1" customHeight="1"/>
    <row r="266" ht="13.1" hidden="1" customHeight="1"/>
    <row r="267" ht="13.1" hidden="1" customHeight="1"/>
    <row r="268" ht="13.1" hidden="1" customHeight="1"/>
    <row r="269" ht="13.1" hidden="1" customHeight="1"/>
    <row r="270" ht="13.1" hidden="1" customHeight="1"/>
    <row r="271" ht="13.1" hidden="1" customHeight="1"/>
    <row r="272" ht="13.1" hidden="1" customHeight="1"/>
    <row r="273" ht="13.1" hidden="1" customHeight="1"/>
    <row r="274" ht="13.1" hidden="1" customHeight="1"/>
    <row r="275" ht="13.1" hidden="1" customHeight="1"/>
    <row r="276" ht="13.1" hidden="1" customHeight="1"/>
    <row r="277" ht="13.1" hidden="1" customHeight="1"/>
    <row r="278" ht="13.1" hidden="1" customHeight="1"/>
    <row r="279" ht="13.1" hidden="1" customHeight="1"/>
    <row r="280" ht="13.1" hidden="1" customHeight="1"/>
    <row r="281" ht="13.1" hidden="1" customHeight="1"/>
    <row r="282" ht="13.1" hidden="1" customHeight="1"/>
    <row r="283" ht="13.1" hidden="1" customHeight="1"/>
    <row r="284" ht="13.1" hidden="1" customHeight="1"/>
    <row r="285" ht="13.1" hidden="1" customHeight="1"/>
    <row r="286" ht="13.1" hidden="1" customHeight="1"/>
    <row r="287" ht="13.1" hidden="1" customHeight="1"/>
    <row r="288" ht="13.1" hidden="1" customHeight="1"/>
    <row r="289" ht="13.1" hidden="1" customHeight="1"/>
    <row r="290" ht="13.1" hidden="1" customHeight="1"/>
    <row r="291" ht="13.1" hidden="1" customHeight="1"/>
    <row r="292" ht="13.1" hidden="1" customHeight="1"/>
    <row r="293" ht="13.1" hidden="1" customHeight="1"/>
    <row r="294" ht="13.1" hidden="1" customHeight="1"/>
    <row r="295" ht="13.1" hidden="1" customHeight="1"/>
    <row r="296" ht="13.1" hidden="1" customHeight="1"/>
    <row r="297" ht="13.1" hidden="1" customHeight="1"/>
    <row r="298" ht="13.1" hidden="1" customHeight="1"/>
    <row r="299" ht="13.1" hidden="1" customHeight="1"/>
    <row r="300" ht="13.1" hidden="1" customHeight="1"/>
    <row r="301" ht="13.1" hidden="1" customHeight="1"/>
    <row r="302" ht="13.1" hidden="1" customHeight="1"/>
    <row r="303" ht="13.1" hidden="1" customHeight="1"/>
    <row r="304" ht="13.1" hidden="1" customHeight="1"/>
    <row r="305" ht="13.1" hidden="1" customHeight="1"/>
    <row r="306" ht="13.1" hidden="1" customHeight="1"/>
    <row r="307" ht="13.1" hidden="1" customHeight="1"/>
    <row r="308" ht="13.1" hidden="1" customHeight="1"/>
    <row r="309" ht="13.1" hidden="1" customHeight="1"/>
    <row r="310" ht="13.1" hidden="1" customHeight="1"/>
    <row r="311" ht="13.1" hidden="1" customHeight="1"/>
    <row r="312" ht="13.1" hidden="1" customHeight="1"/>
    <row r="313" ht="13.1" hidden="1" customHeight="1"/>
    <row r="314" ht="13.1" hidden="1" customHeight="1"/>
    <row r="315" ht="13.1" hidden="1" customHeight="1"/>
    <row r="316" ht="13.1" hidden="1" customHeight="1"/>
    <row r="317" ht="13.1" hidden="1" customHeight="1"/>
    <row r="318" ht="13.1" hidden="1" customHeight="1"/>
    <row r="319" ht="13.1" hidden="1" customHeight="1"/>
    <row r="320" ht="13.1" hidden="1" customHeight="1"/>
    <row r="321" ht="13.1" hidden="1" customHeight="1"/>
    <row r="322" ht="13.1" hidden="1" customHeight="1"/>
    <row r="323" ht="13.1" hidden="1" customHeight="1"/>
    <row r="324" ht="13.1" hidden="1" customHeight="1"/>
    <row r="325" ht="13.1" hidden="1" customHeight="1"/>
    <row r="326" ht="13.1" hidden="1" customHeight="1"/>
    <row r="327" ht="13.1" hidden="1" customHeight="1"/>
    <row r="328" ht="13.1" hidden="1" customHeight="1"/>
    <row r="329" ht="13.1" hidden="1" customHeight="1"/>
    <row r="330" ht="13.1" hidden="1" customHeight="1"/>
    <row r="331" ht="13.1" hidden="1" customHeight="1"/>
    <row r="332" ht="13.1" hidden="1" customHeight="1"/>
    <row r="333" ht="13.1" hidden="1" customHeight="1"/>
    <row r="334" ht="13.1" hidden="1" customHeight="1"/>
    <row r="335" ht="13.1" hidden="1" customHeight="1"/>
    <row r="336" ht="13.1" hidden="1" customHeight="1"/>
    <row r="337" ht="13.1" hidden="1" customHeight="1"/>
    <row r="338" ht="13.1" hidden="1" customHeight="1"/>
    <row r="339" ht="13.1" hidden="1" customHeight="1"/>
    <row r="340" ht="13.1" hidden="1" customHeight="1"/>
    <row r="341" ht="13.1" hidden="1" customHeight="1"/>
    <row r="342" ht="13.1" hidden="1" customHeight="1"/>
    <row r="343" ht="13.1" hidden="1" customHeight="1"/>
    <row r="344" ht="13.1" hidden="1" customHeight="1"/>
    <row r="345" ht="13.1" hidden="1" customHeight="1"/>
    <row r="346" ht="13.1" hidden="1" customHeight="1"/>
    <row r="347" ht="13.1" hidden="1" customHeight="1"/>
    <row r="348" ht="13.1" hidden="1" customHeight="1"/>
    <row r="349" ht="13.1" hidden="1" customHeight="1"/>
    <row r="350" ht="13.1" hidden="1" customHeight="1"/>
    <row r="351" ht="13.1" hidden="1" customHeight="1"/>
    <row r="352" ht="13.1" hidden="1" customHeight="1"/>
    <row r="353" ht="13.1" hidden="1" customHeight="1"/>
    <row r="354" ht="13.1" hidden="1" customHeight="1"/>
    <row r="355" ht="13.1" hidden="1" customHeight="1"/>
    <row r="356" ht="13.1" hidden="1" customHeight="1"/>
    <row r="357" ht="13.1" hidden="1" customHeight="1"/>
    <row r="358" ht="13.1" hidden="1" customHeight="1"/>
    <row r="359" ht="13.1" hidden="1" customHeight="1"/>
    <row r="360" ht="13.1" hidden="1" customHeight="1"/>
    <row r="361" ht="13.1" hidden="1" customHeight="1"/>
    <row r="362" ht="13.1" hidden="1" customHeight="1"/>
    <row r="363" ht="13.1" hidden="1" customHeight="1"/>
    <row r="364" ht="13.1" hidden="1" customHeight="1"/>
    <row r="365" ht="13.1" hidden="1" customHeight="1"/>
    <row r="366" ht="13.1" hidden="1" customHeight="1"/>
    <row r="367" ht="13.1" hidden="1" customHeight="1"/>
    <row r="368" ht="13.1" hidden="1" customHeight="1"/>
    <row r="369" ht="13.1" hidden="1" customHeight="1"/>
    <row r="370" ht="13.1" hidden="1" customHeight="1"/>
    <row r="371" ht="13.1" hidden="1" customHeight="1"/>
    <row r="372" ht="13.1" hidden="1" customHeight="1"/>
    <row r="373" ht="13.1" hidden="1" customHeight="1"/>
    <row r="374" ht="13.1" hidden="1" customHeight="1"/>
    <row r="375" ht="13.1" hidden="1" customHeight="1"/>
    <row r="376" ht="13.1" hidden="1" customHeight="1"/>
    <row r="377" ht="13.1" hidden="1" customHeight="1"/>
    <row r="378" ht="13.1" hidden="1" customHeight="1"/>
    <row r="379" ht="13.1" hidden="1" customHeight="1"/>
    <row r="380" ht="13.1" hidden="1" customHeight="1"/>
    <row r="381" ht="13.1" hidden="1" customHeight="1"/>
    <row r="382" ht="13.1" hidden="1" customHeight="1"/>
    <row r="383" ht="13.1" hidden="1" customHeight="1"/>
    <row r="384" ht="13.1" hidden="1" customHeight="1"/>
    <row r="385" ht="13.1" hidden="1" customHeight="1"/>
    <row r="386" ht="13.1" hidden="1" customHeight="1"/>
    <row r="387" ht="13.1" hidden="1" customHeight="1"/>
    <row r="388" ht="13.1" hidden="1" customHeight="1"/>
    <row r="389" ht="13.1" hidden="1" customHeight="1"/>
    <row r="390" ht="13.1" hidden="1" customHeight="1"/>
    <row r="391" ht="13.1" hidden="1" customHeight="1"/>
    <row r="392" ht="13.1" hidden="1" customHeight="1"/>
    <row r="393" ht="13.1" hidden="1" customHeight="1"/>
    <row r="394" ht="13.1" hidden="1" customHeight="1"/>
    <row r="395" ht="13.1" hidden="1" customHeight="1"/>
    <row r="396" ht="13.1" hidden="1" customHeight="1"/>
    <row r="397" ht="13.1" hidden="1" customHeight="1"/>
    <row r="398" ht="13.1" hidden="1" customHeight="1"/>
    <row r="399" ht="13.1" hidden="1" customHeight="1"/>
    <row r="400" ht="13.1" hidden="1" customHeight="1"/>
    <row r="401" ht="13.1" hidden="1" customHeight="1"/>
    <row r="402" ht="13.1" hidden="1" customHeight="1"/>
    <row r="403" ht="13.1" hidden="1" customHeight="1"/>
    <row r="404" ht="13.1" hidden="1" customHeight="1"/>
    <row r="405" ht="13.1" hidden="1" customHeight="1"/>
    <row r="406" ht="13.1" hidden="1" customHeight="1"/>
    <row r="407" ht="13.1" hidden="1" customHeight="1"/>
    <row r="408" ht="13.1" hidden="1" customHeight="1"/>
    <row r="409" ht="13.1" hidden="1" customHeight="1"/>
    <row r="410" ht="13.1" hidden="1" customHeight="1"/>
    <row r="411" ht="13.1" hidden="1" customHeight="1"/>
  </sheetData>
  <sheetProtection sheet="1" formatRows="0"/>
  <mergeCells count="159">
    <mergeCell ref="E138:G138"/>
    <mergeCell ref="E172:G172"/>
    <mergeCell ref="E171:G171"/>
    <mergeCell ref="E158:G158"/>
    <mergeCell ref="E163:G163"/>
    <mergeCell ref="E144:G144"/>
    <mergeCell ref="E146:G146"/>
    <mergeCell ref="E147:G147"/>
    <mergeCell ref="E150:G150"/>
    <mergeCell ref="E151:G151"/>
    <mergeCell ref="E152:G152"/>
    <mergeCell ref="E155:G155"/>
    <mergeCell ref="E156:G156"/>
    <mergeCell ref="E157:G157"/>
    <mergeCell ref="E159:G159"/>
    <mergeCell ref="E160:G160"/>
    <mergeCell ref="E162:G162"/>
    <mergeCell ref="E79:G79"/>
    <mergeCell ref="E81:G81"/>
    <mergeCell ref="E83:G83"/>
    <mergeCell ref="E85:G85"/>
    <mergeCell ref="E87:G87"/>
    <mergeCell ref="E90:G90"/>
    <mergeCell ref="E86:G86"/>
    <mergeCell ref="E80:G80"/>
    <mergeCell ref="E82:G82"/>
    <mergeCell ref="E84:G84"/>
    <mergeCell ref="E89:G89"/>
    <mergeCell ref="E53:G53"/>
    <mergeCell ref="E54:G54"/>
    <mergeCell ref="E55:G55"/>
    <mergeCell ref="E56:G56"/>
    <mergeCell ref="E57:G57"/>
    <mergeCell ref="E47:G47"/>
    <mergeCell ref="E48:G48"/>
    <mergeCell ref="E50:G50"/>
    <mergeCell ref="E51:G51"/>
    <mergeCell ref="E52:G52"/>
    <mergeCell ref="E25:G25"/>
    <mergeCell ref="E26:G26"/>
    <mergeCell ref="E31:G31"/>
    <mergeCell ref="E33:G33"/>
    <mergeCell ref="E49:G49"/>
    <mergeCell ref="E30:G30"/>
    <mergeCell ref="E32:G32"/>
    <mergeCell ref="E34:G34"/>
    <mergeCell ref="E35:G35"/>
    <mergeCell ref="E36:G36"/>
    <mergeCell ref="E38:G38"/>
    <mergeCell ref="E40:G40"/>
    <mergeCell ref="E42:G42"/>
    <mergeCell ref="E43:G43"/>
    <mergeCell ref="E44:G44"/>
    <mergeCell ref="E46:G46"/>
    <mergeCell ref="B29:J29"/>
    <mergeCell ref="E37:G37"/>
    <mergeCell ref="E39:G39"/>
    <mergeCell ref="E41:G41"/>
    <mergeCell ref="E45:G45"/>
    <mergeCell ref="E21:G21"/>
    <mergeCell ref="E22:G22"/>
    <mergeCell ref="E23:G23"/>
    <mergeCell ref="E24:G24"/>
    <mergeCell ref="I2:J2"/>
    <mergeCell ref="K2:K8"/>
    <mergeCell ref="I3:J3"/>
    <mergeCell ref="I5:J5"/>
    <mergeCell ref="F6:J6"/>
    <mergeCell ref="F7:J7"/>
    <mergeCell ref="F8:J8"/>
    <mergeCell ref="E13:J13"/>
    <mergeCell ref="E14:J14"/>
    <mergeCell ref="B16:J16"/>
    <mergeCell ref="E17:G17"/>
    <mergeCell ref="E18:G18"/>
    <mergeCell ref="E19:G19"/>
    <mergeCell ref="E20:G20"/>
    <mergeCell ref="B10:H10"/>
    <mergeCell ref="B60:J60"/>
    <mergeCell ref="E62:G62"/>
    <mergeCell ref="E64:G64"/>
    <mergeCell ref="E66:G66"/>
    <mergeCell ref="E68:G68"/>
    <mergeCell ref="E70:G70"/>
    <mergeCell ref="E72:G72"/>
    <mergeCell ref="E74:G74"/>
    <mergeCell ref="E78:G78"/>
    <mergeCell ref="E76:G76"/>
    <mergeCell ref="E61:G61"/>
    <mergeCell ref="E63:G63"/>
    <mergeCell ref="E65:G65"/>
    <mergeCell ref="E67:G67"/>
    <mergeCell ref="E69:G69"/>
    <mergeCell ref="E71:G71"/>
    <mergeCell ref="E73:G73"/>
    <mergeCell ref="E75:G75"/>
    <mergeCell ref="E77:G77"/>
    <mergeCell ref="E91:G91"/>
    <mergeCell ref="E92:G92"/>
    <mergeCell ref="E88:G88"/>
    <mergeCell ref="E104:G104"/>
    <mergeCell ref="E106:G106"/>
    <mergeCell ref="E178:G178"/>
    <mergeCell ref="E131:G131"/>
    <mergeCell ref="E133:G133"/>
    <mergeCell ref="E137:G137"/>
    <mergeCell ref="B143:J143"/>
    <mergeCell ref="E149:H149"/>
    <mergeCell ref="E154:G154"/>
    <mergeCell ref="E161:G161"/>
    <mergeCell ref="B168:J168"/>
    <mergeCell ref="E169:G169"/>
    <mergeCell ref="E170:G170"/>
    <mergeCell ref="E139:G139"/>
    <mergeCell ref="E145:G145"/>
    <mergeCell ref="E148:G148"/>
    <mergeCell ref="E153:G153"/>
    <mergeCell ref="E176:G176"/>
    <mergeCell ref="E129:G129"/>
    <mergeCell ref="B97:J97"/>
    <mergeCell ref="E93:H93"/>
    <mergeCell ref="E177:G177"/>
    <mergeCell ref="B203:H203"/>
    <mergeCell ref="E179:H179"/>
    <mergeCell ref="E182:H182"/>
    <mergeCell ref="E187:H187"/>
    <mergeCell ref="B194:J194"/>
    <mergeCell ref="E196:G196"/>
    <mergeCell ref="E189:G189"/>
    <mergeCell ref="E188:G188"/>
    <mergeCell ref="E190:G190"/>
    <mergeCell ref="E191:G191"/>
    <mergeCell ref="E200:G200"/>
    <mergeCell ref="E181:G181"/>
    <mergeCell ref="E186:G186"/>
    <mergeCell ref="E94:G94"/>
    <mergeCell ref="E99:G99"/>
    <mergeCell ref="E101:G101"/>
    <mergeCell ref="E103:G103"/>
    <mergeCell ref="E109:G109"/>
    <mergeCell ref="B114:J114"/>
    <mergeCell ref="E173:G173"/>
    <mergeCell ref="E174:G174"/>
    <mergeCell ref="E175:G175"/>
    <mergeCell ref="E116:G116"/>
    <mergeCell ref="E118:G118"/>
    <mergeCell ref="E120:G120"/>
    <mergeCell ref="B125:J125"/>
    <mergeCell ref="E105:G105"/>
    <mergeCell ref="E98:G98"/>
    <mergeCell ref="E100:G100"/>
    <mergeCell ref="E102:G102"/>
    <mergeCell ref="E107:G107"/>
    <mergeCell ref="E108:G108"/>
    <mergeCell ref="E122:G122"/>
    <mergeCell ref="E115:G115"/>
    <mergeCell ref="E117:G117"/>
    <mergeCell ref="E119:G119"/>
    <mergeCell ref="E121:G121"/>
  </mergeCells>
  <conditionalFormatting sqref="B13:B14">
    <cfRule type="expression" dxfId="1642" priority="134">
      <formula>AND(L13,NOT($M$13))</formula>
    </cfRule>
    <cfRule type="expression" dxfId="1641" priority="132">
      <formula>NOT($M$3)</formula>
    </cfRule>
  </conditionalFormatting>
  <conditionalFormatting sqref="B17">
    <cfRule type="expression" dxfId="1640" priority="131">
      <formula>NOT($M$3)</formula>
    </cfRule>
  </conditionalFormatting>
  <conditionalFormatting sqref="B19">
    <cfRule type="expression" dxfId="1639" priority="130">
      <formula>NOT($M$3)</formula>
    </cfRule>
  </conditionalFormatting>
  <conditionalFormatting sqref="B21">
    <cfRule type="expression" dxfId="1638" priority="1">
      <formula>NOT($M$3)</formula>
    </cfRule>
  </conditionalFormatting>
  <conditionalFormatting sqref="B23">
    <cfRule type="expression" dxfId="1637" priority="129">
      <formula>NOT($M$3)</formula>
    </cfRule>
  </conditionalFormatting>
  <conditionalFormatting sqref="B25">
    <cfRule type="expression" dxfId="1636" priority="128">
      <formula>NOT($M$3)</formula>
    </cfRule>
  </conditionalFormatting>
  <conditionalFormatting sqref="B30">
    <cfRule type="expression" dxfId="1635" priority="127">
      <formula>NOT($M$3)</formula>
    </cfRule>
  </conditionalFormatting>
  <conditionalFormatting sqref="B32">
    <cfRule type="expression" dxfId="1634" priority="126">
      <formula>NOT($M$3)</formula>
    </cfRule>
  </conditionalFormatting>
  <conditionalFormatting sqref="B34">
    <cfRule type="expression" dxfId="1633" priority="125">
      <formula>NOT($M$3)</formula>
    </cfRule>
  </conditionalFormatting>
  <conditionalFormatting sqref="B36">
    <cfRule type="expression" dxfId="1632" priority="124">
      <formula>NOT($M$3)</formula>
    </cfRule>
  </conditionalFormatting>
  <conditionalFormatting sqref="B38">
    <cfRule type="expression" dxfId="1631" priority="123">
      <formula>NOT($M$3)</formula>
    </cfRule>
  </conditionalFormatting>
  <conditionalFormatting sqref="B42">
    <cfRule type="expression" dxfId="1630" priority="122">
      <formula>NOT($M$3)</formula>
    </cfRule>
  </conditionalFormatting>
  <conditionalFormatting sqref="B44">
    <cfRule type="expression" dxfId="1629" priority="121">
      <formula>NOT($M$3)</formula>
    </cfRule>
  </conditionalFormatting>
  <conditionalFormatting sqref="B46">
    <cfRule type="expression" dxfId="1628" priority="120">
      <formula>NOT($M$3)</formula>
    </cfRule>
  </conditionalFormatting>
  <conditionalFormatting sqref="B48">
    <cfRule type="expression" dxfId="1627" priority="119">
      <formula>NOT($M$3)</formula>
    </cfRule>
  </conditionalFormatting>
  <conditionalFormatting sqref="B50">
    <cfRule type="expression" dxfId="1626" priority="118">
      <formula>NOT($M$3)</formula>
    </cfRule>
  </conditionalFormatting>
  <conditionalFormatting sqref="B52">
    <cfRule type="expression" dxfId="1625" priority="117">
      <formula>NOT($M$3)</formula>
    </cfRule>
  </conditionalFormatting>
  <conditionalFormatting sqref="B54">
    <cfRule type="expression" dxfId="1624" priority="116">
      <formula>NOT($M$3)</formula>
    </cfRule>
  </conditionalFormatting>
  <conditionalFormatting sqref="B61">
    <cfRule type="expression" dxfId="1623" priority="115">
      <formula>NOT($M$3)</formula>
    </cfRule>
  </conditionalFormatting>
  <conditionalFormatting sqref="B63">
    <cfRule type="expression" dxfId="1622" priority="114">
      <formula>NOT($M$3)</formula>
    </cfRule>
  </conditionalFormatting>
  <conditionalFormatting sqref="B65">
    <cfRule type="expression" dxfId="1621" priority="113">
      <formula>NOT($M$3)</formula>
    </cfRule>
  </conditionalFormatting>
  <conditionalFormatting sqref="B67">
    <cfRule type="expression" dxfId="1620" priority="112">
      <formula>NOT($M$3)</formula>
    </cfRule>
  </conditionalFormatting>
  <conditionalFormatting sqref="B69">
    <cfRule type="expression" dxfId="1619" priority="111">
      <formula>NOT($M$3)</formula>
    </cfRule>
  </conditionalFormatting>
  <conditionalFormatting sqref="B71">
    <cfRule type="expression" dxfId="1618" priority="110">
      <formula>NOT($M$3)</formula>
    </cfRule>
  </conditionalFormatting>
  <conditionalFormatting sqref="B73">
    <cfRule type="expression" dxfId="1617" priority="109">
      <formula>NOT($M$3)</formula>
    </cfRule>
  </conditionalFormatting>
  <conditionalFormatting sqref="B75">
    <cfRule type="expression" dxfId="1616" priority="108">
      <formula>NOT($M$3)</formula>
    </cfRule>
  </conditionalFormatting>
  <conditionalFormatting sqref="B77">
    <cfRule type="expression" dxfId="1615" priority="107">
      <formula>NOT($M$3)</formula>
    </cfRule>
  </conditionalFormatting>
  <conditionalFormatting sqref="B79">
    <cfRule type="expression" dxfId="1614" priority="106">
      <formula>NOT($M$3)</formula>
    </cfRule>
  </conditionalFormatting>
  <conditionalFormatting sqref="B81">
    <cfRule type="expression" dxfId="1613" priority="105">
      <formula>NOT($M$3)</formula>
    </cfRule>
  </conditionalFormatting>
  <conditionalFormatting sqref="B83">
    <cfRule type="expression" dxfId="1612" priority="104">
      <formula>NOT($M$3)</formula>
    </cfRule>
  </conditionalFormatting>
  <conditionalFormatting sqref="B85">
    <cfRule type="expression" dxfId="1611" priority="103">
      <formula>NOT($M$3)</formula>
    </cfRule>
  </conditionalFormatting>
  <conditionalFormatting sqref="B87">
    <cfRule type="expression" dxfId="1610" priority="102">
      <formula>NOT($M$3)</formula>
    </cfRule>
  </conditionalFormatting>
  <conditionalFormatting sqref="B89">
    <cfRule type="expression" dxfId="1609" priority="101">
      <formula>NOT($M$3)</formula>
    </cfRule>
  </conditionalFormatting>
  <conditionalFormatting sqref="B98">
    <cfRule type="expression" dxfId="1608" priority="100">
      <formula>NOT($M$3)</formula>
    </cfRule>
  </conditionalFormatting>
  <conditionalFormatting sqref="B100">
    <cfRule type="expression" dxfId="1607" priority="99">
      <formula>NOT($M$3)</formula>
    </cfRule>
  </conditionalFormatting>
  <conditionalFormatting sqref="B102">
    <cfRule type="expression" dxfId="1606" priority="98">
      <formula>NOT($M$3)</formula>
    </cfRule>
  </conditionalFormatting>
  <conditionalFormatting sqref="B104">
    <cfRule type="expression" dxfId="1605" priority="97">
      <formula>NOT($M$3)</formula>
    </cfRule>
  </conditionalFormatting>
  <conditionalFormatting sqref="B106">
    <cfRule type="expression" dxfId="1604" priority="96">
      <formula>NOT($M$3)</formula>
    </cfRule>
  </conditionalFormatting>
  <conditionalFormatting sqref="B108">
    <cfRule type="expression" dxfId="1603" priority="95">
      <formula>NOT($M$3)</formula>
    </cfRule>
  </conditionalFormatting>
  <conditionalFormatting sqref="B115">
    <cfRule type="expression" dxfId="1602" priority="94">
      <formula>NOT($M$3)</formula>
    </cfRule>
  </conditionalFormatting>
  <conditionalFormatting sqref="B117">
    <cfRule type="expression" dxfId="1601" priority="93">
      <formula>NOT($M$3)</formula>
    </cfRule>
  </conditionalFormatting>
  <conditionalFormatting sqref="B119">
    <cfRule type="expression" dxfId="1600" priority="92">
      <formula>NOT($M$3)</formula>
    </cfRule>
  </conditionalFormatting>
  <conditionalFormatting sqref="B121">
    <cfRule type="expression" dxfId="1599" priority="91">
      <formula>NOT($M$3)</formula>
    </cfRule>
  </conditionalFormatting>
  <conditionalFormatting sqref="B126">
    <cfRule type="expression" dxfId="1598" priority="90">
      <formula>NOT($M$3)</formula>
    </cfRule>
  </conditionalFormatting>
  <conditionalFormatting sqref="B128">
    <cfRule type="expression" dxfId="1597" priority="89">
      <formula>NOT($M$3)</formula>
    </cfRule>
  </conditionalFormatting>
  <conditionalFormatting sqref="B130">
    <cfRule type="expression" dxfId="1596" priority="88">
      <formula>NOT($M$3)</formula>
    </cfRule>
  </conditionalFormatting>
  <conditionalFormatting sqref="B132">
    <cfRule type="expression" dxfId="1595" priority="87">
      <formula>NOT($M$3)</formula>
    </cfRule>
  </conditionalFormatting>
  <conditionalFormatting sqref="B134">
    <cfRule type="expression" dxfId="1594" priority="86">
      <formula>NOT($M$3)</formula>
    </cfRule>
  </conditionalFormatting>
  <conditionalFormatting sqref="B136">
    <cfRule type="expression" dxfId="1593" priority="85">
      <formula>NOT($M$3)</formula>
    </cfRule>
  </conditionalFormatting>
  <conditionalFormatting sqref="B147">
    <cfRule type="expression" dxfId="1592" priority="84">
      <formula>NOT($M$3)</formula>
    </cfRule>
  </conditionalFormatting>
  <conditionalFormatting sqref="B150">
    <cfRule type="expression" dxfId="1591" priority="83">
      <formula>NOT($M$3)</formula>
    </cfRule>
  </conditionalFormatting>
  <conditionalFormatting sqref="B152">
    <cfRule type="expression" dxfId="1590" priority="82">
      <formula>NOT($M$3)</formula>
    </cfRule>
  </conditionalFormatting>
  <conditionalFormatting sqref="B155">
    <cfRule type="expression" dxfId="1589" priority="81">
      <formula>NOT($M$3)</formula>
    </cfRule>
  </conditionalFormatting>
  <conditionalFormatting sqref="B160">
    <cfRule type="expression" dxfId="1588" priority="80">
      <formula>NOT($M$3)</formula>
    </cfRule>
  </conditionalFormatting>
  <conditionalFormatting sqref="B162">
    <cfRule type="expression" dxfId="1587" priority="79">
      <formula>NOT($M$3)</formula>
    </cfRule>
  </conditionalFormatting>
  <conditionalFormatting sqref="B169">
    <cfRule type="expression" dxfId="1586" priority="78">
      <formula>NOT($M$3)</formula>
    </cfRule>
  </conditionalFormatting>
  <conditionalFormatting sqref="B171">
    <cfRule type="expression" dxfId="1585" priority="77">
      <formula>NOT($M$3)</formula>
    </cfRule>
  </conditionalFormatting>
  <conditionalFormatting sqref="B173">
    <cfRule type="expression" dxfId="1584" priority="76">
      <formula>NOT($M$3)</formula>
    </cfRule>
  </conditionalFormatting>
  <conditionalFormatting sqref="B175">
    <cfRule type="expression" dxfId="1583" priority="75">
      <formula>NOT($M$3)</formula>
    </cfRule>
  </conditionalFormatting>
  <conditionalFormatting sqref="B177">
    <cfRule type="expression" dxfId="1582" priority="74">
      <formula>NOT($M$3)</formula>
    </cfRule>
  </conditionalFormatting>
  <conditionalFormatting sqref="B180">
    <cfRule type="expression" dxfId="1581" priority="73">
      <formula>NOT($M$3)</formula>
    </cfRule>
  </conditionalFormatting>
  <conditionalFormatting sqref="B183">
    <cfRule type="expression" dxfId="1580" priority="72">
      <formula>NOT($M$3)</formula>
    </cfRule>
  </conditionalFormatting>
  <conditionalFormatting sqref="B185">
    <cfRule type="expression" dxfId="1579" priority="71">
      <formula>NOT($M$3)</formula>
    </cfRule>
  </conditionalFormatting>
  <conditionalFormatting sqref="B188">
    <cfRule type="expression" dxfId="1578" priority="70">
      <formula>NOT($M$3)</formula>
    </cfRule>
  </conditionalFormatting>
  <conditionalFormatting sqref="B190">
    <cfRule type="expression" dxfId="1577" priority="69">
      <formula>NOT($M$3)</formula>
    </cfRule>
  </conditionalFormatting>
  <conditionalFormatting sqref="B195">
    <cfRule type="expression" dxfId="1576" priority="68">
      <formula>NOT($M$3)</formula>
    </cfRule>
  </conditionalFormatting>
  <conditionalFormatting sqref="B197">
    <cfRule type="expression" dxfId="1575" priority="67">
      <formula>NOT($M$3)</formula>
    </cfRule>
  </conditionalFormatting>
  <conditionalFormatting sqref="B199">
    <cfRule type="expression" dxfId="1574" priority="66">
      <formula>NOT($M$3)</formula>
    </cfRule>
  </conditionalFormatting>
  <conditionalFormatting sqref="C17:E26">
    <cfRule type="expression" dxfId="1573" priority="27">
      <formula>NOT($M$3)</formula>
    </cfRule>
  </conditionalFormatting>
  <conditionalFormatting sqref="C30:E57 H30:J57">
    <cfRule type="expression" dxfId="1572" priority="24">
      <formula>NOT($M$3)</formula>
    </cfRule>
  </conditionalFormatting>
  <conditionalFormatting sqref="C98:E109 H98:J109">
    <cfRule type="expression" dxfId="1571" priority="16">
      <formula>NOT($M$3)</formula>
    </cfRule>
  </conditionalFormatting>
  <conditionalFormatting sqref="C115:E122 H115:J122">
    <cfRule type="expression" dxfId="1570" priority="15">
      <formula>NOT($M$3)</formula>
    </cfRule>
  </conditionalFormatting>
  <conditionalFormatting sqref="C137:E139 H137:J139">
    <cfRule type="expression" dxfId="1569" priority="14">
      <formula>NOT($M$3)</formula>
    </cfRule>
  </conditionalFormatting>
  <conditionalFormatting sqref="C144:E148 H144:J148">
    <cfRule type="expression" dxfId="1568" priority="12">
      <formula>NOT($M$3)</formula>
    </cfRule>
  </conditionalFormatting>
  <conditionalFormatting sqref="C150:E163 H150:J163">
    <cfRule type="expression" dxfId="1567" priority="9">
      <formula>NOT($M$3)</formula>
    </cfRule>
  </conditionalFormatting>
  <conditionalFormatting sqref="C171:E178 H171:J178">
    <cfRule type="expression" dxfId="1566" priority="7">
      <formula>NOT($M$3)</formula>
    </cfRule>
  </conditionalFormatting>
  <conditionalFormatting sqref="C181:E181 H181:J181">
    <cfRule type="expression" dxfId="1565" priority="6">
      <formula>NOT($M$3)</formula>
    </cfRule>
  </conditionalFormatting>
  <conditionalFormatting sqref="C186:E186 H186:J186">
    <cfRule type="expression" dxfId="1564" priority="5">
      <formula>NOT($M$3)</formula>
    </cfRule>
  </conditionalFormatting>
  <conditionalFormatting sqref="C188:E191 H188:J191">
    <cfRule type="expression" dxfId="1563" priority="4">
      <formula>NOT($M$3)</formula>
    </cfRule>
  </conditionalFormatting>
  <conditionalFormatting sqref="C200:E200 H200:J200">
    <cfRule type="expression" dxfId="1562" priority="3">
      <formula>NOT($M$3)</formula>
    </cfRule>
  </conditionalFormatting>
  <conditionalFormatting sqref="C126:J136">
    <cfRule type="expression" dxfId="1561" priority="36">
      <formula>NOT($M$3)</formula>
    </cfRule>
  </conditionalFormatting>
  <conditionalFormatting sqref="C179:J180">
    <cfRule type="expression" dxfId="1560" priority="35">
      <formula>NOT($M$3)</formula>
    </cfRule>
  </conditionalFormatting>
  <conditionalFormatting sqref="C182:J185">
    <cfRule type="expression" dxfId="1559" priority="34">
      <formula>NOT($M$3)</formula>
    </cfRule>
  </conditionalFormatting>
  <conditionalFormatting sqref="C187:J187">
    <cfRule type="expression" dxfId="1558" priority="33">
      <formula>NOT($M$3)</formula>
    </cfRule>
  </conditionalFormatting>
  <conditionalFormatting sqref="E13:E14">
    <cfRule type="expression" dxfId="1557" priority="136">
      <formula>NOT($M$3)</formula>
    </cfRule>
  </conditionalFormatting>
  <conditionalFormatting sqref="H17:J26">
    <cfRule type="expression" dxfId="1556" priority="2">
      <formula>NOT($M$3)</formula>
    </cfRule>
  </conditionalFormatting>
  <conditionalFormatting sqref="H61:J92 C61:E94">
    <cfRule type="expression" dxfId="1555" priority="17">
      <formula>NOT($M$3)</formula>
    </cfRule>
  </conditionalFormatting>
  <conditionalFormatting sqref="I93:J93 H94:J94 C140:J140 C149:J149 C169:J170 C195:J199">
    <cfRule type="expression" dxfId="1554" priority="65">
      <formula>NOT($M$3)</formula>
    </cfRule>
  </conditionalFormatting>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Stand Januar 2024&amp;R&amp;P</oddFooter>
  </headerFooter>
  <rowBreaks count="9" manualBreakCount="9">
    <brk id="28" max="16383" man="1"/>
    <brk id="59" max="16383" man="1"/>
    <brk id="86" max="10" man="1"/>
    <brk id="96" max="16383" man="1"/>
    <brk id="113" max="16383" man="1"/>
    <brk id="124" max="10" man="1"/>
    <brk id="142" max="16383" man="1"/>
    <brk id="167" max="16383" man="1"/>
    <brk id="19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ltText="">
                <anchor moveWithCells="1">
                  <from>
                    <xdr:col>1</xdr:col>
                    <xdr:colOff>0</xdr:colOff>
                    <xdr:row>15</xdr:row>
                    <xdr:rowOff>373075</xdr:rowOff>
                  </from>
                  <to>
                    <xdr:col>2</xdr:col>
                    <xdr:colOff>7315</xdr:colOff>
                    <xdr:row>17</xdr:row>
                    <xdr:rowOff>0</xdr:rowOff>
                  </to>
                </anchor>
              </controlPr>
            </control>
          </mc:Choice>
        </mc:AlternateContent>
        <mc:AlternateContent xmlns:mc="http://schemas.openxmlformats.org/markup-compatibility/2006">
          <mc:Choice Requires="x14">
            <control shapeId="50178" r:id="rId5" name="Check Box 2">
              <controlPr defaultSize="0" autoFill="0" autoLine="0" autoPict="0" altText="">
                <anchor moveWithCells="1">
                  <from>
                    <xdr:col>1</xdr:col>
                    <xdr:colOff>0</xdr:colOff>
                    <xdr:row>18</xdr:row>
                    <xdr:rowOff>0</xdr:rowOff>
                  </from>
                  <to>
                    <xdr:col>2</xdr:col>
                    <xdr:colOff>7315</xdr:colOff>
                    <xdr:row>19</xdr:row>
                    <xdr:rowOff>0</xdr:rowOff>
                  </to>
                </anchor>
              </controlPr>
            </control>
          </mc:Choice>
        </mc:AlternateContent>
        <mc:AlternateContent xmlns:mc="http://schemas.openxmlformats.org/markup-compatibility/2006">
          <mc:Choice Requires="x14">
            <control shapeId="50180" r:id="rId6" name="Check Box 4">
              <controlPr defaultSize="0" autoFill="0" autoLine="0" autoPict="0" altText="">
                <anchor moveWithCells="1">
                  <from>
                    <xdr:col>1</xdr:col>
                    <xdr:colOff>0</xdr:colOff>
                    <xdr:row>22</xdr:row>
                    <xdr:rowOff>0</xdr:rowOff>
                  </from>
                  <to>
                    <xdr:col>2</xdr:col>
                    <xdr:colOff>7315</xdr:colOff>
                    <xdr:row>23</xdr:row>
                    <xdr:rowOff>0</xdr:rowOff>
                  </to>
                </anchor>
              </controlPr>
            </control>
          </mc:Choice>
        </mc:AlternateContent>
        <mc:AlternateContent xmlns:mc="http://schemas.openxmlformats.org/markup-compatibility/2006">
          <mc:Choice Requires="x14">
            <control shapeId="50181" r:id="rId7" name="Check Box 5">
              <controlPr defaultSize="0" autoFill="0" autoLine="0" autoPict="0" altText="">
                <anchor moveWithCells="1">
                  <from>
                    <xdr:col>1</xdr:col>
                    <xdr:colOff>0</xdr:colOff>
                    <xdr:row>24</xdr:row>
                    <xdr:rowOff>0</xdr:rowOff>
                  </from>
                  <to>
                    <xdr:col>2</xdr:col>
                    <xdr:colOff>7315</xdr:colOff>
                    <xdr:row>25</xdr:row>
                    <xdr:rowOff>0</xdr:rowOff>
                  </to>
                </anchor>
              </controlPr>
            </control>
          </mc:Choice>
        </mc:AlternateContent>
        <mc:AlternateContent xmlns:mc="http://schemas.openxmlformats.org/markup-compatibility/2006">
          <mc:Choice Requires="x14">
            <control shapeId="50182" r:id="rId8" name="Check Box 6">
              <controlPr defaultSize="0" autoFill="0" autoLine="0" autoPict="0" altText="">
                <anchor moveWithCells="1">
                  <from>
                    <xdr:col>1</xdr:col>
                    <xdr:colOff>0</xdr:colOff>
                    <xdr:row>29</xdr:row>
                    <xdr:rowOff>0</xdr:rowOff>
                  </from>
                  <to>
                    <xdr:col>2</xdr:col>
                    <xdr:colOff>7315</xdr:colOff>
                    <xdr:row>30</xdr:row>
                    <xdr:rowOff>0</xdr:rowOff>
                  </to>
                </anchor>
              </controlPr>
            </control>
          </mc:Choice>
        </mc:AlternateContent>
        <mc:AlternateContent xmlns:mc="http://schemas.openxmlformats.org/markup-compatibility/2006">
          <mc:Choice Requires="x14">
            <control shapeId="50183" r:id="rId9" name="Check Box 7">
              <controlPr defaultSize="0" autoFill="0" autoLine="0" autoPict="0" altText="">
                <anchor moveWithCells="1">
                  <from>
                    <xdr:col>1</xdr:col>
                    <xdr:colOff>0</xdr:colOff>
                    <xdr:row>31</xdr:row>
                    <xdr:rowOff>0</xdr:rowOff>
                  </from>
                  <to>
                    <xdr:col>2</xdr:col>
                    <xdr:colOff>7315</xdr:colOff>
                    <xdr:row>32</xdr:row>
                    <xdr:rowOff>0</xdr:rowOff>
                  </to>
                </anchor>
              </controlPr>
            </control>
          </mc:Choice>
        </mc:AlternateContent>
        <mc:AlternateContent xmlns:mc="http://schemas.openxmlformats.org/markup-compatibility/2006">
          <mc:Choice Requires="x14">
            <control shapeId="50184" r:id="rId10" name="Check Box 8">
              <controlPr defaultSize="0" autoFill="0" autoLine="0" autoPict="0" altText="">
                <anchor moveWithCells="1">
                  <from>
                    <xdr:col>1</xdr:col>
                    <xdr:colOff>0</xdr:colOff>
                    <xdr:row>33</xdr:row>
                    <xdr:rowOff>0</xdr:rowOff>
                  </from>
                  <to>
                    <xdr:col>2</xdr:col>
                    <xdr:colOff>7315</xdr:colOff>
                    <xdr:row>34</xdr:row>
                    <xdr:rowOff>0</xdr:rowOff>
                  </to>
                </anchor>
              </controlPr>
            </control>
          </mc:Choice>
        </mc:AlternateContent>
        <mc:AlternateContent xmlns:mc="http://schemas.openxmlformats.org/markup-compatibility/2006">
          <mc:Choice Requires="x14">
            <control shapeId="50185" r:id="rId11" name="Check Box 9">
              <controlPr defaultSize="0" autoFill="0" autoLine="0" autoPict="0" altText="">
                <anchor moveWithCells="1">
                  <from>
                    <xdr:col>1</xdr:col>
                    <xdr:colOff>0</xdr:colOff>
                    <xdr:row>35</xdr:row>
                    <xdr:rowOff>0</xdr:rowOff>
                  </from>
                  <to>
                    <xdr:col>2</xdr:col>
                    <xdr:colOff>7315</xdr:colOff>
                    <xdr:row>36</xdr:row>
                    <xdr:rowOff>0</xdr:rowOff>
                  </to>
                </anchor>
              </controlPr>
            </control>
          </mc:Choice>
        </mc:AlternateContent>
        <mc:AlternateContent xmlns:mc="http://schemas.openxmlformats.org/markup-compatibility/2006">
          <mc:Choice Requires="x14">
            <control shapeId="50186" r:id="rId12" name="Check Box 10">
              <controlPr defaultSize="0" autoFill="0" autoLine="0" autoPict="0" altText="">
                <anchor moveWithCells="1">
                  <from>
                    <xdr:col>1</xdr:col>
                    <xdr:colOff>0</xdr:colOff>
                    <xdr:row>37</xdr:row>
                    <xdr:rowOff>0</xdr:rowOff>
                  </from>
                  <to>
                    <xdr:col>2</xdr:col>
                    <xdr:colOff>7315</xdr:colOff>
                    <xdr:row>38</xdr:row>
                    <xdr:rowOff>0</xdr:rowOff>
                  </to>
                </anchor>
              </controlPr>
            </control>
          </mc:Choice>
        </mc:AlternateContent>
        <mc:AlternateContent xmlns:mc="http://schemas.openxmlformats.org/markup-compatibility/2006">
          <mc:Choice Requires="x14">
            <control shapeId="50187" r:id="rId13" name="Check Box 11">
              <controlPr defaultSize="0" autoFill="0" autoLine="0" autoPict="0" altText="">
                <anchor moveWithCells="1">
                  <from>
                    <xdr:col>1</xdr:col>
                    <xdr:colOff>0</xdr:colOff>
                    <xdr:row>41</xdr:row>
                    <xdr:rowOff>0</xdr:rowOff>
                  </from>
                  <to>
                    <xdr:col>2</xdr:col>
                    <xdr:colOff>7315</xdr:colOff>
                    <xdr:row>42</xdr:row>
                    <xdr:rowOff>0</xdr:rowOff>
                  </to>
                </anchor>
              </controlPr>
            </control>
          </mc:Choice>
        </mc:AlternateContent>
        <mc:AlternateContent xmlns:mc="http://schemas.openxmlformats.org/markup-compatibility/2006">
          <mc:Choice Requires="x14">
            <control shapeId="50188" r:id="rId14" name="Check Box 12">
              <controlPr defaultSize="0" autoFill="0" autoLine="0" autoPict="0" altText="">
                <anchor moveWithCells="1">
                  <from>
                    <xdr:col>1</xdr:col>
                    <xdr:colOff>0</xdr:colOff>
                    <xdr:row>43</xdr:row>
                    <xdr:rowOff>0</xdr:rowOff>
                  </from>
                  <to>
                    <xdr:col>2</xdr:col>
                    <xdr:colOff>7315</xdr:colOff>
                    <xdr:row>44</xdr:row>
                    <xdr:rowOff>0</xdr:rowOff>
                  </to>
                </anchor>
              </controlPr>
            </control>
          </mc:Choice>
        </mc:AlternateContent>
        <mc:AlternateContent xmlns:mc="http://schemas.openxmlformats.org/markup-compatibility/2006">
          <mc:Choice Requires="x14">
            <control shapeId="50189" r:id="rId15" name="Check Box 13">
              <controlPr defaultSize="0" autoFill="0" autoLine="0" autoPict="0" altText="3 Fahrstreifen">
                <anchor moveWithCells="1">
                  <from>
                    <xdr:col>1</xdr:col>
                    <xdr:colOff>0</xdr:colOff>
                    <xdr:row>45</xdr:row>
                    <xdr:rowOff>0</xdr:rowOff>
                  </from>
                  <to>
                    <xdr:col>2</xdr:col>
                    <xdr:colOff>7315</xdr:colOff>
                    <xdr:row>46</xdr:row>
                    <xdr:rowOff>0</xdr:rowOff>
                  </to>
                </anchor>
              </controlPr>
            </control>
          </mc:Choice>
        </mc:AlternateContent>
        <mc:AlternateContent xmlns:mc="http://schemas.openxmlformats.org/markup-compatibility/2006">
          <mc:Choice Requires="x14">
            <control shapeId="50190" r:id="rId16" name="Check Box 14">
              <controlPr defaultSize="0" autoFill="0" autoLine="0" autoPict="0" altText="">
                <anchor moveWithCells="1">
                  <from>
                    <xdr:col>1</xdr:col>
                    <xdr:colOff>0</xdr:colOff>
                    <xdr:row>47</xdr:row>
                    <xdr:rowOff>0</xdr:rowOff>
                  </from>
                  <to>
                    <xdr:col>2</xdr:col>
                    <xdr:colOff>7315</xdr:colOff>
                    <xdr:row>48</xdr:row>
                    <xdr:rowOff>0</xdr:rowOff>
                  </to>
                </anchor>
              </controlPr>
            </control>
          </mc:Choice>
        </mc:AlternateContent>
        <mc:AlternateContent xmlns:mc="http://schemas.openxmlformats.org/markup-compatibility/2006">
          <mc:Choice Requires="x14">
            <control shapeId="50191" r:id="rId17" name="Check Box 15">
              <controlPr defaultSize="0" autoFill="0" autoLine="0" autoPict="0" altText="">
                <anchor moveWithCells="1">
                  <from>
                    <xdr:col>1</xdr:col>
                    <xdr:colOff>0</xdr:colOff>
                    <xdr:row>49</xdr:row>
                    <xdr:rowOff>0</xdr:rowOff>
                  </from>
                  <to>
                    <xdr:col>2</xdr:col>
                    <xdr:colOff>7315</xdr:colOff>
                    <xdr:row>50</xdr:row>
                    <xdr:rowOff>0</xdr:rowOff>
                  </to>
                </anchor>
              </controlPr>
            </control>
          </mc:Choice>
        </mc:AlternateContent>
        <mc:AlternateContent xmlns:mc="http://schemas.openxmlformats.org/markup-compatibility/2006">
          <mc:Choice Requires="x14">
            <control shapeId="50192" r:id="rId18" name="Check Box 16">
              <controlPr defaultSize="0" autoFill="0" autoLine="0" autoPict="0" altText="">
                <anchor moveWithCells="1">
                  <from>
                    <xdr:col>1</xdr:col>
                    <xdr:colOff>0</xdr:colOff>
                    <xdr:row>51</xdr:row>
                    <xdr:rowOff>0</xdr:rowOff>
                  </from>
                  <to>
                    <xdr:col>2</xdr:col>
                    <xdr:colOff>7315</xdr:colOff>
                    <xdr:row>52</xdr:row>
                    <xdr:rowOff>0</xdr:rowOff>
                  </to>
                </anchor>
              </controlPr>
            </control>
          </mc:Choice>
        </mc:AlternateContent>
        <mc:AlternateContent xmlns:mc="http://schemas.openxmlformats.org/markup-compatibility/2006">
          <mc:Choice Requires="x14">
            <control shapeId="50193" r:id="rId19" name="Check Box 17">
              <controlPr defaultSize="0" autoFill="0" autoLine="0" autoPict="0" altText="">
                <anchor moveWithCells="1">
                  <from>
                    <xdr:col>1</xdr:col>
                    <xdr:colOff>0</xdr:colOff>
                    <xdr:row>53</xdr:row>
                    <xdr:rowOff>0</xdr:rowOff>
                  </from>
                  <to>
                    <xdr:col>2</xdr:col>
                    <xdr:colOff>7315</xdr:colOff>
                    <xdr:row>54</xdr:row>
                    <xdr:rowOff>0</xdr:rowOff>
                  </to>
                </anchor>
              </controlPr>
            </control>
          </mc:Choice>
        </mc:AlternateContent>
        <mc:AlternateContent xmlns:mc="http://schemas.openxmlformats.org/markup-compatibility/2006">
          <mc:Choice Requires="x14">
            <control shapeId="50194" r:id="rId20" name="Check Box 18">
              <controlPr defaultSize="0" autoFill="0" autoLine="0" autoPict="0" altText="">
                <anchor moveWithCells="1">
                  <from>
                    <xdr:col>1</xdr:col>
                    <xdr:colOff>0</xdr:colOff>
                    <xdr:row>62</xdr:row>
                    <xdr:rowOff>0</xdr:rowOff>
                  </from>
                  <to>
                    <xdr:col>2</xdr:col>
                    <xdr:colOff>7315</xdr:colOff>
                    <xdr:row>63</xdr:row>
                    <xdr:rowOff>0</xdr:rowOff>
                  </to>
                </anchor>
              </controlPr>
            </control>
          </mc:Choice>
        </mc:AlternateContent>
        <mc:AlternateContent xmlns:mc="http://schemas.openxmlformats.org/markup-compatibility/2006">
          <mc:Choice Requires="x14">
            <control shapeId="50195" r:id="rId21" name="Check Box 19">
              <controlPr defaultSize="0" autoFill="0" autoLine="0" autoPict="0" altText="">
                <anchor moveWithCells="1">
                  <from>
                    <xdr:col>1</xdr:col>
                    <xdr:colOff>0</xdr:colOff>
                    <xdr:row>64</xdr:row>
                    <xdr:rowOff>0</xdr:rowOff>
                  </from>
                  <to>
                    <xdr:col>2</xdr:col>
                    <xdr:colOff>7315</xdr:colOff>
                    <xdr:row>65</xdr:row>
                    <xdr:rowOff>0</xdr:rowOff>
                  </to>
                </anchor>
              </controlPr>
            </control>
          </mc:Choice>
        </mc:AlternateContent>
        <mc:AlternateContent xmlns:mc="http://schemas.openxmlformats.org/markup-compatibility/2006">
          <mc:Choice Requires="x14">
            <control shapeId="50196" r:id="rId22" name="Check Box 20">
              <controlPr defaultSize="0" autoFill="0" autoLine="0" autoPict="0" altText="">
                <anchor moveWithCells="1">
                  <from>
                    <xdr:col>1</xdr:col>
                    <xdr:colOff>0</xdr:colOff>
                    <xdr:row>66</xdr:row>
                    <xdr:rowOff>0</xdr:rowOff>
                  </from>
                  <to>
                    <xdr:col>2</xdr:col>
                    <xdr:colOff>7315</xdr:colOff>
                    <xdr:row>67</xdr:row>
                    <xdr:rowOff>21946</xdr:rowOff>
                  </to>
                </anchor>
              </controlPr>
            </control>
          </mc:Choice>
        </mc:AlternateContent>
        <mc:AlternateContent xmlns:mc="http://schemas.openxmlformats.org/markup-compatibility/2006">
          <mc:Choice Requires="x14">
            <control shapeId="50197" r:id="rId23" name="Check Box 21">
              <controlPr defaultSize="0" autoFill="0" autoLine="0" autoPict="0" altText="">
                <anchor moveWithCells="1">
                  <from>
                    <xdr:col>1</xdr:col>
                    <xdr:colOff>0</xdr:colOff>
                    <xdr:row>68</xdr:row>
                    <xdr:rowOff>0</xdr:rowOff>
                  </from>
                  <to>
                    <xdr:col>2</xdr:col>
                    <xdr:colOff>7315</xdr:colOff>
                    <xdr:row>69</xdr:row>
                    <xdr:rowOff>0</xdr:rowOff>
                  </to>
                </anchor>
              </controlPr>
            </control>
          </mc:Choice>
        </mc:AlternateContent>
        <mc:AlternateContent xmlns:mc="http://schemas.openxmlformats.org/markup-compatibility/2006">
          <mc:Choice Requires="x14">
            <control shapeId="50198" r:id="rId24" name="Check Box 22">
              <controlPr defaultSize="0" autoFill="0" autoLine="0" autoPict="0" altText="">
                <anchor moveWithCells="1">
                  <from>
                    <xdr:col>1</xdr:col>
                    <xdr:colOff>0</xdr:colOff>
                    <xdr:row>70</xdr:row>
                    <xdr:rowOff>0</xdr:rowOff>
                  </from>
                  <to>
                    <xdr:col>2</xdr:col>
                    <xdr:colOff>7315</xdr:colOff>
                    <xdr:row>71</xdr:row>
                    <xdr:rowOff>0</xdr:rowOff>
                  </to>
                </anchor>
              </controlPr>
            </control>
          </mc:Choice>
        </mc:AlternateContent>
        <mc:AlternateContent xmlns:mc="http://schemas.openxmlformats.org/markup-compatibility/2006">
          <mc:Choice Requires="x14">
            <control shapeId="50199" r:id="rId25" name="Check Box 23">
              <controlPr defaultSize="0" autoFill="0" autoLine="0" autoPict="0" altText="3 Fahrstreifen">
                <anchor moveWithCells="1">
                  <from>
                    <xdr:col>1</xdr:col>
                    <xdr:colOff>0</xdr:colOff>
                    <xdr:row>72</xdr:row>
                    <xdr:rowOff>0</xdr:rowOff>
                  </from>
                  <to>
                    <xdr:col>2</xdr:col>
                    <xdr:colOff>7315</xdr:colOff>
                    <xdr:row>73</xdr:row>
                    <xdr:rowOff>0</xdr:rowOff>
                  </to>
                </anchor>
              </controlPr>
            </control>
          </mc:Choice>
        </mc:AlternateContent>
        <mc:AlternateContent xmlns:mc="http://schemas.openxmlformats.org/markup-compatibility/2006">
          <mc:Choice Requires="x14">
            <control shapeId="50200" r:id="rId26" name="Check Box 24">
              <controlPr defaultSize="0" autoFill="0" autoLine="0" autoPict="0" altText="">
                <anchor moveWithCells="1">
                  <from>
                    <xdr:col>1</xdr:col>
                    <xdr:colOff>0</xdr:colOff>
                    <xdr:row>80</xdr:row>
                    <xdr:rowOff>0</xdr:rowOff>
                  </from>
                  <to>
                    <xdr:col>2</xdr:col>
                    <xdr:colOff>7315</xdr:colOff>
                    <xdr:row>81</xdr:row>
                    <xdr:rowOff>0</xdr:rowOff>
                  </to>
                </anchor>
              </controlPr>
            </control>
          </mc:Choice>
        </mc:AlternateContent>
        <mc:AlternateContent xmlns:mc="http://schemas.openxmlformats.org/markup-compatibility/2006">
          <mc:Choice Requires="x14">
            <control shapeId="50201" r:id="rId27" name="Check Box 25">
              <controlPr defaultSize="0" autoFill="0" autoLine="0" autoPict="0" altText="">
                <anchor moveWithCells="1">
                  <from>
                    <xdr:col>1</xdr:col>
                    <xdr:colOff>0</xdr:colOff>
                    <xdr:row>84</xdr:row>
                    <xdr:rowOff>0</xdr:rowOff>
                  </from>
                  <to>
                    <xdr:col>2</xdr:col>
                    <xdr:colOff>7315</xdr:colOff>
                    <xdr:row>85</xdr:row>
                    <xdr:rowOff>0</xdr:rowOff>
                  </to>
                </anchor>
              </controlPr>
            </control>
          </mc:Choice>
        </mc:AlternateContent>
        <mc:AlternateContent xmlns:mc="http://schemas.openxmlformats.org/markup-compatibility/2006">
          <mc:Choice Requires="x14">
            <control shapeId="50202" r:id="rId28" name="Check Box 26">
              <controlPr defaultSize="0" autoFill="0" autoLine="0" autoPict="0" altText="">
                <anchor moveWithCells="1">
                  <from>
                    <xdr:col>1</xdr:col>
                    <xdr:colOff>0</xdr:colOff>
                    <xdr:row>86</xdr:row>
                    <xdr:rowOff>0</xdr:rowOff>
                  </from>
                  <to>
                    <xdr:col>2</xdr:col>
                    <xdr:colOff>7315</xdr:colOff>
                    <xdr:row>87</xdr:row>
                    <xdr:rowOff>0</xdr:rowOff>
                  </to>
                </anchor>
              </controlPr>
            </control>
          </mc:Choice>
        </mc:AlternateContent>
        <mc:AlternateContent xmlns:mc="http://schemas.openxmlformats.org/markup-compatibility/2006">
          <mc:Choice Requires="x14">
            <control shapeId="50203" r:id="rId29" name="Check Box 27">
              <controlPr defaultSize="0" autoFill="0" autoLine="0" autoPict="0" altText="">
                <anchor moveWithCells="1">
                  <from>
                    <xdr:col>1</xdr:col>
                    <xdr:colOff>0</xdr:colOff>
                    <xdr:row>88</xdr:row>
                    <xdr:rowOff>0</xdr:rowOff>
                  </from>
                  <to>
                    <xdr:col>2</xdr:col>
                    <xdr:colOff>7315</xdr:colOff>
                    <xdr:row>89</xdr:row>
                    <xdr:rowOff>0</xdr:rowOff>
                  </to>
                </anchor>
              </controlPr>
            </control>
          </mc:Choice>
        </mc:AlternateContent>
        <mc:AlternateContent xmlns:mc="http://schemas.openxmlformats.org/markup-compatibility/2006">
          <mc:Choice Requires="x14">
            <control shapeId="50204" r:id="rId30" name="Check Box 28">
              <controlPr defaultSize="0" autoFill="0" autoLine="0" autoPict="0" altText="">
                <anchor moveWithCells="1">
                  <from>
                    <xdr:col>1</xdr:col>
                    <xdr:colOff>0</xdr:colOff>
                    <xdr:row>99</xdr:row>
                    <xdr:rowOff>0</xdr:rowOff>
                  </from>
                  <to>
                    <xdr:col>2</xdr:col>
                    <xdr:colOff>7315</xdr:colOff>
                    <xdr:row>100</xdr:row>
                    <xdr:rowOff>0</xdr:rowOff>
                  </to>
                </anchor>
              </controlPr>
            </control>
          </mc:Choice>
        </mc:AlternateContent>
        <mc:AlternateContent xmlns:mc="http://schemas.openxmlformats.org/markup-compatibility/2006">
          <mc:Choice Requires="x14">
            <control shapeId="50205" r:id="rId31" name="Check Box 29">
              <controlPr defaultSize="0" autoFill="0" autoLine="0" autoPict="0" altText="">
                <anchor moveWithCells="1">
                  <from>
                    <xdr:col>1</xdr:col>
                    <xdr:colOff>0</xdr:colOff>
                    <xdr:row>103</xdr:row>
                    <xdr:rowOff>0</xdr:rowOff>
                  </from>
                  <to>
                    <xdr:col>2</xdr:col>
                    <xdr:colOff>7315</xdr:colOff>
                    <xdr:row>104</xdr:row>
                    <xdr:rowOff>0</xdr:rowOff>
                  </to>
                </anchor>
              </controlPr>
            </control>
          </mc:Choice>
        </mc:AlternateContent>
        <mc:AlternateContent xmlns:mc="http://schemas.openxmlformats.org/markup-compatibility/2006">
          <mc:Choice Requires="x14">
            <control shapeId="50206" r:id="rId32" name="Check Box 30">
              <controlPr defaultSize="0" autoFill="0" autoLine="0" autoPict="0" altText="3 Fahrstreifen">
                <anchor moveWithCells="1">
                  <from>
                    <xdr:col>1</xdr:col>
                    <xdr:colOff>0</xdr:colOff>
                    <xdr:row>101</xdr:row>
                    <xdr:rowOff>0</xdr:rowOff>
                  </from>
                  <to>
                    <xdr:col>2</xdr:col>
                    <xdr:colOff>7315</xdr:colOff>
                    <xdr:row>102</xdr:row>
                    <xdr:rowOff>0</xdr:rowOff>
                  </to>
                </anchor>
              </controlPr>
            </control>
          </mc:Choice>
        </mc:AlternateContent>
        <mc:AlternateContent xmlns:mc="http://schemas.openxmlformats.org/markup-compatibility/2006">
          <mc:Choice Requires="x14">
            <control shapeId="50207" r:id="rId33" name="Check Box 31">
              <controlPr defaultSize="0" autoFill="0" autoLine="0" autoPict="0" altText="3 Fahrstreifen">
                <anchor moveWithCells="1">
                  <from>
                    <xdr:col>1</xdr:col>
                    <xdr:colOff>0</xdr:colOff>
                    <xdr:row>105</xdr:row>
                    <xdr:rowOff>0</xdr:rowOff>
                  </from>
                  <to>
                    <xdr:col>2</xdr:col>
                    <xdr:colOff>7315</xdr:colOff>
                    <xdr:row>106</xdr:row>
                    <xdr:rowOff>0</xdr:rowOff>
                  </to>
                </anchor>
              </controlPr>
            </control>
          </mc:Choice>
        </mc:AlternateContent>
        <mc:AlternateContent xmlns:mc="http://schemas.openxmlformats.org/markup-compatibility/2006">
          <mc:Choice Requires="x14">
            <control shapeId="50208" r:id="rId34" name="Check Box 32">
              <controlPr defaultSize="0" autoFill="0" autoLine="0" autoPict="0" altText="">
                <anchor moveWithCells="1">
                  <from>
                    <xdr:col>1</xdr:col>
                    <xdr:colOff>0</xdr:colOff>
                    <xdr:row>107</xdr:row>
                    <xdr:rowOff>0</xdr:rowOff>
                  </from>
                  <to>
                    <xdr:col>2</xdr:col>
                    <xdr:colOff>7315</xdr:colOff>
                    <xdr:row>108</xdr:row>
                    <xdr:rowOff>7315</xdr:rowOff>
                  </to>
                </anchor>
              </controlPr>
            </control>
          </mc:Choice>
        </mc:AlternateContent>
        <mc:AlternateContent xmlns:mc="http://schemas.openxmlformats.org/markup-compatibility/2006">
          <mc:Choice Requires="x14">
            <control shapeId="50209" r:id="rId35" name="Check Box 33">
              <controlPr defaultSize="0" autoFill="0" autoLine="0" autoPict="0" altText="">
                <anchor moveWithCells="1">
                  <from>
                    <xdr:col>1</xdr:col>
                    <xdr:colOff>0</xdr:colOff>
                    <xdr:row>114</xdr:row>
                    <xdr:rowOff>0</xdr:rowOff>
                  </from>
                  <to>
                    <xdr:col>2</xdr:col>
                    <xdr:colOff>7315</xdr:colOff>
                    <xdr:row>115</xdr:row>
                    <xdr:rowOff>0</xdr:rowOff>
                  </to>
                </anchor>
              </controlPr>
            </control>
          </mc:Choice>
        </mc:AlternateContent>
        <mc:AlternateContent xmlns:mc="http://schemas.openxmlformats.org/markup-compatibility/2006">
          <mc:Choice Requires="x14">
            <control shapeId="50210" r:id="rId36" name="Check Box 34">
              <controlPr defaultSize="0" autoFill="0" autoLine="0" autoPict="0" altText="">
                <anchor moveWithCells="1">
                  <from>
                    <xdr:col>1</xdr:col>
                    <xdr:colOff>0</xdr:colOff>
                    <xdr:row>116</xdr:row>
                    <xdr:rowOff>0</xdr:rowOff>
                  </from>
                  <to>
                    <xdr:col>2</xdr:col>
                    <xdr:colOff>7315</xdr:colOff>
                    <xdr:row>117</xdr:row>
                    <xdr:rowOff>0</xdr:rowOff>
                  </to>
                </anchor>
              </controlPr>
            </control>
          </mc:Choice>
        </mc:AlternateContent>
        <mc:AlternateContent xmlns:mc="http://schemas.openxmlformats.org/markup-compatibility/2006">
          <mc:Choice Requires="x14">
            <control shapeId="50211" r:id="rId37" name="Check Box 35">
              <controlPr defaultSize="0" autoFill="0" autoLine="0" autoPict="0" altText="">
                <anchor moveWithCells="1">
                  <from>
                    <xdr:col>1</xdr:col>
                    <xdr:colOff>0</xdr:colOff>
                    <xdr:row>118</xdr:row>
                    <xdr:rowOff>0</xdr:rowOff>
                  </from>
                  <to>
                    <xdr:col>2</xdr:col>
                    <xdr:colOff>7315</xdr:colOff>
                    <xdr:row>119</xdr:row>
                    <xdr:rowOff>0</xdr:rowOff>
                  </to>
                </anchor>
              </controlPr>
            </control>
          </mc:Choice>
        </mc:AlternateContent>
        <mc:AlternateContent xmlns:mc="http://schemas.openxmlformats.org/markup-compatibility/2006">
          <mc:Choice Requires="x14">
            <control shapeId="50212" r:id="rId38" name="Check Box 36">
              <controlPr defaultSize="0" autoFill="0" autoLine="0" autoPict="0" altText="">
                <anchor moveWithCells="1">
                  <from>
                    <xdr:col>1</xdr:col>
                    <xdr:colOff>0</xdr:colOff>
                    <xdr:row>120</xdr:row>
                    <xdr:rowOff>0</xdr:rowOff>
                  </from>
                  <to>
                    <xdr:col>2</xdr:col>
                    <xdr:colOff>7315</xdr:colOff>
                    <xdr:row>121</xdr:row>
                    <xdr:rowOff>0</xdr:rowOff>
                  </to>
                </anchor>
              </controlPr>
            </control>
          </mc:Choice>
        </mc:AlternateContent>
        <mc:AlternateContent xmlns:mc="http://schemas.openxmlformats.org/markup-compatibility/2006">
          <mc:Choice Requires="x14">
            <control shapeId="50213" r:id="rId39" name="Check Box 37">
              <controlPr defaultSize="0" autoFill="0" autoLine="0" autoPict="0" altText="">
                <anchor moveWithCells="1">
                  <from>
                    <xdr:col>1</xdr:col>
                    <xdr:colOff>0</xdr:colOff>
                    <xdr:row>125</xdr:row>
                    <xdr:rowOff>0</xdr:rowOff>
                  </from>
                  <to>
                    <xdr:col>2</xdr:col>
                    <xdr:colOff>7315</xdr:colOff>
                    <xdr:row>126</xdr:row>
                    <xdr:rowOff>0</xdr:rowOff>
                  </to>
                </anchor>
              </controlPr>
            </control>
          </mc:Choice>
        </mc:AlternateContent>
        <mc:AlternateContent xmlns:mc="http://schemas.openxmlformats.org/markup-compatibility/2006">
          <mc:Choice Requires="x14">
            <control shapeId="50214" r:id="rId40" name="Check Box 38">
              <controlPr defaultSize="0" autoFill="0" autoLine="0" autoPict="0" altText="">
                <anchor moveWithCells="1">
                  <from>
                    <xdr:col>1</xdr:col>
                    <xdr:colOff>0</xdr:colOff>
                    <xdr:row>127</xdr:row>
                    <xdr:rowOff>0</xdr:rowOff>
                  </from>
                  <to>
                    <xdr:col>2</xdr:col>
                    <xdr:colOff>7315</xdr:colOff>
                    <xdr:row>128</xdr:row>
                    <xdr:rowOff>0</xdr:rowOff>
                  </to>
                </anchor>
              </controlPr>
            </control>
          </mc:Choice>
        </mc:AlternateContent>
        <mc:AlternateContent xmlns:mc="http://schemas.openxmlformats.org/markup-compatibility/2006">
          <mc:Choice Requires="x14">
            <control shapeId="50215" r:id="rId41" name="Check Box 39">
              <controlPr defaultSize="0" autoFill="0" autoLine="0" autoPict="0" altText="3 Fahrstreifen">
                <anchor moveWithCells="1">
                  <from>
                    <xdr:col>1</xdr:col>
                    <xdr:colOff>0</xdr:colOff>
                    <xdr:row>129</xdr:row>
                    <xdr:rowOff>0</xdr:rowOff>
                  </from>
                  <to>
                    <xdr:col>2</xdr:col>
                    <xdr:colOff>7315</xdr:colOff>
                    <xdr:row>130</xdr:row>
                    <xdr:rowOff>0</xdr:rowOff>
                  </to>
                </anchor>
              </controlPr>
            </control>
          </mc:Choice>
        </mc:AlternateContent>
        <mc:AlternateContent xmlns:mc="http://schemas.openxmlformats.org/markup-compatibility/2006">
          <mc:Choice Requires="x14">
            <control shapeId="50216" r:id="rId42" name="Check Box 40">
              <controlPr defaultSize="0" autoFill="0" autoLine="0" autoPict="0" altText="">
                <anchor moveWithCells="1">
                  <from>
                    <xdr:col>1</xdr:col>
                    <xdr:colOff>0</xdr:colOff>
                    <xdr:row>131</xdr:row>
                    <xdr:rowOff>0</xdr:rowOff>
                  </from>
                  <to>
                    <xdr:col>2</xdr:col>
                    <xdr:colOff>7315</xdr:colOff>
                    <xdr:row>132</xdr:row>
                    <xdr:rowOff>0</xdr:rowOff>
                  </to>
                </anchor>
              </controlPr>
            </control>
          </mc:Choice>
        </mc:AlternateContent>
        <mc:AlternateContent xmlns:mc="http://schemas.openxmlformats.org/markup-compatibility/2006">
          <mc:Choice Requires="x14">
            <control shapeId="50217" r:id="rId43" name="Check Box 41">
              <controlPr defaultSize="0" autoFill="0" autoLine="0" autoPict="0" altText="3 Fahrstreifen">
                <anchor moveWithCells="1">
                  <from>
                    <xdr:col>1</xdr:col>
                    <xdr:colOff>0</xdr:colOff>
                    <xdr:row>133</xdr:row>
                    <xdr:rowOff>0</xdr:rowOff>
                  </from>
                  <to>
                    <xdr:col>2</xdr:col>
                    <xdr:colOff>7315</xdr:colOff>
                    <xdr:row>134</xdr:row>
                    <xdr:rowOff>0</xdr:rowOff>
                  </to>
                </anchor>
              </controlPr>
            </control>
          </mc:Choice>
        </mc:AlternateContent>
        <mc:AlternateContent xmlns:mc="http://schemas.openxmlformats.org/markup-compatibility/2006">
          <mc:Choice Requires="x14">
            <control shapeId="50218" r:id="rId44" name="Check Box 42">
              <controlPr defaultSize="0" autoFill="0" autoLine="0" autoPict="0" altText="">
                <anchor moveWithCells="1">
                  <from>
                    <xdr:col>1</xdr:col>
                    <xdr:colOff>0</xdr:colOff>
                    <xdr:row>135</xdr:row>
                    <xdr:rowOff>0</xdr:rowOff>
                  </from>
                  <to>
                    <xdr:col>2</xdr:col>
                    <xdr:colOff>7315</xdr:colOff>
                    <xdr:row>136</xdr:row>
                    <xdr:rowOff>0</xdr:rowOff>
                  </to>
                </anchor>
              </controlPr>
            </control>
          </mc:Choice>
        </mc:AlternateContent>
        <mc:AlternateContent xmlns:mc="http://schemas.openxmlformats.org/markup-compatibility/2006">
          <mc:Choice Requires="x14">
            <control shapeId="50219" r:id="rId45" name="Check Box 43">
              <controlPr defaultSize="0" autoFill="0" autoLine="0" autoPict="0" altText="">
                <anchor moveWithCells="1">
                  <from>
                    <xdr:col>1</xdr:col>
                    <xdr:colOff>0</xdr:colOff>
                    <xdr:row>137</xdr:row>
                    <xdr:rowOff>0</xdr:rowOff>
                  </from>
                  <to>
                    <xdr:col>2</xdr:col>
                    <xdr:colOff>7315</xdr:colOff>
                    <xdr:row>138</xdr:row>
                    <xdr:rowOff>0</xdr:rowOff>
                  </to>
                </anchor>
              </controlPr>
            </control>
          </mc:Choice>
        </mc:AlternateContent>
        <mc:AlternateContent xmlns:mc="http://schemas.openxmlformats.org/markup-compatibility/2006">
          <mc:Choice Requires="x14">
            <control shapeId="50220" r:id="rId46" name="Check Box 44">
              <controlPr defaultSize="0" autoFill="0" autoLine="0" autoPict="0" altText="">
                <anchor moveWithCells="1">
                  <from>
                    <xdr:col>1</xdr:col>
                    <xdr:colOff>0</xdr:colOff>
                    <xdr:row>143</xdr:row>
                    <xdr:rowOff>0</xdr:rowOff>
                  </from>
                  <to>
                    <xdr:col>2</xdr:col>
                    <xdr:colOff>7315</xdr:colOff>
                    <xdr:row>144</xdr:row>
                    <xdr:rowOff>0</xdr:rowOff>
                  </to>
                </anchor>
              </controlPr>
            </control>
          </mc:Choice>
        </mc:AlternateContent>
        <mc:AlternateContent xmlns:mc="http://schemas.openxmlformats.org/markup-compatibility/2006">
          <mc:Choice Requires="x14">
            <control shapeId="50221" r:id="rId47" name="Check Box 45">
              <controlPr defaultSize="0" autoFill="0" autoLine="0" autoPict="0" altText="">
                <anchor moveWithCells="1">
                  <from>
                    <xdr:col>1</xdr:col>
                    <xdr:colOff>0</xdr:colOff>
                    <xdr:row>146</xdr:row>
                    <xdr:rowOff>0</xdr:rowOff>
                  </from>
                  <to>
                    <xdr:col>2</xdr:col>
                    <xdr:colOff>7315</xdr:colOff>
                    <xdr:row>147</xdr:row>
                    <xdr:rowOff>0</xdr:rowOff>
                  </to>
                </anchor>
              </controlPr>
            </control>
          </mc:Choice>
        </mc:AlternateContent>
        <mc:AlternateContent xmlns:mc="http://schemas.openxmlformats.org/markup-compatibility/2006">
          <mc:Choice Requires="x14">
            <control shapeId="50222" r:id="rId48" name="Check Box 46">
              <controlPr defaultSize="0" autoFill="0" autoLine="0" autoPict="0" altText="">
                <anchor moveWithCells="1">
                  <from>
                    <xdr:col>1</xdr:col>
                    <xdr:colOff>0</xdr:colOff>
                    <xdr:row>149</xdr:row>
                    <xdr:rowOff>0</xdr:rowOff>
                  </from>
                  <to>
                    <xdr:col>2</xdr:col>
                    <xdr:colOff>7315</xdr:colOff>
                    <xdr:row>150</xdr:row>
                    <xdr:rowOff>0</xdr:rowOff>
                  </to>
                </anchor>
              </controlPr>
            </control>
          </mc:Choice>
        </mc:AlternateContent>
        <mc:AlternateContent xmlns:mc="http://schemas.openxmlformats.org/markup-compatibility/2006">
          <mc:Choice Requires="x14">
            <control shapeId="50223" r:id="rId49" name="Check Box 47">
              <controlPr defaultSize="0" autoFill="0" autoLine="0" autoPict="0" altText="">
                <anchor moveWithCells="1">
                  <from>
                    <xdr:col>1</xdr:col>
                    <xdr:colOff>0</xdr:colOff>
                    <xdr:row>151</xdr:row>
                    <xdr:rowOff>0</xdr:rowOff>
                  </from>
                  <to>
                    <xdr:col>2</xdr:col>
                    <xdr:colOff>7315</xdr:colOff>
                    <xdr:row>152</xdr:row>
                    <xdr:rowOff>0</xdr:rowOff>
                  </to>
                </anchor>
              </controlPr>
            </control>
          </mc:Choice>
        </mc:AlternateContent>
        <mc:AlternateContent xmlns:mc="http://schemas.openxmlformats.org/markup-compatibility/2006">
          <mc:Choice Requires="x14">
            <control shapeId="50224" r:id="rId50" name="Check Box 48">
              <controlPr defaultSize="0" autoFill="0" autoLine="0" autoPict="0" altText="">
                <anchor moveWithCells="1">
                  <from>
                    <xdr:col>1</xdr:col>
                    <xdr:colOff>0</xdr:colOff>
                    <xdr:row>154</xdr:row>
                    <xdr:rowOff>0</xdr:rowOff>
                  </from>
                  <to>
                    <xdr:col>2</xdr:col>
                    <xdr:colOff>7315</xdr:colOff>
                    <xdr:row>155</xdr:row>
                    <xdr:rowOff>0</xdr:rowOff>
                  </to>
                </anchor>
              </controlPr>
            </control>
          </mc:Choice>
        </mc:AlternateContent>
        <mc:AlternateContent xmlns:mc="http://schemas.openxmlformats.org/markup-compatibility/2006">
          <mc:Choice Requires="x14">
            <control shapeId="50225" r:id="rId51" name="Check Box 49">
              <controlPr defaultSize="0" autoFill="0" autoLine="0" autoPict="0" altText="">
                <anchor moveWithCells="1">
                  <from>
                    <xdr:col>1</xdr:col>
                    <xdr:colOff>0</xdr:colOff>
                    <xdr:row>156</xdr:row>
                    <xdr:rowOff>0</xdr:rowOff>
                  </from>
                  <to>
                    <xdr:col>2</xdr:col>
                    <xdr:colOff>7315</xdr:colOff>
                    <xdr:row>157</xdr:row>
                    <xdr:rowOff>0</xdr:rowOff>
                  </to>
                </anchor>
              </controlPr>
            </control>
          </mc:Choice>
        </mc:AlternateContent>
        <mc:AlternateContent xmlns:mc="http://schemas.openxmlformats.org/markup-compatibility/2006">
          <mc:Choice Requires="x14">
            <control shapeId="50226" r:id="rId52" name="Check Box 50">
              <controlPr defaultSize="0" autoFill="0" autoLine="0" autoPict="0" altText="">
                <anchor moveWithCells="1">
                  <from>
                    <xdr:col>1</xdr:col>
                    <xdr:colOff>0</xdr:colOff>
                    <xdr:row>159</xdr:row>
                    <xdr:rowOff>0</xdr:rowOff>
                  </from>
                  <to>
                    <xdr:col>2</xdr:col>
                    <xdr:colOff>7315</xdr:colOff>
                    <xdr:row>160</xdr:row>
                    <xdr:rowOff>7315</xdr:rowOff>
                  </to>
                </anchor>
              </controlPr>
            </control>
          </mc:Choice>
        </mc:AlternateContent>
        <mc:AlternateContent xmlns:mc="http://schemas.openxmlformats.org/markup-compatibility/2006">
          <mc:Choice Requires="x14">
            <control shapeId="50227" r:id="rId53" name="Check Box 51">
              <controlPr defaultSize="0" autoFill="0" autoLine="0" autoPict="0" altText="">
                <anchor moveWithCells="1">
                  <from>
                    <xdr:col>1</xdr:col>
                    <xdr:colOff>0</xdr:colOff>
                    <xdr:row>161</xdr:row>
                    <xdr:rowOff>0</xdr:rowOff>
                  </from>
                  <to>
                    <xdr:col>2</xdr:col>
                    <xdr:colOff>7315</xdr:colOff>
                    <xdr:row>162</xdr:row>
                    <xdr:rowOff>0</xdr:rowOff>
                  </to>
                </anchor>
              </controlPr>
            </control>
          </mc:Choice>
        </mc:AlternateContent>
        <mc:AlternateContent xmlns:mc="http://schemas.openxmlformats.org/markup-compatibility/2006">
          <mc:Choice Requires="x14">
            <control shapeId="50228" r:id="rId54" name="Check Box 52">
              <controlPr defaultSize="0" autoFill="0" autoLine="0" autoPict="0" altText="">
                <anchor moveWithCells="1">
                  <from>
                    <xdr:col>1</xdr:col>
                    <xdr:colOff>0</xdr:colOff>
                    <xdr:row>168</xdr:row>
                    <xdr:rowOff>0</xdr:rowOff>
                  </from>
                  <to>
                    <xdr:col>2</xdr:col>
                    <xdr:colOff>7315</xdr:colOff>
                    <xdr:row>169</xdr:row>
                    <xdr:rowOff>7315</xdr:rowOff>
                  </to>
                </anchor>
              </controlPr>
            </control>
          </mc:Choice>
        </mc:AlternateContent>
        <mc:AlternateContent xmlns:mc="http://schemas.openxmlformats.org/markup-compatibility/2006">
          <mc:Choice Requires="x14">
            <control shapeId="50229" r:id="rId55" name="Check Box 53">
              <controlPr defaultSize="0" autoFill="0" autoLine="0" autoPict="0" altText="">
                <anchor moveWithCells="1">
                  <from>
                    <xdr:col>1</xdr:col>
                    <xdr:colOff>0</xdr:colOff>
                    <xdr:row>170</xdr:row>
                    <xdr:rowOff>0</xdr:rowOff>
                  </from>
                  <to>
                    <xdr:col>2</xdr:col>
                    <xdr:colOff>7315</xdr:colOff>
                    <xdr:row>171</xdr:row>
                    <xdr:rowOff>0</xdr:rowOff>
                  </to>
                </anchor>
              </controlPr>
            </control>
          </mc:Choice>
        </mc:AlternateContent>
        <mc:AlternateContent xmlns:mc="http://schemas.openxmlformats.org/markup-compatibility/2006">
          <mc:Choice Requires="x14">
            <control shapeId="50230" r:id="rId56" name="Check Box 54">
              <controlPr defaultSize="0" autoFill="0" autoLine="0" autoPict="0" altText="">
                <anchor moveWithCells="1">
                  <from>
                    <xdr:col>1</xdr:col>
                    <xdr:colOff>0</xdr:colOff>
                    <xdr:row>172</xdr:row>
                    <xdr:rowOff>0</xdr:rowOff>
                  </from>
                  <to>
                    <xdr:col>2</xdr:col>
                    <xdr:colOff>7315</xdr:colOff>
                    <xdr:row>173</xdr:row>
                    <xdr:rowOff>0</xdr:rowOff>
                  </to>
                </anchor>
              </controlPr>
            </control>
          </mc:Choice>
        </mc:AlternateContent>
        <mc:AlternateContent xmlns:mc="http://schemas.openxmlformats.org/markup-compatibility/2006">
          <mc:Choice Requires="x14">
            <control shapeId="50231" r:id="rId57" name="Check Box 55">
              <controlPr defaultSize="0" autoFill="0" autoLine="0" autoPict="0" altText="">
                <anchor moveWithCells="1">
                  <from>
                    <xdr:col>1</xdr:col>
                    <xdr:colOff>0</xdr:colOff>
                    <xdr:row>174</xdr:row>
                    <xdr:rowOff>0</xdr:rowOff>
                  </from>
                  <to>
                    <xdr:col>2</xdr:col>
                    <xdr:colOff>7315</xdr:colOff>
                    <xdr:row>175</xdr:row>
                    <xdr:rowOff>0</xdr:rowOff>
                  </to>
                </anchor>
              </controlPr>
            </control>
          </mc:Choice>
        </mc:AlternateContent>
        <mc:AlternateContent xmlns:mc="http://schemas.openxmlformats.org/markup-compatibility/2006">
          <mc:Choice Requires="x14">
            <control shapeId="50232" r:id="rId58" name="Check Box 56">
              <controlPr defaultSize="0" autoFill="0" autoLine="0" autoPict="0" altText="">
                <anchor moveWithCells="1">
                  <from>
                    <xdr:col>1</xdr:col>
                    <xdr:colOff>0</xdr:colOff>
                    <xdr:row>176</xdr:row>
                    <xdr:rowOff>0</xdr:rowOff>
                  </from>
                  <to>
                    <xdr:col>2</xdr:col>
                    <xdr:colOff>7315</xdr:colOff>
                    <xdr:row>177</xdr:row>
                    <xdr:rowOff>7315</xdr:rowOff>
                  </to>
                </anchor>
              </controlPr>
            </control>
          </mc:Choice>
        </mc:AlternateContent>
        <mc:AlternateContent xmlns:mc="http://schemas.openxmlformats.org/markup-compatibility/2006">
          <mc:Choice Requires="x14">
            <control shapeId="50233" r:id="rId59" name="Check Box 57">
              <controlPr defaultSize="0" autoFill="0" autoLine="0" autoPict="0" altText="">
                <anchor moveWithCells="1">
                  <from>
                    <xdr:col>1</xdr:col>
                    <xdr:colOff>0</xdr:colOff>
                    <xdr:row>179</xdr:row>
                    <xdr:rowOff>0</xdr:rowOff>
                  </from>
                  <to>
                    <xdr:col>2</xdr:col>
                    <xdr:colOff>7315</xdr:colOff>
                    <xdr:row>180</xdr:row>
                    <xdr:rowOff>0</xdr:rowOff>
                  </to>
                </anchor>
              </controlPr>
            </control>
          </mc:Choice>
        </mc:AlternateContent>
        <mc:AlternateContent xmlns:mc="http://schemas.openxmlformats.org/markup-compatibility/2006">
          <mc:Choice Requires="x14">
            <control shapeId="50234" r:id="rId60" name="Check Box 58">
              <controlPr defaultSize="0" autoFill="0" autoLine="0" autoPict="0" altText="">
                <anchor moveWithCells="1">
                  <from>
                    <xdr:col>1</xdr:col>
                    <xdr:colOff>0</xdr:colOff>
                    <xdr:row>182</xdr:row>
                    <xdr:rowOff>0</xdr:rowOff>
                  </from>
                  <to>
                    <xdr:col>2</xdr:col>
                    <xdr:colOff>7315</xdr:colOff>
                    <xdr:row>183</xdr:row>
                    <xdr:rowOff>0</xdr:rowOff>
                  </to>
                </anchor>
              </controlPr>
            </control>
          </mc:Choice>
        </mc:AlternateContent>
        <mc:AlternateContent xmlns:mc="http://schemas.openxmlformats.org/markup-compatibility/2006">
          <mc:Choice Requires="x14">
            <control shapeId="50235" r:id="rId61" name="Check Box 59">
              <controlPr defaultSize="0" autoFill="0" autoLine="0" autoPict="0" altText="">
                <anchor moveWithCells="1">
                  <from>
                    <xdr:col>1</xdr:col>
                    <xdr:colOff>0</xdr:colOff>
                    <xdr:row>184</xdr:row>
                    <xdr:rowOff>0</xdr:rowOff>
                  </from>
                  <to>
                    <xdr:col>2</xdr:col>
                    <xdr:colOff>7315</xdr:colOff>
                    <xdr:row>185</xdr:row>
                    <xdr:rowOff>0</xdr:rowOff>
                  </to>
                </anchor>
              </controlPr>
            </control>
          </mc:Choice>
        </mc:AlternateContent>
        <mc:AlternateContent xmlns:mc="http://schemas.openxmlformats.org/markup-compatibility/2006">
          <mc:Choice Requires="x14">
            <control shapeId="50236" r:id="rId62" name="Check Box 60">
              <controlPr defaultSize="0" autoFill="0" autoLine="0" autoPict="0" altText="">
                <anchor moveWithCells="1">
                  <from>
                    <xdr:col>1</xdr:col>
                    <xdr:colOff>0</xdr:colOff>
                    <xdr:row>187</xdr:row>
                    <xdr:rowOff>0</xdr:rowOff>
                  </from>
                  <to>
                    <xdr:col>2</xdr:col>
                    <xdr:colOff>7315</xdr:colOff>
                    <xdr:row>188</xdr:row>
                    <xdr:rowOff>0</xdr:rowOff>
                  </to>
                </anchor>
              </controlPr>
            </control>
          </mc:Choice>
        </mc:AlternateContent>
        <mc:AlternateContent xmlns:mc="http://schemas.openxmlformats.org/markup-compatibility/2006">
          <mc:Choice Requires="x14">
            <control shapeId="50237" r:id="rId63" name="Check Box 61">
              <controlPr defaultSize="0" autoFill="0" autoLine="0" autoPict="0" altText="">
                <anchor moveWithCells="1">
                  <from>
                    <xdr:col>1</xdr:col>
                    <xdr:colOff>0</xdr:colOff>
                    <xdr:row>189</xdr:row>
                    <xdr:rowOff>0</xdr:rowOff>
                  </from>
                  <to>
                    <xdr:col>2</xdr:col>
                    <xdr:colOff>7315</xdr:colOff>
                    <xdr:row>190</xdr:row>
                    <xdr:rowOff>7315</xdr:rowOff>
                  </to>
                </anchor>
              </controlPr>
            </control>
          </mc:Choice>
        </mc:AlternateContent>
        <mc:AlternateContent xmlns:mc="http://schemas.openxmlformats.org/markup-compatibility/2006">
          <mc:Choice Requires="x14">
            <control shapeId="50238" r:id="rId64" name="Check Box 62">
              <controlPr defaultSize="0" autoFill="0" autoLine="0" autoPict="0" altText="">
                <anchor moveWithCells="1">
                  <from>
                    <xdr:col>1</xdr:col>
                    <xdr:colOff>0</xdr:colOff>
                    <xdr:row>194</xdr:row>
                    <xdr:rowOff>0</xdr:rowOff>
                  </from>
                  <to>
                    <xdr:col>2</xdr:col>
                    <xdr:colOff>7315</xdr:colOff>
                    <xdr:row>195</xdr:row>
                    <xdr:rowOff>7315</xdr:rowOff>
                  </to>
                </anchor>
              </controlPr>
            </control>
          </mc:Choice>
        </mc:AlternateContent>
        <mc:AlternateContent xmlns:mc="http://schemas.openxmlformats.org/markup-compatibility/2006">
          <mc:Choice Requires="x14">
            <control shapeId="50239" r:id="rId65" name="Check Box 63">
              <controlPr defaultSize="0" autoFill="0" autoLine="0" autoPict="0" altText="">
                <anchor moveWithCells="1">
                  <from>
                    <xdr:col>1</xdr:col>
                    <xdr:colOff>0</xdr:colOff>
                    <xdr:row>196</xdr:row>
                    <xdr:rowOff>0</xdr:rowOff>
                  </from>
                  <to>
                    <xdr:col>2</xdr:col>
                    <xdr:colOff>7315</xdr:colOff>
                    <xdr:row>197</xdr:row>
                    <xdr:rowOff>7315</xdr:rowOff>
                  </to>
                </anchor>
              </controlPr>
            </control>
          </mc:Choice>
        </mc:AlternateContent>
        <mc:AlternateContent xmlns:mc="http://schemas.openxmlformats.org/markup-compatibility/2006">
          <mc:Choice Requires="x14">
            <control shapeId="50240" r:id="rId66" name="Check Box 64">
              <controlPr defaultSize="0" autoFill="0" autoLine="0" autoPict="0" altText="">
                <anchor moveWithCells="1">
                  <from>
                    <xdr:col>1</xdr:col>
                    <xdr:colOff>0</xdr:colOff>
                    <xdr:row>198</xdr:row>
                    <xdr:rowOff>0</xdr:rowOff>
                  </from>
                  <to>
                    <xdr:col>2</xdr:col>
                    <xdr:colOff>7315</xdr:colOff>
                    <xdr:row>199</xdr:row>
                    <xdr:rowOff>0</xdr:rowOff>
                  </to>
                </anchor>
              </controlPr>
            </control>
          </mc:Choice>
        </mc:AlternateContent>
        <mc:AlternateContent xmlns:mc="http://schemas.openxmlformats.org/markup-compatibility/2006">
          <mc:Choice Requires="x14">
            <control shapeId="50241" r:id="rId67" name="Check Box 65">
              <controlPr defaultSize="0" autoFill="0" autoLine="0" autoPict="0" altText="">
                <anchor moveWithCells="1">
                  <from>
                    <xdr:col>1</xdr:col>
                    <xdr:colOff>0</xdr:colOff>
                    <xdr:row>76</xdr:row>
                    <xdr:rowOff>0</xdr:rowOff>
                  </from>
                  <to>
                    <xdr:col>2</xdr:col>
                    <xdr:colOff>7315</xdr:colOff>
                    <xdr:row>77</xdr:row>
                    <xdr:rowOff>0</xdr:rowOff>
                  </to>
                </anchor>
              </controlPr>
            </control>
          </mc:Choice>
        </mc:AlternateContent>
        <mc:AlternateContent xmlns:mc="http://schemas.openxmlformats.org/markup-compatibility/2006">
          <mc:Choice Requires="x14">
            <control shapeId="50242" r:id="rId68" name="Check Box 66">
              <controlPr defaultSize="0" autoFill="0" autoLine="0" autoPict="0" altText="">
                <anchor moveWithCells="1">
                  <from>
                    <xdr:col>1</xdr:col>
                    <xdr:colOff>0</xdr:colOff>
                    <xdr:row>97</xdr:row>
                    <xdr:rowOff>0</xdr:rowOff>
                  </from>
                  <to>
                    <xdr:col>2</xdr:col>
                    <xdr:colOff>7315</xdr:colOff>
                    <xdr:row>98</xdr:row>
                    <xdr:rowOff>0</xdr:rowOff>
                  </to>
                </anchor>
              </controlPr>
            </control>
          </mc:Choice>
        </mc:AlternateContent>
        <mc:AlternateContent xmlns:mc="http://schemas.openxmlformats.org/markup-compatibility/2006">
          <mc:Choice Requires="x14">
            <control shapeId="50243" r:id="rId69" name="Check Box 67">
              <controlPr defaultSize="0" autoFill="0" autoLine="0" autoPict="0" altText="">
                <anchor moveWithCells="1">
                  <from>
                    <xdr:col>1</xdr:col>
                    <xdr:colOff>0</xdr:colOff>
                    <xdr:row>82</xdr:row>
                    <xdr:rowOff>0</xdr:rowOff>
                  </from>
                  <to>
                    <xdr:col>2</xdr:col>
                    <xdr:colOff>7315</xdr:colOff>
                    <xdr:row>83</xdr:row>
                    <xdr:rowOff>0</xdr:rowOff>
                  </to>
                </anchor>
              </controlPr>
            </control>
          </mc:Choice>
        </mc:AlternateContent>
        <mc:AlternateContent xmlns:mc="http://schemas.openxmlformats.org/markup-compatibility/2006">
          <mc:Choice Requires="x14">
            <control shapeId="50244" r:id="rId70" name="Check Box 68">
              <controlPr defaultSize="0" autoFill="0" autoLine="0" autoPict="0" altText="">
                <anchor moveWithCells="1">
                  <from>
                    <xdr:col>1</xdr:col>
                    <xdr:colOff>0</xdr:colOff>
                    <xdr:row>60</xdr:row>
                    <xdr:rowOff>0</xdr:rowOff>
                  </from>
                  <to>
                    <xdr:col>2</xdr:col>
                    <xdr:colOff>7315</xdr:colOff>
                    <xdr:row>61</xdr:row>
                    <xdr:rowOff>0</xdr:rowOff>
                  </to>
                </anchor>
              </controlPr>
            </control>
          </mc:Choice>
        </mc:AlternateContent>
        <mc:AlternateContent xmlns:mc="http://schemas.openxmlformats.org/markup-compatibility/2006">
          <mc:Choice Requires="x14">
            <control shapeId="50245" r:id="rId71" name="Check Box 69">
              <controlPr defaultSize="0" autoFill="0" autoLine="0" autoPict="0" altText="">
                <anchor moveWithCells="1">
                  <from>
                    <xdr:col>1</xdr:col>
                    <xdr:colOff>0</xdr:colOff>
                    <xdr:row>78</xdr:row>
                    <xdr:rowOff>0</xdr:rowOff>
                  </from>
                  <to>
                    <xdr:col>2</xdr:col>
                    <xdr:colOff>7315</xdr:colOff>
                    <xdr:row>79</xdr:row>
                    <xdr:rowOff>0</xdr:rowOff>
                  </to>
                </anchor>
              </controlPr>
            </control>
          </mc:Choice>
        </mc:AlternateContent>
        <mc:AlternateContent xmlns:mc="http://schemas.openxmlformats.org/markup-compatibility/2006">
          <mc:Choice Requires="x14">
            <control shapeId="50246" r:id="rId72" name="Check Box 70">
              <controlPr defaultSize="0" autoFill="0" autoLine="0" autoPict="0" altText="">
                <anchor moveWithCells="1">
                  <from>
                    <xdr:col>1</xdr:col>
                    <xdr:colOff>0</xdr:colOff>
                    <xdr:row>74</xdr:row>
                    <xdr:rowOff>0</xdr:rowOff>
                  </from>
                  <to>
                    <xdr:col>2</xdr:col>
                    <xdr:colOff>7315</xdr:colOff>
                    <xdr:row>75</xdr:row>
                    <xdr:rowOff>0</xdr:rowOff>
                  </to>
                </anchor>
              </controlPr>
            </control>
          </mc:Choice>
        </mc:AlternateContent>
        <mc:AlternateContent xmlns:mc="http://schemas.openxmlformats.org/markup-compatibility/2006">
          <mc:Choice Requires="x14">
            <control shapeId="50247" r:id="rId73" name="Check Box 71">
              <controlPr defaultSize="0" autoFill="0" autoLine="0" autoPict="0" altText="">
                <anchor moveWithCells="1">
                  <from>
                    <xdr:col>1</xdr:col>
                    <xdr:colOff>0</xdr:colOff>
                    <xdr:row>13</xdr:row>
                    <xdr:rowOff>0</xdr:rowOff>
                  </from>
                  <to>
                    <xdr:col>2</xdr:col>
                    <xdr:colOff>7315</xdr:colOff>
                    <xdr:row>14</xdr:row>
                    <xdr:rowOff>0</xdr:rowOff>
                  </to>
                </anchor>
              </controlPr>
            </control>
          </mc:Choice>
        </mc:AlternateContent>
        <mc:AlternateContent xmlns:mc="http://schemas.openxmlformats.org/markup-compatibility/2006">
          <mc:Choice Requires="x14">
            <control shapeId="50248" r:id="rId74" name="Check Box 72">
              <controlPr defaultSize="0" autoFill="0" autoLine="0" autoPict="0" altText="">
                <anchor moveWithCells="1">
                  <from>
                    <xdr:col>1</xdr:col>
                    <xdr:colOff>0</xdr:colOff>
                    <xdr:row>12</xdr:row>
                    <xdr:rowOff>0</xdr:rowOff>
                  </from>
                  <to>
                    <xdr:col>2</xdr:col>
                    <xdr:colOff>7315</xdr:colOff>
                    <xdr:row>13</xdr:row>
                    <xdr:rowOff>7315</xdr:rowOff>
                  </to>
                </anchor>
              </controlPr>
            </control>
          </mc:Choice>
        </mc:AlternateContent>
        <mc:AlternateContent xmlns:mc="http://schemas.openxmlformats.org/markup-compatibility/2006">
          <mc:Choice Requires="x14">
            <control shapeId="50249" r:id="rId75" name="Check Box 73">
              <controlPr defaultSize="0" autoFill="0" autoLine="0" autoPict="0" altText="">
                <anchor moveWithCells="1">
                  <from>
                    <xdr:col>1</xdr:col>
                    <xdr:colOff>0</xdr:colOff>
                    <xdr:row>168</xdr:row>
                    <xdr:rowOff>0</xdr:rowOff>
                  </from>
                  <to>
                    <xdr:col>2</xdr:col>
                    <xdr:colOff>7315</xdr:colOff>
                    <xdr:row>169</xdr:row>
                    <xdr:rowOff>7315</xdr:rowOff>
                  </to>
                </anchor>
              </controlPr>
            </control>
          </mc:Choice>
        </mc:AlternateContent>
        <mc:AlternateContent xmlns:mc="http://schemas.openxmlformats.org/markup-compatibility/2006">
          <mc:Choice Requires="x14">
            <control shapeId="50250" r:id="rId76" name="Check Box 74">
              <controlPr defaultSize="0" autoFill="0" autoLine="0" autoPict="0" altText="">
                <anchor moveWithCells="1">
                  <from>
                    <xdr:col>1</xdr:col>
                    <xdr:colOff>0</xdr:colOff>
                    <xdr:row>176</xdr:row>
                    <xdr:rowOff>0</xdr:rowOff>
                  </from>
                  <to>
                    <xdr:col>2</xdr:col>
                    <xdr:colOff>7315</xdr:colOff>
                    <xdr:row>177</xdr:row>
                    <xdr:rowOff>7315</xdr:rowOff>
                  </to>
                </anchor>
              </controlPr>
            </control>
          </mc:Choice>
        </mc:AlternateContent>
        <mc:AlternateContent xmlns:mc="http://schemas.openxmlformats.org/markup-compatibility/2006">
          <mc:Choice Requires="x14">
            <control shapeId="50251" r:id="rId77" name="Check Box 75">
              <controlPr defaultSize="0" autoFill="0" autoLine="0" autoPict="0" altText="">
                <anchor moveWithCells="1">
                  <from>
                    <xdr:col>1</xdr:col>
                    <xdr:colOff>0</xdr:colOff>
                    <xdr:row>176</xdr:row>
                    <xdr:rowOff>0</xdr:rowOff>
                  </from>
                  <to>
                    <xdr:col>2</xdr:col>
                    <xdr:colOff>7315</xdr:colOff>
                    <xdr:row>177</xdr:row>
                    <xdr:rowOff>7315</xdr:rowOff>
                  </to>
                </anchor>
              </controlPr>
            </control>
          </mc:Choice>
        </mc:AlternateContent>
        <mc:AlternateContent xmlns:mc="http://schemas.openxmlformats.org/markup-compatibility/2006">
          <mc:Choice Requires="x14">
            <control shapeId="50252" r:id="rId78" name="Check Box 76">
              <controlPr defaultSize="0" autoFill="0" autoLine="0" autoPict="0" altText="">
                <anchor moveWithCells="1">
                  <from>
                    <xdr:col>1</xdr:col>
                    <xdr:colOff>0</xdr:colOff>
                    <xdr:row>20</xdr:row>
                    <xdr:rowOff>0</xdr:rowOff>
                  </from>
                  <to>
                    <xdr:col>2</xdr:col>
                    <xdr:colOff>7315</xdr:colOff>
                    <xdr:row>21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theme="6" tint="0.79998168889431442"/>
    <pageSetUpPr fitToPage="1"/>
  </sheetPr>
  <dimension ref="A1:P252"/>
  <sheetViews>
    <sheetView showGridLines="0" zoomScaleNormal="100" zoomScaleSheetLayoutView="100" workbookViewId="0">
      <pane ySplit="12" topLeftCell="A13" activePane="bottomLeft" state="frozen"/>
      <selection pane="bottomLeft" activeCell="G154" sqref="G154"/>
    </sheetView>
  </sheetViews>
  <sheetFormatPr baseColWidth="10" defaultColWidth="0" defaultRowHeight="16.7" zeroHeight="1"/>
  <cols>
    <col min="1" max="1" width="5.6640625" style="1046" customWidth="1"/>
    <col min="2" max="2" width="3.33203125" style="172" customWidth="1"/>
    <col min="3" max="3" width="4.109375" style="468" customWidth="1"/>
    <col min="4" max="4" width="3.33203125" style="172" customWidth="1"/>
    <col min="5" max="5" width="2.6640625" style="172" customWidth="1"/>
    <col min="6" max="6" width="44.44140625" style="172" customWidth="1"/>
    <col min="7" max="7" width="12.33203125" style="172" customWidth="1"/>
    <col min="8" max="9" width="7.33203125" style="172" customWidth="1"/>
    <col min="10" max="10" width="12.33203125" style="172" customWidth="1"/>
    <col min="11" max="11" width="12.6640625" style="171" customWidth="1"/>
    <col min="12" max="12" width="2.6640625" style="166" customWidth="1"/>
    <col min="13" max="13" width="11.44140625" style="146" hidden="1" customWidth="1"/>
    <col min="14" max="16384" width="11.44140625" style="166" hidden="1"/>
  </cols>
  <sheetData>
    <row r="1" spans="1:16" s="450" customFormat="1">
      <c r="A1" s="435"/>
      <c r="B1" s="435"/>
      <c r="C1" s="463"/>
      <c r="D1" s="360"/>
      <c r="E1" s="360"/>
      <c r="F1" s="360"/>
      <c r="H1" s="360"/>
      <c r="I1" s="360"/>
      <c r="J1" s="360"/>
      <c r="K1" s="360"/>
      <c r="L1" s="436"/>
      <c r="M1" s="449"/>
    </row>
    <row r="2" spans="1:16" s="136" customFormat="1" ht="16.600000000000001" customHeight="1">
      <c r="A2" s="1045"/>
      <c r="B2" s="1285" t="str">
        <f>IF(Projektgrundlagen!B2="","",Projektgrundlagen!B2)</f>
        <v>Objektplanung Verkehrsanlagen</v>
      </c>
      <c r="C2" s="1285"/>
      <c r="D2" s="1285"/>
      <c r="E2" s="1285"/>
      <c r="F2" s="1285"/>
      <c r="G2" s="1286"/>
      <c r="H2" s="258" t="str">
        <f>IF(Projektgrundlagen!F2="","",Projektgrundlagen!F2)</f>
        <v>VII.15.4</v>
      </c>
      <c r="I2" s="257"/>
      <c r="J2" s="257" t="s">
        <v>674</v>
      </c>
      <c r="K2" s="268"/>
      <c r="L2" s="1505" t="s">
        <v>675</v>
      </c>
      <c r="M2" s="451" t="s">
        <v>159</v>
      </c>
      <c r="N2" s="222" t="s">
        <v>510</v>
      </c>
      <c r="O2" s="221"/>
      <c r="P2" s="136" t="s">
        <v>502</v>
      </c>
    </row>
    <row r="3" spans="1:16" s="136" customFormat="1">
      <c r="A3" s="1045"/>
      <c r="B3" s="1496" t="s">
        <v>676</v>
      </c>
      <c r="C3" s="1496"/>
      <c r="D3" s="1496"/>
      <c r="E3" s="1496"/>
      <c r="F3" s="1496"/>
      <c r="G3" s="1497"/>
      <c r="H3" s="231" t="str">
        <f>IF(Projektgrundlagen!F3="","",Projektgrundlagen!F3)</f>
        <v>Vertragsnr.:</v>
      </c>
      <c r="I3" s="232"/>
      <c r="J3" s="452" t="str">
        <f>IF(Projektgrundlagen!G3="","",Projektgrundlagen!G3)</f>
        <v/>
      </c>
      <c r="K3" s="453"/>
      <c r="L3" s="1505"/>
      <c r="N3" s="7" t="b">
        <f>Projektgrundlagen!$I$21</f>
        <v>1</v>
      </c>
      <c r="O3" s="7"/>
      <c r="P3" s="136" t="str">
        <f ca="1">MID(CELL("dateiname",A2),FIND("]",CELL("dateiname",A2))+1,255)</f>
        <v>StB-D1 Besondere Lstg</v>
      </c>
    </row>
    <row r="4" spans="1:16" s="136" customFormat="1" ht="7.5" customHeight="1">
      <c r="A4" s="1045"/>
      <c r="B4" s="216"/>
      <c r="C4" s="216"/>
      <c r="D4" s="216"/>
      <c r="E4" s="216"/>
      <c r="F4" s="458"/>
      <c r="H4" s="101"/>
      <c r="I4" s="101"/>
      <c r="J4" s="418"/>
      <c r="K4" s="418"/>
      <c r="L4" s="1505"/>
    </row>
    <row r="5" spans="1:16" s="136" customFormat="1">
      <c r="A5" s="1045"/>
      <c r="B5" s="405" t="str">
        <f>IF(Projektgrundlagen!B5="","",Projektgrundlagen!B5)</f>
        <v>Maßnahmennr:</v>
      </c>
      <c r="C5" s="406"/>
      <c r="D5" s="406"/>
      <c r="E5" s="473"/>
      <c r="F5" s="1502" t="str">
        <f>IF(Projektgrundlagen!E5="","",Projektgrundlagen!E5)</f>
        <v>B11S.ALSR0138.00</v>
      </c>
      <c r="G5" s="1502"/>
      <c r="H5" s="1291" t="str">
        <f>IF(Projektgrundlagen!F5="","",Projektgrundlagen!F5)</f>
        <v>Vergabenr.:</v>
      </c>
      <c r="I5" s="1291"/>
      <c r="J5" s="454" t="str">
        <f>IF(Projektgrundlagen!G5="","",Projektgrundlagen!G5)</f>
        <v>25-131201</v>
      </c>
      <c r="K5" s="455"/>
      <c r="L5" s="1505"/>
    </row>
    <row r="6" spans="1:16" s="136" customFormat="1">
      <c r="A6" s="1045"/>
      <c r="B6" s="407" t="str">
        <f>IF(Projektgrundlagen!B6="","",Projektgrundlagen!B6)</f>
        <v>Maßnahme:</v>
      </c>
      <c r="C6" s="408"/>
      <c r="D6" s="408"/>
      <c r="E6" s="474"/>
      <c r="F6" s="1503" t="str">
        <f>IF(Projektgrundlagen!E6="","",Projektgrundlagen!E6)</f>
        <v>St2054 Geh- und Radweg westl. Babenried - Jesenwang</v>
      </c>
      <c r="G6" s="1503"/>
      <c r="H6" s="456"/>
      <c r="I6" s="456"/>
      <c r="J6" s="456"/>
      <c r="K6" s="457"/>
      <c r="L6" s="1505"/>
    </row>
    <row r="7" spans="1:16" s="136" customFormat="1">
      <c r="A7" s="1045"/>
      <c r="B7" s="407" t="str">
        <f>IF(Projektgrundlagen!B7="","",Projektgrundlagen!B7)</f>
        <v/>
      </c>
      <c r="C7" s="408"/>
      <c r="D7" s="408"/>
      <c r="E7" s="474"/>
      <c r="F7" s="1503" t="str">
        <f>IF(Projektgrundlagen!E7="","",Projektgrundlagen!E7)</f>
        <v/>
      </c>
      <c r="G7" s="1503"/>
      <c r="H7" s="1503"/>
      <c r="I7" s="1503"/>
      <c r="J7" s="1503"/>
      <c r="K7" s="1504"/>
      <c r="L7" s="1505"/>
    </row>
    <row r="8" spans="1:16" s="136" customFormat="1">
      <c r="A8" s="1045"/>
      <c r="B8" s="409" t="str">
        <f>IF(Projektgrundlagen!B8="","",Projektgrundlagen!B8)</f>
        <v>Bieter:</v>
      </c>
      <c r="C8" s="410"/>
      <c r="D8" s="410"/>
      <c r="E8" s="475"/>
      <c r="F8" s="1509" t="str">
        <f>IF(Projektgrundlagen!E8="","",Projektgrundlagen!E8)</f>
        <v/>
      </c>
      <c r="G8" s="1509"/>
      <c r="H8" s="1509"/>
      <c r="I8" s="1509"/>
      <c r="J8" s="1509"/>
      <c r="K8" s="1510"/>
      <c r="L8" s="1505"/>
    </row>
    <row r="9" spans="1:16" s="450" customFormat="1">
      <c r="A9" s="435"/>
      <c r="B9" s="436"/>
      <c r="C9" s="464"/>
      <c r="D9" s="459"/>
      <c r="E9" s="460"/>
      <c r="F9" s="461"/>
      <c r="I9" s="460"/>
      <c r="J9" s="460"/>
      <c r="K9" s="462"/>
    </row>
    <row r="10" spans="1:16" s="136" customFormat="1" ht="27.1" customHeight="1">
      <c r="A10" s="1045"/>
      <c r="B10" s="1506" t="s">
        <v>677</v>
      </c>
      <c r="C10" s="1506"/>
      <c r="D10" s="1506"/>
      <c r="E10" s="1506"/>
      <c r="F10" s="1506"/>
      <c r="G10" s="1507"/>
      <c r="H10" s="438" t="s">
        <v>133</v>
      </c>
      <c r="I10" s="438" t="s">
        <v>132</v>
      </c>
      <c r="J10" s="439" t="s">
        <v>678</v>
      </c>
      <c r="K10" s="440" t="s">
        <v>679</v>
      </c>
    </row>
    <row r="11" spans="1:16" s="136" customFormat="1" ht="27.1" customHeight="1">
      <c r="A11" s="1045"/>
      <c r="B11" s="484" t="s">
        <v>592</v>
      </c>
      <c r="C11" s="465"/>
      <c r="D11" s="441"/>
      <c r="E11" s="441"/>
      <c r="F11" s="476"/>
      <c r="G11" s="442" t="str">
        <f>IF(Projektgrundlagen!I21,"","Besondere Lstg. Straßenbau sind nicht Teil dieser Honorarermittlung!")</f>
        <v/>
      </c>
      <c r="H11" s="443"/>
      <c r="I11" s="443"/>
      <c r="J11" s="439"/>
      <c r="K11" s="440"/>
    </row>
    <row r="12" spans="1:16" s="450" customFormat="1" ht="7.5" customHeight="1">
      <c r="A12" s="435"/>
      <c r="B12" s="435"/>
      <c r="C12" s="466"/>
      <c r="D12" s="444"/>
      <c r="E12" s="444"/>
      <c r="F12" s="445"/>
      <c r="G12" s="446"/>
      <c r="H12" s="445"/>
      <c r="I12" s="445"/>
      <c r="J12" s="447"/>
      <c r="K12" s="448"/>
      <c r="L12" s="437"/>
      <c r="M12" s="449"/>
    </row>
    <row r="13" spans="1:16" ht="19.45" customHeight="1">
      <c r="B13" s="42" t="s">
        <v>283</v>
      </c>
      <c r="C13" s="43"/>
      <c r="D13" s="43"/>
      <c r="E13" s="43"/>
      <c r="F13" s="43"/>
      <c r="G13" s="43"/>
      <c r="H13" s="400"/>
      <c r="I13" s="400"/>
      <c r="J13" s="497"/>
      <c r="K13" s="498"/>
    </row>
    <row r="14" spans="1:16">
      <c r="B14" s="97"/>
      <c r="C14" s="1208" t="s">
        <v>83</v>
      </c>
      <c r="D14" s="1209"/>
      <c r="E14" s="1210"/>
      <c r="F14" s="1234" t="s">
        <v>1075</v>
      </c>
      <c r="G14" s="1211"/>
      <c r="H14" s="1135"/>
      <c r="I14" s="1136"/>
      <c r="J14" s="1137"/>
      <c r="K14" s="503" t="str">
        <f>IF(M14,IF(J14&gt;0,H14*J14,0),"")</f>
        <v/>
      </c>
      <c r="M14" s="146" t="b">
        <v>0</v>
      </c>
    </row>
    <row r="15" spans="1:16">
      <c r="B15" s="349"/>
      <c r="C15" s="1212"/>
      <c r="D15" s="171"/>
      <c r="E15" s="1103"/>
      <c r="F15" s="1081" t="s">
        <v>1076</v>
      </c>
      <c r="G15" s="478"/>
      <c r="H15" s="1138"/>
      <c r="I15" s="1139"/>
      <c r="J15" s="1140"/>
      <c r="K15" s="482"/>
    </row>
    <row r="16" spans="1:16">
      <c r="B16" s="97"/>
      <c r="C16" s="1213" t="s">
        <v>82</v>
      </c>
      <c r="D16" s="1184"/>
      <c r="E16" s="1214"/>
      <c r="F16" s="1233" t="s">
        <v>155</v>
      </c>
      <c r="G16" s="1215"/>
      <c r="H16" s="1135"/>
      <c r="I16" s="1136"/>
      <c r="J16" s="1137"/>
      <c r="K16" s="507" t="str">
        <f t="shared" ref="K16:K22" si="0">IF(M16,IF(J16&gt;0,H16*J16,0),"")</f>
        <v/>
      </c>
      <c r="M16" s="146" t="b">
        <v>0</v>
      </c>
    </row>
    <row r="17" spans="2:13">
      <c r="B17" s="349"/>
      <c r="C17" s="1216"/>
      <c r="D17" s="1092"/>
      <c r="E17" s="1104"/>
      <c r="F17" s="1105"/>
      <c r="G17" s="470"/>
      <c r="H17" s="1138"/>
      <c r="I17" s="1139"/>
      <c r="J17" s="1140"/>
      <c r="K17" s="471"/>
    </row>
    <row r="18" spans="2:13">
      <c r="B18" s="175"/>
      <c r="C18" s="1213" t="s">
        <v>81</v>
      </c>
      <c r="D18" s="1217"/>
      <c r="E18" s="1217"/>
      <c r="F18" s="1231"/>
      <c r="G18" s="1215"/>
      <c r="H18" s="1135"/>
      <c r="I18" s="1136"/>
      <c r="J18" s="1137"/>
      <c r="K18" s="507" t="str">
        <f t="shared" si="0"/>
        <v/>
      </c>
      <c r="M18" s="146" t="b">
        <v>0</v>
      </c>
    </row>
    <row r="19" spans="2:13">
      <c r="B19" s="349"/>
      <c r="C19" s="1216"/>
      <c r="D19" s="1092"/>
      <c r="E19" s="469"/>
      <c r="F19" s="1141"/>
      <c r="G19" s="470"/>
      <c r="H19" s="1138"/>
      <c r="I19" s="1139"/>
      <c r="J19" s="1140"/>
      <c r="K19" s="471"/>
    </row>
    <row r="20" spans="2:13">
      <c r="B20" s="175"/>
      <c r="C20" s="1213" t="s">
        <v>134</v>
      </c>
      <c r="D20" s="1217"/>
      <c r="E20" s="1217"/>
      <c r="F20" s="1231"/>
      <c r="G20" s="1215"/>
      <c r="H20" s="1135"/>
      <c r="I20" s="1136"/>
      <c r="J20" s="1137"/>
      <c r="K20" s="507" t="str">
        <f t="shared" si="0"/>
        <v/>
      </c>
      <c r="M20" s="146" t="b">
        <v>0</v>
      </c>
    </row>
    <row r="21" spans="2:13">
      <c r="B21" s="349"/>
      <c r="C21" s="1216"/>
      <c r="D21" s="1092"/>
      <c r="E21" s="469"/>
      <c r="F21" s="1141"/>
      <c r="G21" s="470"/>
      <c r="H21" s="1138"/>
      <c r="I21" s="1139"/>
      <c r="J21" s="1140"/>
      <c r="K21" s="471"/>
    </row>
    <row r="22" spans="2:13">
      <c r="B22" s="175"/>
      <c r="C22" s="1218" t="s">
        <v>154</v>
      </c>
      <c r="D22" s="191"/>
      <c r="E22" s="191"/>
      <c r="F22" s="1231"/>
      <c r="G22" s="1215"/>
      <c r="H22" s="1135"/>
      <c r="I22" s="1136"/>
      <c r="J22" s="1137"/>
      <c r="K22" s="507" t="str">
        <f t="shared" si="0"/>
        <v/>
      </c>
      <c r="M22" s="146" t="b">
        <v>0</v>
      </c>
    </row>
    <row r="23" spans="2:13" ht="17.3" thickBot="1">
      <c r="B23" s="359"/>
      <c r="C23" s="1219"/>
      <c r="D23" s="372"/>
      <c r="E23" s="37"/>
      <c r="F23" s="1141"/>
      <c r="G23" s="478"/>
      <c r="H23" s="1138"/>
      <c r="I23" s="1139"/>
      <c r="J23" s="1140"/>
      <c r="K23" s="482"/>
    </row>
    <row r="24" spans="2:13" ht="22.5" customHeight="1" thickBot="1">
      <c r="B24" s="489"/>
      <c r="C24" s="490" t="s">
        <v>11</v>
      </c>
      <c r="D24" s="490"/>
      <c r="E24" s="490"/>
      <c r="F24" s="491"/>
      <c r="G24" s="492"/>
      <c r="H24" s="491"/>
      <c r="I24" s="491"/>
      <c r="J24" s="356" t="s">
        <v>1088</v>
      </c>
      <c r="K24" s="493" t="str">
        <f>IF(Projektgrundlagen!I21,IF(COUNT(K14:K22)&gt;0,SUM(K14:K22),""),0)</f>
        <v/>
      </c>
    </row>
    <row r="25" spans="2:13" ht="7.2" customHeight="1">
      <c r="B25" s="494"/>
      <c r="C25" s="485"/>
      <c r="D25" s="485"/>
      <c r="E25" s="485"/>
      <c r="F25" s="486"/>
      <c r="G25" s="487"/>
      <c r="H25" s="486"/>
      <c r="I25" s="486"/>
      <c r="J25" s="382"/>
      <c r="K25" s="495"/>
    </row>
    <row r="26" spans="2:13" ht="19.45" customHeight="1">
      <c r="B26" s="42" t="s">
        <v>284</v>
      </c>
      <c r="C26" s="43"/>
      <c r="D26" s="43"/>
      <c r="E26" s="43"/>
      <c r="F26" s="43"/>
      <c r="G26" s="43"/>
      <c r="H26" s="400"/>
      <c r="I26" s="400"/>
      <c r="J26" s="497"/>
      <c r="K26" s="498"/>
    </row>
    <row r="27" spans="2:13">
      <c r="B27" s="97"/>
      <c r="C27" s="1213" t="s">
        <v>80</v>
      </c>
      <c r="D27" s="1184"/>
      <c r="E27" s="1217"/>
      <c r="F27" s="1233" t="s">
        <v>79</v>
      </c>
      <c r="G27" s="1215"/>
      <c r="H27" s="1135"/>
      <c r="I27" s="1136"/>
      <c r="J27" s="1137"/>
      <c r="K27" s="507" t="str">
        <f t="shared" ref="K27:K45" si="1">IF(M27,IF(J27&gt;0,H27*J27,0),"")</f>
        <v/>
      </c>
      <c r="M27" s="146" t="b">
        <v>0</v>
      </c>
    </row>
    <row r="28" spans="2:13">
      <c r="B28" s="349"/>
      <c r="C28" s="1216"/>
      <c r="D28" s="171"/>
      <c r="E28" s="469"/>
      <c r="F28" s="1081"/>
      <c r="G28" s="478"/>
      <c r="H28" s="1138"/>
      <c r="I28" s="1139"/>
      <c r="J28" s="1140"/>
      <c r="K28" s="482"/>
    </row>
    <row r="29" spans="2:13">
      <c r="B29" s="97"/>
      <c r="C29" s="1213" t="s">
        <v>78</v>
      </c>
      <c r="D29" s="1184"/>
      <c r="E29" s="1217"/>
      <c r="F29" s="1233" t="s">
        <v>77</v>
      </c>
      <c r="G29" s="1215"/>
      <c r="H29" s="1135"/>
      <c r="I29" s="1136"/>
      <c r="J29" s="1137"/>
      <c r="K29" s="507" t="str">
        <f t="shared" si="1"/>
        <v/>
      </c>
      <c r="M29" s="146" t="b">
        <v>0</v>
      </c>
    </row>
    <row r="30" spans="2:13">
      <c r="B30" s="349"/>
      <c r="C30" s="1216"/>
      <c r="D30" s="1092"/>
      <c r="E30" s="469"/>
      <c r="F30" s="1105"/>
      <c r="G30" s="470"/>
      <c r="H30" s="1138"/>
      <c r="I30" s="1139"/>
      <c r="J30" s="1140"/>
      <c r="K30" s="471"/>
    </row>
    <row r="31" spans="2:13">
      <c r="B31" s="97"/>
      <c r="C31" s="1213" t="s">
        <v>76</v>
      </c>
      <c r="D31" s="1184"/>
      <c r="E31" s="1217"/>
      <c r="F31" s="1233" t="s">
        <v>75</v>
      </c>
      <c r="G31" s="1215"/>
      <c r="H31" s="1135"/>
      <c r="I31" s="1136"/>
      <c r="J31" s="1137"/>
      <c r="K31" s="507" t="str">
        <f t="shared" si="1"/>
        <v/>
      </c>
      <c r="M31" s="146" t="b">
        <v>0</v>
      </c>
    </row>
    <row r="32" spans="2:13">
      <c r="B32" s="349"/>
      <c r="C32" s="1216"/>
      <c r="D32" s="1092"/>
      <c r="E32" s="469"/>
      <c r="F32" s="1105"/>
      <c r="G32" s="470"/>
      <c r="H32" s="1138"/>
      <c r="I32" s="1139"/>
      <c r="J32" s="1140"/>
      <c r="K32" s="471"/>
    </row>
    <row r="33" spans="2:13">
      <c r="B33" s="97"/>
      <c r="C33" s="1213" t="s">
        <v>74</v>
      </c>
      <c r="D33" s="1184"/>
      <c r="E33" s="1217"/>
      <c r="F33" s="1233" t="s">
        <v>73</v>
      </c>
      <c r="G33" s="1215"/>
      <c r="H33" s="1135"/>
      <c r="I33" s="1136"/>
      <c r="J33" s="1137"/>
      <c r="K33" s="507" t="str">
        <f t="shared" si="1"/>
        <v/>
      </c>
      <c r="M33" s="146" t="b">
        <v>0</v>
      </c>
    </row>
    <row r="34" spans="2:13">
      <c r="B34" s="349"/>
      <c r="C34" s="1216"/>
      <c r="D34" s="1092"/>
      <c r="E34" s="469"/>
      <c r="F34" s="1105"/>
      <c r="G34" s="470"/>
      <c r="H34" s="1138"/>
      <c r="I34" s="1139"/>
      <c r="J34" s="1140"/>
      <c r="K34" s="471"/>
    </row>
    <row r="35" spans="2:13">
      <c r="B35" s="97"/>
      <c r="C35" s="1213" t="s">
        <v>72</v>
      </c>
      <c r="D35" s="1184"/>
      <c r="E35" s="1217"/>
      <c r="F35" s="1232" t="s">
        <v>1077</v>
      </c>
      <c r="G35" s="1215"/>
      <c r="H35" s="1135"/>
      <c r="I35" s="1136"/>
      <c r="J35" s="1137"/>
      <c r="K35" s="507" t="str">
        <f t="shared" si="1"/>
        <v/>
      </c>
      <c r="M35" s="146" t="b">
        <v>0</v>
      </c>
    </row>
    <row r="36" spans="2:13">
      <c r="B36" s="349"/>
      <c r="C36" s="1216"/>
      <c r="D36" s="1092"/>
      <c r="E36" s="469"/>
      <c r="F36" s="1056" t="s">
        <v>1078</v>
      </c>
      <c r="G36" s="470"/>
      <c r="H36" s="1138"/>
      <c r="I36" s="1139"/>
      <c r="J36" s="1140"/>
      <c r="K36" s="471"/>
    </row>
    <row r="37" spans="2:13">
      <c r="B37" s="97"/>
      <c r="C37" s="1213" t="s">
        <v>71</v>
      </c>
      <c r="D37" s="1217"/>
      <c r="E37" s="1217"/>
      <c r="F37" s="1231"/>
      <c r="G37" s="1215"/>
      <c r="H37" s="1135"/>
      <c r="I37" s="1136"/>
      <c r="J37" s="1137"/>
      <c r="K37" s="507" t="str">
        <f t="shared" si="1"/>
        <v/>
      </c>
      <c r="M37" s="146" t="b">
        <v>0</v>
      </c>
    </row>
    <row r="38" spans="2:13">
      <c r="B38" s="349"/>
      <c r="C38" s="1216"/>
      <c r="D38" s="1092"/>
      <c r="E38" s="469"/>
      <c r="F38" s="1141"/>
      <c r="G38" s="470"/>
      <c r="H38" s="1138"/>
      <c r="I38" s="1139"/>
      <c r="J38" s="1140"/>
      <c r="K38" s="471"/>
    </row>
    <row r="39" spans="2:13">
      <c r="B39" s="97"/>
      <c r="C39" s="1213" t="s">
        <v>135</v>
      </c>
      <c r="D39" s="1217"/>
      <c r="E39" s="1217"/>
      <c r="F39" s="1231"/>
      <c r="G39" s="1215"/>
      <c r="H39" s="1135"/>
      <c r="I39" s="1136"/>
      <c r="J39" s="1137"/>
      <c r="K39" s="507" t="str">
        <f t="shared" si="1"/>
        <v/>
      </c>
      <c r="M39" s="146" t="b">
        <v>0</v>
      </c>
    </row>
    <row r="40" spans="2:13">
      <c r="B40" s="349"/>
      <c r="C40" s="1216"/>
      <c r="D40" s="1092"/>
      <c r="E40" s="469"/>
      <c r="F40" s="1141"/>
      <c r="G40" s="470"/>
      <c r="H40" s="1138"/>
      <c r="I40" s="1139"/>
      <c r="J40" s="1140"/>
      <c r="K40" s="471"/>
    </row>
    <row r="41" spans="2:13">
      <c r="B41" s="97"/>
      <c r="C41" s="1213" t="s">
        <v>493</v>
      </c>
      <c r="D41" s="1217"/>
      <c r="E41" s="1217"/>
      <c r="F41" s="1231"/>
      <c r="G41" s="1215"/>
      <c r="H41" s="1135"/>
      <c r="I41" s="1136"/>
      <c r="J41" s="1137"/>
      <c r="K41" s="507" t="str">
        <f t="shared" ref="K41:K43" si="2">IF(M41,IF(J41&gt;0,H41*J41,0),"")</f>
        <v/>
      </c>
      <c r="M41" s="146" t="b">
        <v>0</v>
      </c>
    </row>
    <row r="42" spans="2:13">
      <c r="B42" s="349"/>
      <c r="C42" s="1216"/>
      <c r="D42" s="1092"/>
      <c r="E42" s="469"/>
      <c r="F42" s="1141"/>
      <c r="G42" s="470"/>
      <c r="H42" s="1138"/>
      <c r="I42" s="1139"/>
      <c r="J42" s="1140"/>
      <c r="K42" s="471"/>
    </row>
    <row r="43" spans="2:13">
      <c r="B43" s="97"/>
      <c r="C43" s="1213" t="s">
        <v>494</v>
      </c>
      <c r="D43" s="1217"/>
      <c r="E43" s="1217"/>
      <c r="F43" s="1231"/>
      <c r="G43" s="1215"/>
      <c r="H43" s="1135"/>
      <c r="I43" s="1136"/>
      <c r="J43" s="1137"/>
      <c r="K43" s="507" t="str">
        <f t="shared" si="2"/>
        <v/>
      </c>
      <c r="M43" s="146" t="b">
        <v>0</v>
      </c>
    </row>
    <row r="44" spans="2:13">
      <c r="B44" s="349"/>
      <c r="C44" s="1216"/>
      <c r="D44" s="1092"/>
      <c r="E44" s="469"/>
      <c r="F44" s="1141"/>
      <c r="G44" s="470"/>
      <c r="H44" s="1138"/>
      <c r="I44" s="1139"/>
      <c r="J44" s="1140"/>
      <c r="K44" s="471"/>
    </row>
    <row r="45" spans="2:13">
      <c r="B45" s="97"/>
      <c r="C45" s="1213" t="s">
        <v>495</v>
      </c>
      <c r="D45" s="1217"/>
      <c r="E45" s="1217"/>
      <c r="F45" s="1231"/>
      <c r="G45" s="1215"/>
      <c r="H45" s="1135"/>
      <c r="I45" s="1136"/>
      <c r="J45" s="1137"/>
      <c r="K45" s="507" t="str">
        <f t="shared" si="1"/>
        <v/>
      </c>
      <c r="M45" s="146" t="b">
        <v>0</v>
      </c>
    </row>
    <row r="46" spans="2:13" ht="17.3" thickBot="1">
      <c r="B46" s="349"/>
      <c r="C46" s="1216"/>
      <c r="D46" s="1092"/>
      <c r="E46" s="469"/>
      <c r="F46" s="1141"/>
      <c r="G46" s="470"/>
      <c r="H46" s="1138"/>
      <c r="I46" s="1139"/>
      <c r="J46" s="1140"/>
      <c r="K46" s="471"/>
    </row>
    <row r="47" spans="2:13" ht="22.5" customHeight="1" thickBot="1">
      <c r="B47" s="489"/>
      <c r="C47" s="490" t="s">
        <v>11</v>
      </c>
      <c r="D47" s="490"/>
      <c r="E47" s="490"/>
      <c r="F47" s="491"/>
      <c r="G47" s="492"/>
      <c r="H47" s="491"/>
      <c r="I47" s="491"/>
      <c r="J47" s="356" t="s">
        <v>1087</v>
      </c>
      <c r="K47" s="493" t="str">
        <f>IF(Projektgrundlagen!I21,IF(COUNT(K27:K45)&gt;0,SUM(K27:K45),""),0)</f>
        <v/>
      </c>
    </row>
    <row r="48" spans="2:13" ht="7.2" customHeight="1">
      <c r="B48" s="494"/>
      <c r="C48" s="485"/>
      <c r="D48" s="485"/>
      <c r="E48" s="485"/>
      <c r="F48" s="486"/>
      <c r="G48" s="487"/>
      <c r="H48" s="486"/>
      <c r="I48" s="486"/>
      <c r="J48" s="382"/>
      <c r="K48" s="495"/>
    </row>
    <row r="49" spans="2:13" ht="19.45" customHeight="1">
      <c r="B49" s="42" t="s">
        <v>285</v>
      </c>
      <c r="C49" s="43"/>
      <c r="D49" s="43"/>
      <c r="E49" s="43"/>
      <c r="F49" s="43"/>
      <c r="G49" s="43"/>
      <c r="H49" s="400"/>
      <c r="I49" s="400"/>
      <c r="J49" s="497"/>
      <c r="K49" s="498"/>
    </row>
    <row r="50" spans="2:13">
      <c r="B50" s="97"/>
      <c r="C50" s="1213" t="s">
        <v>70</v>
      </c>
      <c r="D50" s="1184"/>
      <c r="E50" s="1193"/>
      <c r="F50" s="1232" t="s">
        <v>69</v>
      </c>
      <c r="G50" s="1215"/>
      <c r="H50" s="1135"/>
      <c r="I50" s="1136"/>
      <c r="J50" s="1137"/>
      <c r="K50" s="507" t="str">
        <f t="shared" ref="K50:K74" si="3">IF(M50,IF(J50&gt;0,H50*J50,0),"")</f>
        <v/>
      </c>
      <c r="M50" s="146" t="b">
        <v>0</v>
      </c>
    </row>
    <row r="51" spans="2:13">
      <c r="B51" s="349"/>
      <c r="C51" s="1216"/>
      <c r="D51" s="1092"/>
      <c r="E51" s="1101"/>
      <c r="F51" s="1056"/>
      <c r="G51" s="470"/>
      <c r="H51" s="1138"/>
      <c r="I51" s="1139"/>
      <c r="J51" s="1140"/>
      <c r="K51" s="471"/>
    </row>
    <row r="52" spans="2:13">
      <c r="B52" s="97"/>
      <c r="C52" s="1213" t="s">
        <v>68</v>
      </c>
      <c r="D52" s="1184"/>
      <c r="E52" s="1193"/>
      <c r="F52" s="1232" t="s">
        <v>67</v>
      </c>
      <c r="G52" s="1215"/>
      <c r="H52" s="1135"/>
      <c r="I52" s="1136"/>
      <c r="J52" s="1137"/>
      <c r="K52" s="507" t="str">
        <f t="shared" si="3"/>
        <v/>
      </c>
      <c r="M52" s="146" t="b">
        <v>0</v>
      </c>
    </row>
    <row r="53" spans="2:13">
      <c r="B53" s="349"/>
      <c r="C53" s="1216"/>
      <c r="D53" s="1092"/>
      <c r="E53" s="1101"/>
      <c r="F53" s="1056"/>
      <c r="G53" s="470"/>
      <c r="H53" s="1138"/>
      <c r="I53" s="1139"/>
      <c r="J53" s="1140"/>
      <c r="K53" s="471"/>
    </row>
    <row r="54" spans="2:13">
      <c r="B54" s="97"/>
      <c r="C54" s="1213" t="s">
        <v>66</v>
      </c>
      <c r="D54" s="1184"/>
      <c r="E54" s="1193"/>
      <c r="F54" s="1232" t="s">
        <v>65</v>
      </c>
      <c r="G54" s="1215"/>
      <c r="H54" s="1135"/>
      <c r="I54" s="1136"/>
      <c r="J54" s="1137"/>
      <c r="K54" s="507" t="str">
        <f t="shared" si="3"/>
        <v/>
      </c>
      <c r="M54" s="146" t="b">
        <v>0</v>
      </c>
    </row>
    <row r="55" spans="2:13">
      <c r="B55" s="349"/>
      <c r="C55" s="1216"/>
      <c r="D55" s="1092"/>
      <c r="E55" s="1101"/>
      <c r="F55" s="1056"/>
      <c r="G55" s="470"/>
      <c r="H55" s="1138"/>
      <c r="I55" s="1139"/>
      <c r="J55" s="1140"/>
      <c r="K55" s="471"/>
    </row>
    <row r="56" spans="2:13">
      <c r="B56" s="97"/>
      <c r="C56" s="1213" t="s">
        <v>64</v>
      </c>
      <c r="D56" s="1184"/>
      <c r="E56" s="1193"/>
      <c r="F56" s="1232" t="s">
        <v>1158</v>
      </c>
      <c r="G56" s="1215"/>
      <c r="H56" s="1135"/>
      <c r="I56" s="1136"/>
      <c r="J56" s="1137"/>
      <c r="K56" s="507" t="str">
        <f t="shared" si="3"/>
        <v/>
      </c>
      <c r="M56" s="146" t="b">
        <v>0</v>
      </c>
    </row>
    <row r="57" spans="2:13" ht="76.05">
      <c r="B57" s="349"/>
      <c r="C57" s="1216"/>
      <c r="D57" s="1092"/>
      <c r="E57" s="1100"/>
      <c r="F57" s="1056" t="s">
        <v>1159</v>
      </c>
      <c r="G57" s="470"/>
      <c r="H57" s="1138"/>
      <c r="I57" s="1139"/>
      <c r="J57" s="1140"/>
      <c r="K57" s="471"/>
    </row>
    <row r="58" spans="2:13">
      <c r="B58" s="97"/>
      <c r="C58" s="1213" t="s">
        <v>63</v>
      </c>
      <c r="D58" s="1184"/>
      <c r="E58" s="1193"/>
      <c r="F58" s="1232" t="s">
        <v>62</v>
      </c>
      <c r="G58" s="1215"/>
      <c r="H58" s="1135"/>
      <c r="I58" s="1136"/>
      <c r="J58" s="1137"/>
      <c r="K58" s="507" t="str">
        <f t="shared" si="3"/>
        <v/>
      </c>
      <c r="M58" s="146" t="b">
        <v>0</v>
      </c>
    </row>
    <row r="59" spans="2:13">
      <c r="B59" s="349"/>
      <c r="C59" s="1216"/>
      <c r="D59" s="1092"/>
      <c r="E59" s="1101"/>
      <c r="F59" s="1056"/>
      <c r="G59" s="470"/>
      <c r="H59" s="1138"/>
      <c r="I59" s="1139"/>
      <c r="J59" s="1140"/>
      <c r="K59" s="471"/>
    </row>
    <row r="60" spans="2:13">
      <c r="B60" s="97"/>
      <c r="C60" s="1213" t="s">
        <v>61</v>
      </c>
      <c r="D60" s="1184"/>
      <c r="E60" s="1193"/>
      <c r="F60" s="1232" t="s">
        <v>685</v>
      </c>
      <c r="G60" s="1215"/>
      <c r="H60" s="1135"/>
      <c r="I60" s="1136"/>
      <c r="J60" s="1137"/>
      <c r="K60" s="507" t="str">
        <f t="shared" si="3"/>
        <v/>
      </c>
      <c r="M60" s="146" t="b">
        <v>0</v>
      </c>
    </row>
    <row r="61" spans="2:13">
      <c r="B61" s="349"/>
      <c r="C61" s="1216"/>
      <c r="D61" s="1092"/>
      <c r="E61" s="1101"/>
      <c r="F61" s="1056" t="s">
        <v>686</v>
      </c>
      <c r="G61" s="470"/>
      <c r="H61" s="1138"/>
      <c r="I61" s="1139"/>
      <c r="J61" s="1140"/>
      <c r="K61" s="471"/>
    </row>
    <row r="62" spans="2:13">
      <c r="B62" s="175"/>
      <c r="C62" s="1213" t="s">
        <v>60</v>
      </c>
      <c r="D62" s="1217"/>
      <c r="E62" s="1217"/>
      <c r="F62" s="1231"/>
      <c r="G62" s="1215"/>
      <c r="H62" s="1135"/>
      <c r="I62" s="1136"/>
      <c r="J62" s="1137"/>
      <c r="K62" s="507" t="str">
        <f t="shared" ref="K62" si="4">IF(M62,IF(J62&gt;0,H62*J62,0),"")</f>
        <v/>
      </c>
      <c r="M62" s="146" t="b">
        <v>0</v>
      </c>
    </row>
    <row r="63" spans="2:13">
      <c r="B63" s="349"/>
      <c r="C63" s="1216"/>
      <c r="D63" s="1092"/>
      <c r="E63" s="469"/>
      <c r="F63" s="1141"/>
      <c r="G63" s="470"/>
      <c r="H63" s="1138"/>
      <c r="I63" s="1139"/>
      <c r="J63" s="1140"/>
      <c r="K63" s="471"/>
    </row>
    <row r="64" spans="2:13">
      <c r="B64" s="175"/>
      <c r="C64" s="1213" t="s">
        <v>136</v>
      </c>
      <c r="D64" s="1217"/>
      <c r="E64" s="1217"/>
      <c r="F64" s="1231"/>
      <c r="G64" s="1215"/>
      <c r="H64" s="1135"/>
      <c r="I64" s="1136"/>
      <c r="J64" s="1137"/>
      <c r="K64" s="507" t="str">
        <f t="shared" si="3"/>
        <v/>
      </c>
      <c r="M64" s="146" t="b">
        <v>0</v>
      </c>
    </row>
    <row r="65" spans="2:13">
      <c r="B65" s="349"/>
      <c r="C65" s="1216"/>
      <c r="D65" s="1092"/>
      <c r="E65" s="469"/>
      <c r="F65" s="1141"/>
      <c r="G65" s="470"/>
      <c r="H65" s="1138"/>
      <c r="I65" s="1139"/>
      <c r="J65" s="1140"/>
      <c r="K65" s="471"/>
    </row>
    <row r="66" spans="2:13">
      <c r="B66" s="175"/>
      <c r="C66" s="1213" t="s">
        <v>458</v>
      </c>
      <c r="D66" s="1217"/>
      <c r="E66" s="1217"/>
      <c r="F66" s="1231"/>
      <c r="G66" s="1215"/>
      <c r="H66" s="1135"/>
      <c r="I66" s="1136"/>
      <c r="J66" s="1137"/>
      <c r="K66" s="507" t="str">
        <f t="shared" ref="K66" si="5">IF(M66,IF(J66&gt;0,H66*J66,0),"")</f>
        <v/>
      </c>
      <c r="M66" s="146" t="b">
        <v>0</v>
      </c>
    </row>
    <row r="67" spans="2:13">
      <c r="B67" s="349"/>
      <c r="C67" s="1216"/>
      <c r="D67" s="1092"/>
      <c r="E67" s="469"/>
      <c r="F67" s="1141"/>
      <c r="G67" s="470"/>
      <c r="H67" s="1138"/>
      <c r="I67" s="1139"/>
      <c r="J67" s="1140"/>
      <c r="K67" s="471"/>
    </row>
    <row r="68" spans="2:13">
      <c r="B68" s="175"/>
      <c r="C68" s="1213" t="s">
        <v>487</v>
      </c>
      <c r="D68" s="1217"/>
      <c r="E68" s="1217"/>
      <c r="F68" s="1231"/>
      <c r="G68" s="1215"/>
      <c r="H68" s="1135"/>
      <c r="I68" s="1136"/>
      <c r="J68" s="1137"/>
      <c r="K68" s="507" t="str">
        <f t="shared" si="3"/>
        <v/>
      </c>
      <c r="M68" s="146" t="b">
        <v>0</v>
      </c>
    </row>
    <row r="69" spans="2:13">
      <c r="B69" s="349"/>
      <c r="C69" s="1216"/>
      <c r="D69" s="1092"/>
      <c r="E69" s="469"/>
      <c r="F69" s="1141"/>
      <c r="G69" s="470"/>
      <c r="H69" s="1138"/>
      <c r="I69" s="1139"/>
      <c r="J69" s="1140"/>
      <c r="K69" s="471"/>
    </row>
    <row r="70" spans="2:13">
      <c r="B70" s="175"/>
      <c r="C70" s="1213" t="s">
        <v>488</v>
      </c>
      <c r="D70" s="1217"/>
      <c r="E70" s="1217"/>
      <c r="F70" s="1231"/>
      <c r="G70" s="1215"/>
      <c r="H70" s="1135"/>
      <c r="I70" s="1136"/>
      <c r="J70" s="1137"/>
      <c r="K70" s="507" t="str">
        <f t="shared" ref="K70" si="6">IF(M70,IF(J70&gt;0,H70*J70,0),"")</f>
        <v/>
      </c>
      <c r="M70" s="146" t="b">
        <v>0</v>
      </c>
    </row>
    <row r="71" spans="2:13">
      <c r="B71" s="349"/>
      <c r="C71" s="1216"/>
      <c r="D71" s="1092"/>
      <c r="E71" s="469"/>
      <c r="F71" s="1141"/>
      <c r="G71" s="470"/>
      <c r="H71" s="1138"/>
      <c r="I71" s="1139"/>
      <c r="J71" s="1140"/>
      <c r="K71" s="471"/>
    </row>
    <row r="72" spans="2:13">
      <c r="B72" s="175"/>
      <c r="C72" s="1213" t="s">
        <v>489</v>
      </c>
      <c r="D72" s="1217"/>
      <c r="E72" s="1217"/>
      <c r="F72" s="1231"/>
      <c r="G72" s="1215"/>
      <c r="H72" s="1135"/>
      <c r="I72" s="1136"/>
      <c r="J72" s="1137"/>
      <c r="K72" s="507" t="str">
        <f t="shared" si="3"/>
        <v/>
      </c>
      <c r="M72" s="146" t="b">
        <v>0</v>
      </c>
    </row>
    <row r="73" spans="2:13">
      <c r="B73" s="349"/>
      <c r="C73" s="1216"/>
      <c r="D73" s="1092"/>
      <c r="E73" s="469"/>
      <c r="F73" s="1141"/>
      <c r="G73" s="470"/>
      <c r="H73" s="1138"/>
      <c r="I73" s="1139"/>
      <c r="J73" s="1140"/>
      <c r="K73" s="471"/>
    </row>
    <row r="74" spans="2:13">
      <c r="B74" s="175"/>
      <c r="C74" s="1213" t="s">
        <v>490</v>
      </c>
      <c r="D74" s="1217"/>
      <c r="E74" s="1217"/>
      <c r="F74" s="1231"/>
      <c r="G74" s="1215"/>
      <c r="H74" s="1135"/>
      <c r="I74" s="1136"/>
      <c r="J74" s="1137"/>
      <c r="K74" s="507" t="str">
        <f t="shared" si="3"/>
        <v/>
      </c>
      <c r="M74" s="146" t="b">
        <v>0</v>
      </c>
    </row>
    <row r="75" spans="2:13">
      <c r="B75" s="349"/>
      <c r="C75" s="1216"/>
      <c r="D75" s="1092"/>
      <c r="E75" s="469"/>
      <c r="F75" s="1141"/>
      <c r="G75" s="470"/>
      <c r="H75" s="1138"/>
      <c r="I75" s="1139"/>
      <c r="J75" s="1140"/>
      <c r="K75" s="471"/>
    </row>
    <row r="76" spans="2:13">
      <c r="B76" s="175"/>
      <c r="C76" s="1213" t="s">
        <v>491</v>
      </c>
      <c r="D76" s="1217"/>
      <c r="E76" s="1217"/>
      <c r="F76" s="1231"/>
      <c r="G76" s="1215"/>
      <c r="H76" s="1135"/>
      <c r="I76" s="1136"/>
      <c r="J76" s="1137"/>
      <c r="K76" s="507" t="str">
        <f t="shared" ref="K76" si="7">IF(M76,IF(J76&gt;0,H76*J76,0),"")</f>
        <v/>
      </c>
      <c r="M76" s="146" t="b">
        <v>0</v>
      </c>
    </row>
    <row r="77" spans="2:13">
      <c r="B77" s="349"/>
      <c r="C77" s="1216"/>
      <c r="D77" s="1092"/>
      <c r="E77" s="469"/>
      <c r="F77" s="1141"/>
      <c r="G77" s="470"/>
      <c r="H77" s="1138"/>
      <c r="I77" s="1139"/>
      <c r="J77" s="1140"/>
      <c r="K77" s="471"/>
    </row>
    <row r="78" spans="2:13">
      <c r="B78" s="175"/>
      <c r="C78" s="1213" t="s">
        <v>492</v>
      </c>
      <c r="D78" s="1217"/>
      <c r="E78" s="1217"/>
      <c r="F78" s="1231"/>
      <c r="G78" s="1215"/>
      <c r="H78" s="1135"/>
      <c r="I78" s="1136"/>
      <c r="J78" s="1137"/>
      <c r="K78" s="507" t="str">
        <f t="shared" ref="K78" si="8">IF(M78,IF(J78&gt;0,H78*J78,0),"")</f>
        <v/>
      </c>
      <c r="M78" s="146" t="b">
        <v>0</v>
      </c>
    </row>
    <row r="79" spans="2:13" ht="17.3" thickBot="1">
      <c r="B79" s="349"/>
      <c r="C79" s="1216"/>
      <c r="D79" s="1092"/>
      <c r="E79" s="469"/>
      <c r="F79" s="1141"/>
      <c r="G79" s="470"/>
      <c r="H79" s="1138"/>
      <c r="I79" s="1139"/>
      <c r="J79" s="1140"/>
      <c r="K79" s="471"/>
    </row>
    <row r="80" spans="2:13" ht="22.5" customHeight="1" thickBot="1">
      <c r="B80" s="489"/>
      <c r="C80" s="490" t="s">
        <v>11</v>
      </c>
      <c r="D80" s="490"/>
      <c r="E80" s="490"/>
      <c r="F80" s="491"/>
      <c r="G80" s="492"/>
      <c r="H80" s="491"/>
      <c r="I80" s="491"/>
      <c r="J80" s="356" t="s">
        <v>1086</v>
      </c>
      <c r="K80" s="493" t="str">
        <f>IF(Projektgrundlagen!I21,IF(COUNT(K50:K78)&gt;0,SUM(K50:K78),""),0)</f>
        <v/>
      </c>
    </row>
    <row r="81" spans="2:13" ht="7.2" customHeight="1">
      <c r="B81" s="494"/>
      <c r="C81" s="485"/>
      <c r="D81" s="485"/>
      <c r="E81" s="485"/>
      <c r="F81" s="486"/>
      <c r="G81" s="487"/>
      <c r="H81" s="486"/>
      <c r="I81" s="486"/>
      <c r="J81" s="382"/>
      <c r="K81" s="495"/>
    </row>
    <row r="82" spans="2:13" ht="19.45" customHeight="1">
      <c r="B82" s="42" t="s">
        <v>286</v>
      </c>
      <c r="C82" s="43"/>
      <c r="D82" s="43"/>
      <c r="E82" s="43"/>
      <c r="F82" s="43"/>
      <c r="G82" s="43"/>
      <c r="H82" s="400"/>
      <c r="I82" s="400"/>
      <c r="J82" s="497"/>
      <c r="K82" s="498"/>
    </row>
    <row r="83" spans="2:13">
      <c r="B83" s="97"/>
      <c r="C83" s="1208" t="s">
        <v>59</v>
      </c>
      <c r="D83" s="1209"/>
      <c r="E83" s="1190"/>
      <c r="F83" s="1234" t="s">
        <v>1090</v>
      </c>
      <c r="G83" s="1211"/>
      <c r="H83" s="1135"/>
      <c r="I83" s="1136"/>
      <c r="J83" s="1137"/>
      <c r="K83" s="503" t="str">
        <f t="shared" ref="K83:K91" si="9">IF(M83,IF(J83&gt;0,H83*J83,0),"")</f>
        <v/>
      </c>
      <c r="M83" s="146" t="b">
        <v>0</v>
      </c>
    </row>
    <row r="84" spans="2:13">
      <c r="B84" s="349"/>
      <c r="C84" s="1212"/>
      <c r="D84" s="171"/>
      <c r="E84" s="148"/>
      <c r="F84" s="1014" t="s">
        <v>1089</v>
      </c>
      <c r="G84" s="478"/>
      <c r="H84" s="1138"/>
      <c r="I84" s="1139"/>
      <c r="J84" s="1140"/>
      <c r="K84" s="482"/>
    </row>
    <row r="85" spans="2:13">
      <c r="B85" s="175"/>
      <c r="C85" s="1213" t="s">
        <v>58</v>
      </c>
      <c r="D85" s="1217"/>
      <c r="E85" s="1217"/>
      <c r="F85" s="1231"/>
      <c r="G85" s="1215"/>
      <c r="H85" s="1135"/>
      <c r="I85" s="1136"/>
      <c r="J85" s="1137"/>
      <c r="K85" s="507" t="str">
        <f t="shared" si="9"/>
        <v/>
      </c>
      <c r="M85" s="146" t="b">
        <v>0</v>
      </c>
    </row>
    <row r="86" spans="2:13">
      <c r="B86" s="349"/>
      <c r="C86" s="1216"/>
      <c r="D86" s="1092"/>
      <c r="E86" s="469"/>
      <c r="F86" s="1141"/>
      <c r="G86" s="470"/>
      <c r="H86" s="1138"/>
      <c r="I86" s="1139"/>
      <c r="J86" s="1140"/>
      <c r="K86" s="471"/>
    </row>
    <row r="87" spans="2:13">
      <c r="B87" s="175"/>
      <c r="C87" s="1213" t="s">
        <v>137</v>
      </c>
      <c r="D87" s="1217"/>
      <c r="E87" s="1217"/>
      <c r="F87" s="1231"/>
      <c r="G87" s="1215"/>
      <c r="H87" s="1135"/>
      <c r="I87" s="1136"/>
      <c r="J87" s="1137"/>
      <c r="K87" s="507" t="str">
        <f t="shared" si="9"/>
        <v/>
      </c>
      <c r="M87" s="146" t="b">
        <v>0</v>
      </c>
    </row>
    <row r="88" spans="2:13">
      <c r="B88" s="349"/>
      <c r="C88" s="1216"/>
      <c r="D88" s="1092"/>
      <c r="E88" s="469"/>
      <c r="F88" s="1141"/>
      <c r="G88" s="470"/>
      <c r="H88" s="1138"/>
      <c r="I88" s="1139"/>
      <c r="J88" s="1140"/>
      <c r="K88" s="471"/>
    </row>
    <row r="89" spans="2:13">
      <c r="B89" s="175"/>
      <c r="C89" s="1213" t="s">
        <v>496</v>
      </c>
      <c r="D89" s="1217"/>
      <c r="E89" s="1217"/>
      <c r="F89" s="1231"/>
      <c r="G89" s="1215"/>
      <c r="H89" s="1135"/>
      <c r="I89" s="1136"/>
      <c r="J89" s="1137"/>
      <c r="K89" s="507" t="str">
        <f t="shared" ref="K89" si="10">IF(M89,IF(J89&gt;0,H89*J89,0),"")</f>
        <v/>
      </c>
      <c r="M89" s="146" t="b">
        <v>0</v>
      </c>
    </row>
    <row r="90" spans="2:13">
      <c r="B90" s="349"/>
      <c r="C90" s="1216"/>
      <c r="D90" s="1092"/>
      <c r="E90" s="469"/>
      <c r="F90" s="1141"/>
      <c r="G90" s="470"/>
      <c r="H90" s="1138"/>
      <c r="I90" s="1139"/>
      <c r="J90" s="1140"/>
      <c r="K90" s="471"/>
    </row>
    <row r="91" spans="2:13">
      <c r="B91" s="175"/>
      <c r="C91" s="1213" t="s">
        <v>497</v>
      </c>
      <c r="D91" s="1217"/>
      <c r="E91" s="1217"/>
      <c r="F91" s="1231"/>
      <c r="G91" s="1215"/>
      <c r="H91" s="1135"/>
      <c r="I91" s="1136"/>
      <c r="J91" s="1137"/>
      <c r="K91" s="507" t="str">
        <f t="shared" si="9"/>
        <v/>
      </c>
      <c r="M91" s="146" t="b">
        <v>0</v>
      </c>
    </row>
    <row r="92" spans="2:13" ht="17.3" thickBot="1">
      <c r="B92" s="349"/>
      <c r="C92" s="1216"/>
      <c r="D92" s="1092"/>
      <c r="E92" s="469"/>
      <c r="F92" s="1141"/>
      <c r="G92" s="470"/>
      <c r="H92" s="1138"/>
      <c r="I92" s="1139"/>
      <c r="J92" s="1140"/>
      <c r="K92" s="471"/>
    </row>
    <row r="93" spans="2:13" ht="22.5" customHeight="1" thickBot="1">
      <c r="B93" s="489"/>
      <c r="C93" s="490" t="s">
        <v>11</v>
      </c>
      <c r="D93" s="490"/>
      <c r="E93" s="490"/>
      <c r="F93" s="491"/>
      <c r="G93" s="492"/>
      <c r="H93" s="491"/>
      <c r="I93" s="491"/>
      <c r="J93" s="356" t="s">
        <v>1085</v>
      </c>
      <c r="K93" s="493" t="str">
        <f>IF(Projektgrundlagen!I21,IF(COUNT(K83:K91)&gt;0,SUM(K83:K91),""),0)</f>
        <v/>
      </c>
    </row>
    <row r="94" spans="2:13" ht="7.2" customHeight="1">
      <c r="B94" s="494"/>
      <c r="C94" s="485"/>
      <c r="D94" s="485"/>
      <c r="E94" s="485"/>
      <c r="F94" s="486"/>
      <c r="G94" s="487"/>
      <c r="H94" s="486"/>
      <c r="I94" s="486"/>
      <c r="J94" s="382"/>
      <c r="K94" s="495"/>
    </row>
    <row r="95" spans="2:13" ht="19.45" customHeight="1">
      <c r="B95" s="42" t="s">
        <v>287</v>
      </c>
      <c r="C95" s="43"/>
      <c r="D95" s="43"/>
      <c r="E95" s="43"/>
      <c r="F95" s="43"/>
      <c r="G95" s="43"/>
      <c r="H95" s="400"/>
      <c r="I95" s="400"/>
      <c r="J95" s="497"/>
      <c r="K95" s="498"/>
    </row>
    <row r="96" spans="2:13">
      <c r="B96" s="97"/>
      <c r="C96" s="1208" t="s">
        <v>57</v>
      </c>
      <c r="D96" s="1209"/>
      <c r="E96" s="1190"/>
      <c r="F96" s="1234" t="s">
        <v>56</v>
      </c>
      <c r="G96" s="1211"/>
      <c r="H96" s="1135"/>
      <c r="I96" s="1136"/>
      <c r="J96" s="1137"/>
      <c r="K96" s="503" t="str">
        <f t="shared" ref="K96:K104" si="11">IF(M96,IF(J96&gt;0,H96*J96,0),"")</f>
        <v/>
      </c>
      <c r="M96" s="146" t="b">
        <v>0</v>
      </c>
    </row>
    <row r="97" spans="2:13">
      <c r="B97" s="499"/>
      <c r="C97" s="1216"/>
      <c r="D97" s="1092"/>
      <c r="E97" s="1101"/>
      <c r="F97" s="1105"/>
      <c r="G97" s="470"/>
      <c r="H97" s="1138"/>
      <c r="I97" s="1139"/>
      <c r="J97" s="1140"/>
      <c r="K97" s="471"/>
    </row>
    <row r="98" spans="2:13">
      <c r="B98" s="500"/>
      <c r="C98" s="1213" t="s">
        <v>55</v>
      </c>
      <c r="D98" s="1184"/>
      <c r="E98" s="1193"/>
      <c r="F98" s="1232" t="s">
        <v>54</v>
      </c>
      <c r="G98" s="1215"/>
      <c r="H98" s="1135"/>
      <c r="I98" s="1136"/>
      <c r="J98" s="1137"/>
      <c r="K98" s="507" t="str">
        <f t="shared" si="11"/>
        <v/>
      </c>
      <c r="M98" s="146" t="b">
        <v>0</v>
      </c>
    </row>
    <row r="99" spans="2:13">
      <c r="B99" s="499"/>
      <c r="C99" s="1216"/>
      <c r="D99" s="1092"/>
      <c r="E99" s="1101"/>
      <c r="F99" s="1105"/>
      <c r="G99" s="470"/>
      <c r="H99" s="1138"/>
      <c r="I99" s="1139"/>
      <c r="J99" s="1140"/>
      <c r="K99" s="471"/>
    </row>
    <row r="100" spans="2:13">
      <c r="B100" s="500"/>
      <c r="C100" s="1213" t="s">
        <v>53</v>
      </c>
      <c r="D100" s="1184"/>
      <c r="E100" s="1193"/>
      <c r="F100" s="1232" t="s">
        <v>52</v>
      </c>
      <c r="G100" s="1215"/>
      <c r="H100" s="1135"/>
      <c r="I100" s="1136"/>
      <c r="J100" s="1137"/>
      <c r="K100" s="507" t="str">
        <f t="shared" si="11"/>
        <v/>
      </c>
      <c r="M100" s="146" t="b">
        <v>0</v>
      </c>
    </row>
    <row r="101" spans="2:13">
      <c r="B101" s="349"/>
      <c r="C101" s="1212"/>
      <c r="D101" s="171"/>
      <c r="E101" s="148"/>
      <c r="F101" s="1091"/>
      <c r="G101" s="478"/>
      <c r="H101" s="1138"/>
      <c r="I101" s="1139"/>
      <c r="J101" s="1140"/>
      <c r="K101" s="482"/>
    </row>
    <row r="102" spans="2:13">
      <c r="B102" s="175"/>
      <c r="C102" s="1213" t="s">
        <v>51</v>
      </c>
      <c r="D102" s="1217"/>
      <c r="E102" s="1217"/>
      <c r="F102" s="1231"/>
      <c r="G102" s="1215"/>
      <c r="H102" s="1135"/>
      <c r="I102" s="1136"/>
      <c r="J102" s="1137"/>
      <c r="K102" s="507" t="str">
        <f t="shared" si="11"/>
        <v/>
      </c>
      <c r="L102" s="170"/>
      <c r="M102" s="146" t="b">
        <v>0</v>
      </c>
    </row>
    <row r="103" spans="2:13">
      <c r="B103" s="349"/>
      <c r="C103" s="1216"/>
      <c r="D103" s="1092"/>
      <c r="E103" s="469"/>
      <c r="F103" s="1141"/>
      <c r="G103" s="470"/>
      <c r="H103" s="1138"/>
      <c r="I103" s="1139"/>
      <c r="J103" s="1140"/>
      <c r="K103" s="471"/>
    </row>
    <row r="104" spans="2:13">
      <c r="B104" s="175"/>
      <c r="C104" s="1213" t="s">
        <v>138</v>
      </c>
      <c r="D104" s="1217"/>
      <c r="E104" s="1217"/>
      <c r="F104" s="1231"/>
      <c r="G104" s="1215"/>
      <c r="H104" s="1135"/>
      <c r="I104" s="1136"/>
      <c r="J104" s="1137"/>
      <c r="K104" s="507" t="str">
        <f t="shared" si="11"/>
        <v/>
      </c>
      <c r="M104" s="146" t="b">
        <v>0</v>
      </c>
    </row>
    <row r="105" spans="2:13" ht="17.3" thickBot="1">
      <c r="B105" s="349"/>
      <c r="C105" s="1216"/>
      <c r="D105" s="1092"/>
      <c r="E105" s="469"/>
      <c r="F105" s="1141"/>
      <c r="G105" s="470"/>
      <c r="H105" s="1138"/>
      <c r="I105" s="1139"/>
      <c r="J105" s="1140"/>
      <c r="K105" s="471"/>
    </row>
    <row r="106" spans="2:13" ht="22.5" customHeight="1" thickBot="1">
      <c r="B106" s="489"/>
      <c r="C106" s="490" t="s">
        <v>11</v>
      </c>
      <c r="D106" s="490"/>
      <c r="E106" s="490"/>
      <c r="F106" s="491"/>
      <c r="G106" s="492"/>
      <c r="H106" s="491"/>
      <c r="I106" s="491"/>
      <c r="J106" s="356" t="s">
        <v>1084</v>
      </c>
      <c r="K106" s="493" t="str">
        <f>IF(Projektgrundlagen!I21,IF(COUNT(K96:K104)&gt;0,SUM(K96:K104),""),0)</f>
        <v/>
      </c>
    </row>
    <row r="107" spans="2:13" ht="7.2" customHeight="1">
      <c r="B107" s="494"/>
      <c r="C107" s="485"/>
      <c r="D107" s="485"/>
      <c r="E107" s="485"/>
      <c r="F107" s="486"/>
      <c r="G107" s="487"/>
      <c r="H107" s="486"/>
      <c r="I107" s="486"/>
      <c r="J107" s="382"/>
      <c r="K107" s="495"/>
    </row>
    <row r="108" spans="2:13" ht="19.45" customHeight="1">
      <c r="B108" s="42" t="s">
        <v>288</v>
      </c>
      <c r="C108" s="43"/>
      <c r="D108" s="43"/>
      <c r="E108" s="43"/>
      <c r="F108" s="43"/>
      <c r="G108" s="43"/>
      <c r="H108" s="400"/>
      <c r="I108" s="400"/>
      <c r="J108" s="497"/>
      <c r="K108" s="498"/>
    </row>
    <row r="109" spans="2:13">
      <c r="B109" s="97"/>
      <c r="C109" s="1208" t="s">
        <v>50</v>
      </c>
      <c r="D109" s="1209"/>
      <c r="E109" s="1190"/>
      <c r="F109" s="1234" t="s">
        <v>687</v>
      </c>
      <c r="G109" s="1211"/>
      <c r="H109" s="1135"/>
      <c r="I109" s="1136"/>
      <c r="J109" s="1137"/>
      <c r="K109" s="503" t="str">
        <f t="shared" ref="K109:K113" si="12">IF(M109,IF(J109&gt;0,H109*J109,0),"")</f>
        <v/>
      </c>
      <c r="M109" s="146" t="b">
        <v>0</v>
      </c>
    </row>
    <row r="110" spans="2:13">
      <c r="B110" s="499"/>
      <c r="C110" s="1216"/>
      <c r="D110" s="1092"/>
      <c r="E110" s="1101"/>
      <c r="F110" s="1056" t="s">
        <v>1093</v>
      </c>
      <c r="G110" s="470"/>
      <c r="H110" s="1138"/>
      <c r="I110" s="1139"/>
      <c r="J110" s="1140"/>
      <c r="K110" s="471"/>
    </row>
    <row r="111" spans="2:13">
      <c r="B111" s="175"/>
      <c r="C111" s="1213" t="s">
        <v>49</v>
      </c>
      <c r="D111" s="1217"/>
      <c r="E111" s="1217"/>
      <c r="F111" s="1231"/>
      <c r="G111" s="1215"/>
      <c r="H111" s="1135"/>
      <c r="I111" s="1136"/>
      <c r="J111" s="1137"/>
      <c r="K111" s="507" t="str">
        <f t="shared" si="12"/>
        <v/>
      </c>
      <c r="M111" s="146" t="b">
        <v>0</v>
      </c>
    </row>
    <row r="112" spans="2:13">
      <c r="B112" s="349"/>
      <c r="C112" s="1216"/>
      <c r="D112" s="1092"/>
      <c r="E112" s="469"/>
      <c r="F112" s="1141"/>
      <c r="G112" s="470"/>
      <c r="H112" s="1138"/>
      <c r="I112" s="1139"/>
      <c r="J112" s="1140"/>
      <c r="K112" s="471"/>
    </row>
    <row r="113" spans="2:13">
      <c r="B113" s="175"/>
      <c r="C113" s="1213" t="s">
        <v>139</v>
      </c>
      <c r="D113" s="1217"/>
      <c r="E113" s="1217"/>
      <c r="F113" s="1231"/>
      <c r="G113" s="1215"/>
      <c r="H113" s="1135"/>
      <c r="I113" s="1136"/>
      <c r="J113" s="1137"/>
      <c r="K113" s="507" t="str">
        <f t="shared" si="12"/>
        <v/>
      </c>
      <c r="M113" s="146" t="b">
        <v>0</v>
      </c>
    </row>
    <row r="114" spans="2:13" ht="17.3" thickBot="1">
      <c r="B114" s="349"/>
      <c r="C114" s="1216"/>
      <c r="D114" s="1092"/>
      <c r="E114" s="469"/>
      <c r="F114" s="1141"/>
      <c r="G114" s="470"/>
      <c r="H114" s="1138"/>
      <c r="I114" s="1139"/>
      <c r="J114" s="1140"/>
      <c r="K114" s="471"/>
    </row>
    <row r="115" spans="2:13" ht="22.5" customHeight="1" thickBot="1">
      <c r="B115" s="489"/>
      <c r="C115" s="490" t="s">
        <v>11</v>
      </c>
      <c r="D115" s="490"/>
      <c r="E115" s="490"/>
      <c r="F115" s="491"/>
      <c r="G115" s="492"/>
      <c r="H115" s="491"/>
      <c r="I115" s="491"/>
      <c r="J115" s="356" t="s">
        <v>1083</v>
      </c>
      <c r="K115" s="493" t="str">
        <f>IF(Projektgrundlagen!I21,IF(COUNT(K109:K113)&gt;0,SUM(K109:K113),""),0)</f>
        <v/>
      </c>
    </row>
    <row r="116" spans="2:13" ht="7.2" customHeight="1">
      <c r="B116" s="494"/>
      <c r="C116" s="485"/>
      <c r="D116" s="485"/>
      <c r="E116" s="485"/>
      <c r="F116" s="486"/>
      <c r="G116" s="487"/>
      <c r="H116" s="486"/>
      <c r="I116" s="486"/>
      <c r="J116" s="382"/>
      <c r="K116" s="495"/>
    </row>
    <row r="117" spans="2:13" ht="19.45" customHeight="1">
      <c r="B117" s="42" t="s">
        <v>289</v>
      </c>
      <c r="C117" s="43"/>
      <c r="D117" s="43"/>
      <c r="E117" s="43"/>
      <c r="F117" s="43"/>
      <c r="G117" s="43"/>
      <c r="H117" s="400"/>
      <c r="I117" s="400"/>
      <c r="J117" s="497"/>
      <c r="K117" s="498"/>
    </row>
    <row r="118" spans="2:13">
      <c r="B118" s="97"/>
      <c r="C118" s="1208" t="s">
        <v>48</v>
      </c>
      <c r="D118" s="1209"/>
      <c r="E118" s="1190"/>
      <c r="F118" s="1234" t="s">
        <v>47</v>
      </c>
      <c r="G118" s="1211"/>
      <c r="H118" s="1135"/>
      <c r="I118" s="1136"/>
      <c r="J118" s="1137"/>
      <c r="K118" s="503" t="str">
        <f t="shared" ref="K118:K122" si="13">IF(M118,IF(J118&gt;0,H118*J118,0),"")</f>
        <v/>
      </c>
      <c r="M118" s="146" t="b">
        <v>0</v>
      </c>
    </row>
    <row r="119" spans="2:13">
      <c r="B119" s="499"/>
      <c r="C119" s="1216"/>
      <c r="D119" s="1092"/>
      <c r="E119" s="1101"/>
      <c r="F119" s="1056"/>
      <c r="G119" s="470"/>
      <c r="H119" s="1138"/>
      <c r="I119" s="1139"/>
      <c r="J119" s="1140"/>
      <c r="K119" s="471"/>
    </row>
    <row r="120" spans="2:13">
      <c r="B120" s="175"/>
      <c r="C120" s="1213" t="s">
        <v>46</v>
      </c>
      <c r="D120" s="1217"/>
      <c r="E120" s="1217"/>
      <c r="F120" s="1231"/>
      <c r="G120" s="1215"/>
      <c r="H120" s="1135"/>
      <c r="I120" s="1136"/>
      <c r="J120" s="1137"/>
      <c r="K120" s="507" t="str">
        <f t="shared" si="13"/>
        <v/>
      </c>
      <c r="M120" s="146" t="b">
        <v>0</v>
      </c>
    </row>
    <row r="121" spans="2:13">
      <c r="B121" s="349"/>
      <c r="C121" s="1216"/>
      <c r="D121" s="1092"/>
      <c r="E121" s="469"/>
      <c r="F121" s="1141"/>
      <c r="G121" s="470"/>
      <c r="H121" s="1138"/>
      <c r="I121" s="1139"/>
      <c r="J121" s="1140"/>
      <c r="K121" s="471"/>
    </row>
    <row r="122" spans="2:13">
      <c r="B122" s="175"/>
      <c r="C122" s="1213" t="s">
        <v>140</v>
      </c>
      <c r="D122" s="1217"/>
      <c r="E122" s="1217"/>
      <c r="F122" s="1231"/>
      <c r="G122" s="1215"/>
      <c r="H122" s="1135"/>
      <c r="I122" s="1136"/>
      <c r="J122" s="1137"/>
      <c r="K122" s="507" t="str">
        <f t="shared" si="13"/>
        <v/>
      </c>
      <c r="M122" s="146" t="b">
        <v>0</v>
      </c>
    </row>
    <row r="123" spans="2:13" ht="17.3" thickBot="1">
      <c r="B123" s="349"/>
      <c r="C123" s="1216"/>
      <c r="D123" s="1092"/>
      <c r="E123" s="469"/>
      <c r="F123" s="1141"/>
      <c r="G123" s="470"/>
      <c r="H123" s="1138"/>
      <c r="I123" s="1139"/>
      <c r="J123" s="1140"/>
      <c r="K123" s="471"/>
    </row>
    <row r="124" spans="2:13" ht="22.5" customHeight="1" thickBot="1">
      <c r="B124" s="489"/>
      <c r="C124" s="490" t="s">
        <v>11</v>
      </c>
      <c r="D124" s="490"/>
      <c r="E124" s="490"/>
      <c r="F124" s="491"/>
      <c r="G124" s="492"/>
      <c r="H124" s="491"/>
      <c r="I124" s="491"/>
      <c r="J124" s="356" t="s">
        <v>1082</v>
      </c>
      <c r="K124" s="493" t="str">
        <f>IF(Projektgrundlagen!I21,IF(Projektgrundlagen!I21,IF(COUNT(K118:K122),SUM(K118:K122),""),0),0)</f>
        <v/>
      </c>
    </row>
    <row r="125" spans="2:13" ht="7.2" customHeight="1">
      <c r="B125" s="494"/>
      <c r="C125" s="485"/>
      <c r="D125" s="485"/>
      <c r="E125" s="485"/>
      <c r="F125" s="486"/>
      <c r="G125" s="487"/>
      <c r="H125" s="486"/>
      <c r="I125" s="486"/>
      <c r="J125" s="382"/>
      <c r="K125" s="495"/>
    </row>
    <row r="126" spans="2:13" ht="19.45" customHeight="1">
      <c r="B126" s="42" t="s">
        <v>292</v>
      </c>
      <c r="C126" s="43"/>
      <c r="D126" s="43"/>
      <c r="E126" s="43"/>
      <c r="F126" s="43"/>
      <c r="G126" s="43"/>
      <c r="H126" s="400"/>
      <c r="I126" s="400"/>
      <c r="J126" s="497"/>
      <c r="K126" s="498"/>
    </row>
    <row r="127" spans="2:13" ht="16.600000000000001" customHeight="1">
      <c r="B127" s="97"/>
      <c r="C127" s="1208" t="s">
        <v>45</v>
      </c>
      <c r="D127" s="1209"/>
      <c r="E127" s="1190"/>
      <c r="F127" s="1234" t="s">
        <v>290</v>
      </c>
      <c r="G127" s="1211"/>
      <c r="H127" s="1135"/>
      <c r="I127" s="1136"/>
      <c r="J127" s="1137"/>
      <c r="K127" s="503" t="str">
        <f>IF(M127,IF(J127&gt;0,H127*J127,0),"")</f>
        <v/>
      </c>
      <c r="M127" s="146" t="b">
        <v>0</v>
      </c>
    </row>
    <row r="128" spans="2:13" ht="125.3" customHeight="1">
      <c r="B128" s="501"/>
      <c r="C128" s="1212"/>
      <c r="D128" s="171"/>
      <c r="E128" s="1410" t="s">
        <v>370</v>
      </c>
      <c r="F128" s="1410"/>
      <c r="G128" s="1410"/>
      <c r="H128" s="1142"/>
      <c r="I128" s="1143"/>
      <c r="J128" s="1144"/>
      <c r="K128" s="502"/>
    </row>
    <row r="129" spans="1:13" s="152" customFormat="1">
      <c r="A129" s="1047"/>
      <c r="B129" s="349"/>
      <c r="C129" s="1216"/>
      <c r="D129" s="1092"/>
      <c r="E129" s="469"/>
      <c r="F129" s="1088"/>
      <c r="G129" s="470"/>
      <c r="H129" s="556"/>
      <c r="I129" s="557"/>
      <c r="J129" s="558"/>
      <c r="K129" s="471"/>
      <c r="M129" s="153"/>
    </row>
    <row r="130" spans="1:13" ht="16.600000000000001" customHeight="1">
      <c r="B130" s="97"/>
      <c r="C130" s="1220" t="s">
        <v>131</v>
      </c>
      <c r="D130" s="1221"/>
      <c r="E130" s="1193"/>
      <c r="F130" s="1232" t="s">
        <v>291</v>
      </c>
      <c r="G130" s="1215"/>
      <c r="H130" s="504"/>
      <c r="I130" s="505"/>
      <c r="J130" s="506"/>
      <c r="K130" s="507">
        <f>IF(M130,IF(OR(COUNTIF(M132:M134,TRUE)&lt;1,COUNTIF(M132:M134,TRUE)&gt;1),"",IF(M132,IF(AND(G132&gt;0%,G132&lt;=100%),G133*G132,0),IF(M134,H134*J134,0))),"")</f>
        <v>0</v>
      </c>
      <c r="L130" s="179"/>
      <c r="M130" s="146" t="b">
        <v>1</v>
      </c>
    </row>
    <row r="131" spans="1:13">
      <c r="B131" s="501"/>
      <c r="C131" s="191"/>
      <c r="D131" s="512"/>
      <c r="E131" s="191"/>
      <c r="F131" s="1081"/>
      <c r="G131" s="1115"/>
      <c r="H131" s="510"/>
      <c r="I131" s="510"/>
      <c r="J131" s="510"/>
      <c r="K131" s="502"/>
      <c r="L131" s="179"/>
    </row>
    <row r="132" spans="1:13">
      <c r="A132" s="228" t="str">
        <f>IF(AND(M130,COUNTIF($M$132:$M$134,TRUE)&lt;&gt;1),"è","")</f>
        <v/>
      </c>
      <c r="B132" s="508"/>
      <c r="C132" s="191"/>
      <c r="D132" s="511"/>
      <c r="E132" s="191"/>
      <c r="F132" s="1106" t="s">
        <v>405</v>
      </c>
      <c r="G132" s="520"/>
      <c r="H132" s="559"/>
      <c r="I132" s="559"/>
      <c r="J132" s="559"/>
      <c r="K132" s="513"/>
      <c r="L132" s="179"/>
      <c r="M132" s="146" t="b">
        <v>1</v>
      </c>
    </row>
    <row r="133" spans="1:13">
      <c r="B133" s="501"/>
      <c r="C133" s="191"/>
      <c r="D133" s="512"/>
      <c r="E133" s="191"/>
      <c r="F133" s="1155" t="s">
        <v>1059</v>
      </c>
      <c r="G133" s="1107">
        <f>'A anrechb Kosten'!G77</f>
        <v>2400000</v>
      </c>
      <c r="H133" s="560" t="str">
        <f>IF(AND(M130,M133,G132&gt;100),"Höchstsatz 100 v.H.!","")</f>
        <v/>
      </c>
      <c r="I133" s="559"/>
      <c r="J133" s="559"/>
      <c r="K133" s="513"/>
      <c r="L133" s="179"/>
    </row>
    <row r="134" spans="1:13">
      <c r="A134" s="228" t="str">
        <f>IF(AND(M130,COUNTIF($M$132:$M$134,TRUE)&lt;&gt;1),"è","")</f>
        <v/>
      </c>
      <c r="B134" s="509"/>
      <c r="C134" s="191"/>
      <c r="D134" s="511"/>
      <c r="E134" s="191"/>
      <c r="F134" s="1108" t="s">
        <v>1095</v>
      </c>
      <c r="G134" s="193"/>
      <c r="H134" s="479"/>
      <c r="I134" s="480"/>
      <c r="J134" s="481"/>
      <c r="K134" s="518"/>
      <c r="L134" s="516"/>
      <c r="M134" s="146" t="b">
        <v>0</v>
      </c>
    </row>
    <row r="135" spans="1:13">
      <c r="B135" s="501"/>
      <c r="C135" s="191"/>
      <c r="D135" s="517"/>
      <c r="E135" s="192"/>
      <c r="F135" s="1108" t="s">
        <v>1094</v>
      </c>
      <c r="G135" s="515"/>
      <c r="H135" s="510"/>
      <c r="I135" s="510"/>
      <c r="J135" s="510"/>
      <c r="K135" s="519"/>
      <c r="L135" s="179"/>
    </row>
    <row r="136" spans="1:13" ht="12.85" customHeight="1">
      <c r="B136" s="501"/>
      <c r="C136" s="191"/>
      <c r="D136" s="1222"/>
      <c r="E136" s="1493" t="s">
        <v>424</v>
      </c>
      <c r="F136" s="1493"/>
      <c r="G136" s="1494"/>
      <c r="H136" s="510"/>
      <c r="I136" s="510"/>
      <c r="J136" s="510"/>
      <c r="K136" s="519"/>
      <c r="L136" s="179"/>
    </row>
    <row r="137" spans="1:13" ht="38.299999999999997" customHeight="1">
      <c r="B137" s="501"/>
      <c r="C137" s="191"/>
      <c r="D137" s="1222"/>
      <c r="E137" s="1160" t="s">
        <v>98</v>
      </c>
      <c r="F137" s="1492" t="s">
        <v>1096</v>
      </c>
      <c r="G137" s="1495"/>
      <c r="H137" s="510"/>
      <c r="I137" s="510"/>
      <c r="J137" s="510"/>
      <c r="K137" s="519"/>
      <c r="L137" s="179"/>
    </row>
    <row r="138" spans="1:13" ht="25.5" customHeight="1">
      <c r="B138" s="501"/>
      <c r="C138" s="191"/>
      <c r="D138" s="1222"/>
      <c r="E138" s="1160" t="s">
        <v>98</v>
      </c>
      <c r="F138" s="1492" t="s">
        <v>302</v>
      </c>
      <c r="G138" s="1495"/>
      <c r="H138" s="510"/>
      <c r="I138" s="510"/>
      <c r="J138" s="510"/>
      <c r="K138" s="519"/>
      <c r="L138" s="179"/>
    </row>
    <row r="139" spans="1:13" ht="12.85" customHeight="1">
      <c r="B139" s="501"/>
      <c r="C139" s="191"/>
      <c r="D139" s="1222"/>
      <c r="E139" s="1160" t="s">
        <v>98</v>
      </c>
      <c r="F139" s="1498" t="s">
        <v>295</v>
      </c>
      <c r="G139" s="1499"/>
      <c r="H139" s="510"/>
      <c r="I139" s="510"/>
      <c r="J139" s="510"/>
      <c r="K139" s="519"/>
      <c r="L139" s="179"/>
    </row>
    <row r="140" spans="1:13" ht="25.5" customHeight="1">
      <c r="B140" s="501"/>
      <c r="C140" s="191"/>
      <c r="D140" s="1222"/>
      <c r="E140" s="1160" t="s">
        <v>98</v>
      </c>
      <c r="F140" s="1492" t="s">
        <v>296</v>
      </c>
      <c r="G140" s="1495"/>
      <c r="H140" s="510"/>
      <c r="I140" s="510"/>
      <c r="J140" s="510"/>
      <c r="K140" s="519"/>
      <c r="L140" s="179"/>
    </row>
    <row r="141" spans="1:13" ht="12.85" customHeight="1">
      <c r="B141" s="501"/>
      <c r="C141" s="191"/>
      <c r="D141" s="1222"/>
      <c r="E141" s="1160" t="s">
        <v>98</v>
      </c>
      <c r="F141" s="1498" t="s">
        <v>297</v>
      </c>
      <c r="G141" s="1499"/>
      <c r="H141" s="510"/>
      <c r="I141" s="510"/>
      <c r="J141" s="510"/>
      <c r="K141" s="519"/>
      <c r="L141" s="179"/>
    </row>
    <row r="142" spans="1:13" ht="25.5" customHeight="1">
      <c r="B142" s="501"/>
      <c r="C142" s="191"/>
      <c r="D142" s="1222"/>
      <c r="E142" s="1160" t="s">
        <v>98</v>
      </c>
      <c r="F142" s="1492" t="s">
        <v>412</v>
      </c>
      <c r="G142" s="1495"/>
      <c r="H142" s="510"/>
      <c r="I142" s="510"/>
      <c r="J142" s="510"/>
      <c r="K142" s="519"/>
      <c r="L142" s="179"/>
    </row>
    <row r="143" spans="1:13" ht="12.85" customHeight="1">
      <c r="B143" s="501"/>
      <c r="C143" s="191"/>
      <c r="D143" s="1222"/>
      <c r="E143" s="1160" t="s">
        <v>98</v>
      </c>
      <c r="F143" s="1498" t="s">
        <v>298</v>
      </c>
      <c r="G143" s="1499"/>
      <c r="H143" s="510"/>
      <c r="I143" s="510"/>
      <c r="J143" s="510"/>
      <c r="K143" s="519"/>
      <c r="L143" s="179"/>
    </row>
    <row r="144" spans="1:13" ht="14.25" customHeight="1">
      <c r="B144" s="349"/>
      <c r="C144" s="1216"/>
      <c r="D144" s="1223"/>
      <c r="E144" s="1109" t="s">
        <v>98</v>
      </c>
      <c r="F144" s="1110"/>
      <c r="G144" s="1111"/>
      <c r="H144" s="556"/>
      <c r="I144" s="557"/>
      <c r="J144" s="558"/>
      <c r="K144" s="471"/>
      <c r="L144" s="179"/>
    </row>
    <row r="145" spans="1:13">
      <c r="B145" s="97"/>
      <c r="C145" s="1213" t="s">
        <v>44</v>
      </c>
      <c r="D145" s="1184"/>
      <c r="E145" s="1193"/>
      <c r="F145" s="1232" t="s">
        <v>43</v>
      </c>
      <c r="G145" s="1215"/>
      <c r="H145" s="1135"/>
      <c r="I145" s="1136"/>
      <c r="J145" s="1137"/>
      <c r="K145" s="507" t="str">
        <f t="shared" ref="K145:K147" si="14">IF(M145,IF(J145&gt;0,H145*J145,0),"")</f>
        <v/>
      </c>
      <c r="M145" s="146" t="b">
        <v>0</v>
      </c>
    </row>
    <row r="146" spans="1:13">
      <c r="B146" s="349"/>
      <c r="C146" s="1216"/>
      <c r="D146" s="1092"/>
      <c r="E146" s="1101"/>
      <c r="F146" s="1056"/>
      <c r="G146" s="470"/>
      <c r="H146" s="1138"/>
      <c r="I146" s="1139"/>
      <c r="J146" s="1140"/>
      <c r="K146" s="471"/>
    </row>
    <row r="147" spans="1:13" ht="16.600000000000001" customHeight="1">
      <c r="B147" s="97"/>
      <c r="C147" s="1213" t="s">
        <v>42</v>
      </c>
      <c r="D147" s="1184"/>
      <c r="E147" s="1193"/>
      <c r="F147" s="1232" t="s">
        <v>299</v>
      </c>
      <c r="G147" s="1215"/>
      <c r="H147" s="1135">
        <v>1</v>
      </c>
      <c r="I147" s="1136" t="s">
        <v>1228</v>
      </c>
      <c r="J147" s="1137"/>
      <c r="K147" s="507">
        <f t="shared" si="14"/>
        <v>0</v>
      </c>
      <c r="M147" s="146" t="b">
        <v>1</v>
      </c>
    </row>
    <row r="148" spans="1:13">
      <c r="B148" s="349"/>
      <c r="C148" s="1212"/>
      <c r="D148" s="171"/>
      <c r="E148" s="148"/>
      <c r="F148" s="1081"/>
      <c r="G148" s="478"/>
      <c r="H148" s="1142"/>
      <c r="I148" s="1143"/>
      <c r="J148" s="1144"/>
      <c r="K148" s="482"/>
    </row>
    <row r="149" spans="1:13" ht="27.8" customHeight="1">
      <c r="B149" s="501"/>
      <c r="C149" s="191"/>
      <c r="D149" s="1224"/>
      <c r="E149" s="1500" t="s">
        <v>300</v>
      </c>
      <c r="F149" s="1500"/>
      <c r="G149" s="1501"/>
      <c r="H149" s="510"/>
      <c r="I149" s="510"/>
      <c r="J149" s="510"/>
      <c r="K149" s="519"/>
      <c r="L149" s="179"/>
    </row>
    <row r="150" spans="1:13">
      <c r="B150" s="349"/>
      <c r="C150" s="1212"/>
      <c r="D150" s="171"/>
      <c r="E150" s="38" t="s">
        <v>98</v>
      </c>
      <c r="F150" s="488"/>
      <c r="G150" s="478"/>
      <c r="H150" s="553"/>
      <c r="I150" s="554"/>
      <c r="J150" s="555"/>
      <c r="K150" s="482"/>
      <c r="L150" s="179"/>
    </row>
    <row r="151" spans="1:13">
      <c r="B151" s="349"/>
      <c r="C151" s="1216"/>
      <c r="D151" s="1092"/>
      <c r="E151" s="535" t="s">
        <v>98</v>
      </c>
      <c r="F151" s="483"/>
      <c r="G151" s="470"/>
      <c r="H151" s="556"/>
      <c r="I151" s="557"/>
      <c r="J151" s="558"/>
      <c r="K151" s="471"/>
      <c r="L151" s="179"/>
    </row>
    <row r="152" spans="1:13" ht="16.600000000000001" customHeight="1">
      <c r="B152" s="97"/>
      <c r="C152" s="1220" t="s">
        <v>130</v>
      </c>
      <c r="D152" s="1221"/>
      <c r="E152" s="1193"/>
      <c r="F152" s="1233" t="s">
        <v>425</v>
      </c>
      <c r="G152" s="1215"/>
      <c r="H152" s="561"/>
      <c r="I152" s="562"/>
      <c r="J152" s="563"/>
      <c r="K152" s="507">
        <f>IF(M152,IF(OR(COUNTIF(M154:M156,TRUE)&lt;1,COUNTIF(M154:M156,TRUE)&gt;1),"",IF(M154,IF(AND(G154&gt;0%,G154&lt;=100%),G155*G154,0),IF(M156,H156*J156,0))),"")</f>
        <v>0</v>
      </c>
      <c r="M152" s="146" t="b">
        <v>1</v>
      </c>
    </row>
    <row r="153" spans="1:13">
      <c r="B153" s="501"/>
      <c r="C153" s="191"/>
      <c r="D153" s="512"/>
      <c r="E153" s="191"/>
      <c r="F153" s="1091"/>
      <c r="G153" s="1115"/>
      <c r="H153" s="510"/>
      <c r="I153" s="510"/>
      <c r="J153" s="510"/>
      <c r="K153" s="502"/>
    </row>
    <row r="154" spans="1:13">
      <c r="A154" s="228" t="str">
        <f>IF(AND(M152,COUNTIF(M154:M156,TRUE)&lt;&gt;1),"è","")</f>
        <v/>
      </c>
      <c r="B154" s="508"/>
      <c r="C154" s="191"/>
      <c r="D154" s="511"/>
      <c r="E154" s="191"/>
      <c r="F154" s="1106" t="s">
        <v>405</v>
      </c>
      <c r="G154" s="520"/>
      <c r="H154" s="510"/>
      <c r="I154" s="510"/>
      <c r="J154" s="510"/>
      <c r="K154" s="513"/>
      <c r="L154" s="179"/>
      <c r="M154" s="146" t="b">
        <v>1</v>
      </c>
    </row>
    <row r="155" spans="1:13">
      <c r="B155" s="501"/>
      <c r="C155" s="191"/>
      <c r="D155" s="512"/>
      <c r="E155" s="191"/>
      <c r="F155" s="1155" t="s">
        <v>1059</v>
      </c>
      <c r="G155" s="1107">
        <f>'A anrechb Kosten'!G77</f>
        <v>2400000</v>
      </c>
      <c r="H155" s="514" t="str">
        <f>IF(AND(M152,M155,G154&gt;100),"Höchstsatz 100 v.H.!","")</f>
        <v/>
      </c>
      <c r="I155" s="510"/>
      <c r="J155" s="510"/>
      <c r="K155" s="513"/>
      <c r="L155" s="179"/>
    </row>
    <row r="156" spans="1:13">
      <c r="A156" s="228" t="str">
        <f>IF(AND(M152,COUNTIF(M154:M156,TRUE)&lt;&gt;1),"è","")</f>
        <v/>
      </c>
      <c r="B156" s="509"/>
      <c r="C156" s="191"/>
      <c r="D156" s="511"/>
      <c r="E156" s="191"/>
      <c r="F156" s="1108" t="s">
        <v>1097</v>
      </c>
      <c r="G156" s="193"/>
      <c r="H156" s="479"/>
      <c r="I156" s="480"/>
      <c r="J156" s="481"/>
      <c r="K156" s="518"/>
      <c r="L156" s="179"/>
      <c r="M156" s="146" t="b">
        <v>0</v>
      </c>
    </row>
    <row r="157" spans="1:13" s="167" customFormat="1">
      <c r="A157" s="1048"/>
      <c r="B157" s="521"/>
      <c r="C157" s="1225"/>
      <c r="D157" s="1226"/>
      <c r="E157" s="267"/>
      <c r="F157" s="1108" t="s">
        <v>1098</v>
      </c>
      <c r="G157" s="1112"/>
      <c r="H157" s="510"/>
      <c r="I157" s="510"/>
      <c r="J157" s="510"/>
      <c r="K157" s="519"/>
      <c r="L157" s="522"/>
      <c r="M157" s="147"/>
    </row>
    <row r="158" spans="1:13" ht="77.2" customHeight="1">
      <c r="B158" s="501"/>
      <c r="C158" s="191"/>
      <c r="D158" s="517"/>
      <c r="E158" s="1500" t="s">
        <v>455</v>
      </c>
      <c r="F158" s="1500"/>
      <c r="G158" s="1501"/>
      <c r="H158" s="510"/>
      <c r="I158" s="510"/>
      <c r="J158" s="510"/>
      <c r="K158" s="519"/>
      <c r="L158" s="179"/>
    </row>
    <row r="159" spans="1:13" ht="25.2" customHeight="1">
      <c r="B159" s="501"/>
      <c r="C159" s="191"/>
      <c r="D159" s="517"/>
      <c r="E159" s="1500" t="s">
        <v>426</v>
      </c>
      <c r="F159" s="1500"/>
      <c r="G159" s="1501"/>
      <c r="H159" s="510"/>
      <c r="I159" s="510"/>
      <c r="J159" s="510"/>
      <c r="K159" s="519"/>
      <c r="L159" s="179"/>
    </row>
    <row r="160" spans="1:13" s="167" customFormat="1" ht="12.85" customHeight="1">
      <c r="A160" s="1048"/>
      <c r="B160" s="521"/>
      <c r="C160" s="1225"/>
      <c r="D160" s="1226"/>
      <c r="E160" s="1154" t="s">
        <v>98</v>
      </c>
      <c r="F160" s="1492" t="s">
        <v>427</v>
      </c>
      <c r="G160" s="1492"/>
      <c r="H160" s="510"/>
      <c r="I160" s="510"/>
      <c r="J160" s="510"/>
      <c r="K160" s="519"/>
      <c r="L160" s="522"/>
      <c r="M160" s="147"/>
    </row>
    <row r="161" spans="1:13" s="167" customFormat="1" ht="27.1" customHeight="1">
      <c r="A161" s="1048"/>
      <c r="B161" s="521"/>
      <c r="C161" s="1225"/>
      <c r="D161" s="1226"/>
      <c r="E161" s="1154" t="s">
        <v>98</v>
      </c>
      <c r="F161" s="1492" t="s">
        <v>301</v>
      </c>
      <c r="G161" s="1492"/>
      <c r="H161" s="510"/>
      <c r="I161" s="510"/>
      <c r="J161" s="510"/>
      <c r="K161" s="519"/>
      <c r="L161" s="522"/>
      <c r="M161" s="147"/>
    </row>
    <row r="162" spans="1:13" ht="37.450000000000003" customHeight="1">
      <c r="B162" s="501"/>
      <c r="C162" s="191"/>
      <c r="D162" s="1224"/>
      <c r="E162" s="1160" t="s">
        <v>98</v>
      </c>
      <c r="F162" s="1492" t="s">
        <v>428</v>
      </c>
      <c r="G162" s="1492"/>
      <c r="H162" s="510"/>
      <c r="I162" s="510"/>
      <c r="J162" s="510"/>
      <c r="K162" s="519"/>
      <c r="L162" s="179"/>
    </row>
    <row r="163" spans="1:13" ht="51" customHeight="1">
      <c r="B163" s="501"/>
      <c r="C163" s="191"/>
      <c r="D163" s="1224"/>
      <c r="E163" s="1160" t="s">
        <v>98</v>
      </c>
      <c r="F163" s="1492" t="s">
        <v>463</v>
      </c>
      <c r="G163" s="1495"/>
      <c r="H163" s="510"/>
      <c r="I163" s="510"/>
      <c r="J163" s="510"/>
      <c r="K163" s="519"/>
      <c r="L163" s="179"/>
    </row>
    <row r="164" spans="1:13" ht="78.8" customHeight="1">
      <c r="B164" s="501"/>
      <c r="C164" s="191"/>
      <c r="D164" s="1224"/>
      <c r="E164" s="1160" t="s">
        <v>98</v>
      </c>
      <c r="F164" s="1492" t="s">
        <v>1099</v>
      </c>
      <c r="G164" s="1495"/>
      <c r="H164" s="510"/>
      <c r="I164" s="510"/>
      <c r="J164" s="510"/>
      <c r="K164" s="519"/>
      <c r="L164" s="179"/>
    </row>
    <row r="165" spans="1:13" ht="38.299999999999997" customHeight="1">
      <c r="B165" s="501"/>
      <c r="C165" s="191"/>
      <c r="D165" s="1224"/>
      <c r="E165" s="1160" t="s">
        <v>98</v>
      </c>
      <c r="F165" s="1492" t="s">
        <v>430</v>
      </c>
      <c r="G165" s="1492"/>
      <c r="H165" s="510"/>
      <c r="I165" s="510"/>
      <c r="J165" s="510"/>
      <c r="K165" s="519"/>
      <c r="L165" s="179"/>
    </row>
    <row r="166" spans="1:13" ht="27.1" customHeight="1">
      <c r="B166" s="501"/>
      <c r="C166" s="191"/>
      <c r="D166" s="1224"/>
      <c r="E166" s="1160" t="s">
        <v>98</v>
      </c>
      <c r="F166" s="1492" t="s">
        <v>429</v>
      </c>
      <c r="G166" s="1492"/>
      <c r="H166" s="510"/>
      <c r="I166" s="510"/>
      <c r="J166" s="510"/>
      <c r="K166" s="519"/>
      <c r="L166" s="179"/>
    </row>
    <row r="167" spans="1:13" ht="37.450000000000003" customHeight="1">
      <c r="B167" s="501"/>
      <c r="C167" s="191"/>
      <c r="D167" s="1224"/>
      <c r="E167" s="1160" t="s">
        <v>98</v>
      </c>
      <c r="F167" s="1492" t="s">
        <v>431</v>
      </c>
      <c r="G167" s="1492"/>
      <c r="H167" s="510"/>
      <c r="I167" s="510"/>
      <c r="J167" s="510"/>
      <c r="K167" s="519"/>
      <c r="L167" s="179"/>
    </row>
    <row r="168" spans="1:13" ht="28.55" customHeight="1">
      <c r="B168" s="501"/>
      <c r="C168" s="191"/>
      <c r="D168" s="1224"/>
      <c r="E168" s="1160" t="s">
        <v>98</v>
      </c>
      <c r="F168" s="1492" t="s">
        <v>464</v>
      </c>
      <c r="G168" s="1492"/>
      <c r="H168" s="510"/>
      <c r="I168" s="510"/>
      <c r="J168" s="510"/>
      <c r="K168" s="519"/>
      <c r="L168" s="179"/>
    </row>
    <row r="169" spans="1:13" s="167" customFormat="1">
      <c r="A169" s="1048"/>
      <c r="B169" s="521"/>
      <c r="C169" s="1225"/>
      <c r="D169" s="1226"/>
      <c r="E169" s="1154" t="s">
        <v>98</v>
      </c>
      <c r="F169" s="1492" t="s">
        <v>453</v>
      </c>
      <c r="G169" s="1492"/>
      <c r="H169" s="510"/>
      <c r="I169" s="510"/>
      <c r="J169" s="510"/>
      <c r="K169" s="519"/>
      <c r="L169" s="522"/>
      <c r="M169" s="147"/>
    </row>
    <row r="170" spans="1:13" ht="39.049999999999997" customHeight="1">
      <c r="B170" s="501"/>
      <c r="C170" s="191"/>
      <c r="D170" s="1224"/>
      <c r="E170" s="1160" t="s">
        <v>98</v>
      </c>
      <c r="F170" s="1492" t="s">
        <v>432</v>
      </c>
      <c r="G170" s="1492"/>
      <c r="H170" s="510"/>
      <c r="I170" s="510"/>
      <c r="J170" s="510"/>
      <c r="K170" s="519"/>
      <c r="L170" s="179"/>
    </row>
    <row r="171" spans="1:13" ht="27.1" customHeight="1">
      <c r="B171" s="501"/>
      <c r="C171" s="191"/>
      <c r="D171" s="1224"/>
      <c r="E171" s="1160" t="s">
        <v>98</v>
      </c>
      <c r="F171" s="1492" t="s">
        <v>435</v>
      </c>
      <c r="G171" s="1492"/>
      <c r="H171" s="510"/>
      <c r="I171" s="510"/>
      <c r="J171" s="510"/>
      <c r="K171" s="519"/>
      <c r="L171" s="179"/>
    </row>
    <row r="172" spans="1:13" ht="25.2" customHeight="1">
      <c r="B172" s="501"/>
      <c r="C172" s="191"/>
      <c r="D172" s="1224"/>
      <c r="E172" s="1160" t="s">
        <v>98</v>
      </c>
      <c r="F172" s="1492" t="s">
        <v>436</v>
      </c>
      <c r="G172" s="1492"/>
      <c r="H172" s="510"/>
      <c r="I172" s="510"/>
      <c r="J172" s="510"/>
      <c r="K172" s="519"/>
      <c r="L172" s="179"/>
    </row>
    <row r="173" spans="1:13" s="167" customFormat="1" ht="24.8" customHeight="1">
      <c r="A173" s="1048"/>
      <c r="B173" s="521"/>
      <c r="C173" s="1225"/>
      <c r="D173" s="1226"/>
      <c r="E173" s="1154" t="s">
        <v>98</v>
      </c>
      <c r="F173" s="1492" t="s">
        <v>465</v>
      </c>
      <c r="G173" s="1492"/>
      <c r="H173" s="510"/>
      <c r="I173" s="510"/>
      <c r="J173" s="510"/>
      <c r="K173" s="519"/>
      <c r="L173" s="522"/>
      <c r="M173" s="147"/>
    </row>
    <row r="174" spans="1:13" s="167" customFormat="1" ht="24.8" customHeight="1">
      <c r="A174" s="1048"/>
      <c r="B174" s="521"/>
      <c r="C174" s="1225"/>
      <c r="D174" s="1226"/>
      <c r="E174" s="1154" t="s">
        <v>98</v>
      </c>
      <c r="F174" s="1492" t="s">
        <v>433</v>
      </c>
      <c r="G174" s="1492"/>
      <c r="H174" s="510"/>
      <c r="I174" s="510"/>
      <c r="J174" s="510"/>
      <c r="K174" s="519"/>
      <c r="L174" s="522"/>
      <c r="M174" s="147"/>
    </row>
    <row r="175" spans="1:13" s="167" customFormat="1" ht="26.25" customHeight="1">
      <c r="A175" s="1048"/>
      <c r="B175" s="521"/>
      <c r="C175" s="1225"/>
      <c r="D175" s="1226"/>
      <c r="E175" s="1154" t="s">
        <v>98</v>
      </c>
      <c r="F175" s="1492" t="s">
        <v>434</v>
      </c>
      <c r="G175" s="1492"/>
      <c r="H175" s="510"/>
      <c r="I175" s="510"/>
      <c r="J175" s="510"/>
      <c r="K175" s="519"/>
      <c r="L175" s="522"/>
      <c r="M175" s="147"/>
    </row>
    <row r="176" spans="1:13" ht="52.6" customHeight="1">
      <c r="B176" s="501"/>
      <c r="C176" s="191"/>
      <c r="D176" s="1224"/>
      <c r="E176" s="1160" t="s">
        <v>98</v>
      </c>
      <c r="F176" s="1492" t="s">
        <v>456</v>
      </c>
      <c r="G176" s="1492"/>
      <c r="H176" s="510"/>
      <c r="I176" s="510"/>
      <c r="J176" s="510"/>
      <c r="K176" s="519"/>
      <c r="L176" s="179"/>
    </row>
    <row r="177" spans="1:13" ht="27.8" customHeight="1">
      <c r="B177" s="501"/>
      <c r="C177" s="191"/>
      <c r="D177" s="1224"/>
      <c r="E177" s="1160" t="s">
        <v>98</v>
      </c>
      <c r="F177" s="1492" t="s">
        <v>466</v>
      </c>
      <c r="G177" s="1492"/>
      <c r="H177" s="510"/>
      <c r="I177" s="510"/>
      <c r="J177" s="510"/>
      <c r="K177" s="519"/>
      <c r="L177" s="179"/>
    </row>
    <row r="178" spans="1:13" s="167" customFormat="1" ht="28.55" customHeight="1">
      <c r="A178" s="1048"/>
      <c r="B178" s="521"/>
      <c r="C178" s="1225"/>
      <c r="D178" s="1226"/>
      <c r="E178" s="1154" t="s">
        <v>98</v>
      </c>
      <c r="F178" s="1492" t="s">
        <v>437</v>
      </c>
      <c r="G178" s="1492"/>
      <c r="H178" s="510"/>
      <c r="I178" s="510"/>
      <c r="J178" s="510"/>
      <c r="K178" s="519"/>
      <c r="L178" s="522"/>
      <c r="M178" s="147"/>
    </row>
    <row r="179" spans="1:13" s="167" customFormat="1" ht="29.25" customHeight="1">
      <c r="A179" s="1048"/>
      <c r="B179" s="521"/>
      <c r="C179" s="1225"/>
      <c r="D179" s="1226"/>
      <c r="E179" s="1154" t="s">
        <v>98</v>
      </c>
      <c r="F179" s="1492" t="s">
        <v>454</v>
      </c>
      <c r="G179" s="1492"/>
      <c r="H179" s="510"/>
      <c r="I179" s="510"/>
      <c r="J179" s="510"/>
      <c r="K179" s="519"/>
      <c r="L179" s="522"/>
      <c r="M179" s="147"/>
    </row>
    <row r="180" spans="1:13" ht="14.25" customHeight="1">
      <c r="B180" s="349"/>
      <c r="C180" s="1212"/>
      <c r="D180" s="171"/>
      <c r="E180" s="1113" t="s">
        <v>98</v>
      </c>
      <c r="F180" s="1114"/>
      <c r="G180" s="1115"/>
      <c r="H180" s="553"/>
      <c r="I180" s="554"/>
      <c r="J180" s="555"/>
      <c r="K180" s="482"/>
      <c r="L180" s="179"/>
    </row>
    <row r="181" spans="1:13" s="167" customFormat="1" ht="12.85" customHeight="1">
      <c r="A181" s="1048"/>
      <c r="B181" s="521"/>
      <c r="C181" s="1225"/>
      <c r="D181" s="1226"/>
      <c r="E181" s="1154"/>
      <c r="F181" s="1492"/>
      <c r="G181" s="1492"/>
      <c r="H181" s="510"/>
      <c r="I181" s="510"/>
      <c r="J181" s="510"/>
      <c r="K181" s="519"/>
      <c r="L181" s="522"/>
      <c r="M181" s="147"/>
    </row>
    <row r="182" spans="1:13" s="167" customFormat="1" ht="12.85" customHeight="1">
      <c r="A182" s="1048"/>
      <c r="B182" s="521"/>
      <c r="C182" s="1225"/>
      <c r="D182" s="1226"/>
      <c r="E182" s="1402" t="s">
        <v>460</v>
      </c>
      <c r="F182" s="1402"/>
      <c r="G182" s="1403"/>
      <c r="H182" s="510"/>
      <c r="I182" s="510"/>
      <c r="J182" s="510"/>
      <c r="K182" s="519"/>
      <c r="L182" s="522"/>
      <c r="M182" s="147"/>
    </row>
    <row r="183" spans="1:13" s="167" customFormat="1">
      <c r="A183" s="1048"/>
      <c r="B183" s="521"/>
      <c r="C183" s="1225"/>
      <c r="D183" s="1226"/>
      <c r="E183" s="1154" t="s">
        <v>98</v>
      </c>
      <c r="F183" s="1492" t="s">
        <v>442</v>
      </c>
      <c r="G183" s="1492"/>
      <c r="H183" s="510"/>
      <c r="I183" s="510"/>
      <c r="J183" s="510"/>
      <c r="K183" s="519"/>
      <c r="L183" s="522"/>
      <c r="M183" s="147"/>
    </row>
    <row r="184" spans="1:13" s="167" customFormat="1">
      <c r="A184" s="1048"/>
      <c r="B184" s="521"/>
      <c r="C184" s="1225"/>
      <c r="D184" s="1226"/>
      <c r="E184" s="1154" t="s">
        <v>98</v>
      </c>
      <c r="F184" s="1492" t="s">
        <v>443</v>
      </c>
      <c r="G184" s="1492"/>
      <c r="H184" s="510"/>
      <c r="I184" s="510"/>
      <c r="J184" s="510"/>
      <c r="K184" s="519"/>
      <c r="L184" s="522"/>
      <c r="M184" s="147"/>
    </row>
    <row r="185" spans="1:13" s="167" customFormat="1">
      <c r="A185" s="1048"/>
      <c r="B185" s="523"/>
      <c r="C185" s="1227"/>
      <c r="D185" s="1228"/>
      <c r="E185" s="1113" t="s">
        <v>98</v>
      </c>
      <c r="F185" s="1114"/>
      <c r="G185" s="1116"/>
      <c r="H185" s="524"/>
      <c r="I185" s="524"/>
      <c r="J185" s="524"/>
      <c r="K185" s="525"/>
      <c r="L185" s="522"/>
      <c r="M185" s="147"/>
    </row>
    <row r="186" spans="1:13">
      <c r="B186" s="536"/>
      <c r="C186" s="1229" t="s">
        <v>41</v>
      </c>
      <c r="D186" s="1184"/>
      <c r="E186" s="1193"/>
      <c r="F186" s="1232" t="s">
        <v>1100</v>
      </c>
      <c r="G186" s="1215"/>
      <c r="H186" s="1135"/>
      <c r="I186" s="1136"/>
      <c r="J186" s="1137"/>
      <c r="K186" s="507" t="str">
        <f>IF(M186,IF(J186&gt;0,H186*J186,0),"")</f>
        <v/>
      </c>
      <c r="L186" s="179"/>
      <c r="M186" s="146" t="b">
        <v>0</v>
      </c>
    </row>
    <row r="187" spans="1:13" ht="25.35">
      <c r="B187" s="349"/>
      <c r="C187" s="1212"/>
      <c r="D187" s="171"/>
      <c r="E187" s="404"/>
      <c r="F187" s="1081" t="s">
        <v>1101</v>
      </c>
      <c r="G187" s="478"/>
      <c r="H187" s="1142"/>
      <c r="I187" s="1143"/>
      <c r="J187" s="1144"/>
      <c r="K187" s="482"/>
    </row>
    <row r="188" spans="1:13" ht="65.25" customHeight="1">
      <c r="B188" s="501"/>
      <c r="C188" s="191"/>
      <c r="D188" s="1224"/>
      <c r="E188" s="40" t="s">
        <v>98</v>
      </c>
      <c r="F188" s="1492" t="s">
        <v>438</v>
      </c>
      <c r="G188" s="1495"/>
      <c r="H188" s="510"/>
      <c r="I188" s="510"/>
      <c r="J188" s="510"/>
      <c r="K188" s="519"/>
      <c r="L188" s="179"/>
    </row>
    <row r="189" spans="1:13" ht="39.049999999999997" customHeight="1">
      <c r="B189" s="501"/>
      <c r="C189" s="191"/>
      <c r="D189" s="1224"/>
      <c r="E189" s="40" t="s">
        <v>98</v>
      </c>
      <c r="F189" s="1492" t="s">
        <v>439</v>
      </c>
      <c r="G189" s="1492"/>
      <c r="H189" s="510"/>
      <c r="I189" s="510"/>
      <c r="J189" s="510"/>
      <c r="K189" s="519"/>
      <c r="L189" s="179"/>
    </row>
    <row r="190" spans="1:13" s="167" customFormat="1" ht="27.8" customHeight="1">
      <c r="A190" s="1048"/>
      <c r="B190" s="521"/>
      <c r="C190" s="1225"/>
      <c r="D190" s="1226"/>
      <c r="E190" s="267" t="s">
        <v>98</v>
      </c>
      <c r="F190" s="1492" t="s">
        <v>440</v>
      </c>
      <c r="G190" s="1492"/>
      <c r="H190" s="510"/>
      <c r="I190" s="510"/>
      <c r="J190" s="510"/>
      <c r="K190" s="519"/>
      <c r="L190" s="522"/>
      <c r="M190" s="147"/>
    </row>
    <row r="191" spans="1:13" ht="29.25" customHeight="1">
      <c r="B191" s="501"/>
      <c r="C191" s="191"/>
      <c r="D191" s="1224"/>
      <c r="E191" s="40" t="s">
        <v>98</v>
      </c>
      <c r="F191" s="1492" t="s">
        <v>441</v>
      </c>
      <c r="G191" s="1492"/>
      <c r="H191" s="510"/>
      <c r="I191" s="510"/>
      <c r="J191" s="510"/>
      <c r="K191" s="519"/>
      <c r="L191" s="179"/>
    </row>
    <row r="192" spans="1:13" ht="51" customHeight="1">
      <c r="B192" s="501"/>
      <c r="C192" s="191"/>
      <c r="D192" s="1224"/>
      <c r="E192" s="40" t="s">
        <v>98</v>
      </c>
      <c r="F192" s="1492" t="s">
        <v>444</v>
      </c>
      <c r="G192" s="1492"/>
      <c r="H192" s="510"/>
      <c r="I192" s="510"/>
      <c r="J192" s="510"/>
      <c r="K192" s="519"/>
      <c r="L192" s="179"/>
    </row>
    <row r="193" spans="1:13" ht="40.5" customHeight="1">
      <c r="B193" s="501"/>
      <c r="C193" s="191"/>
      <c r="D193" s="1224"/>
      <c r="E193" s="40" t="s">
        <v>98</v>
      </c>
      <c r="F193" s="1492" t="s">
        <v>445</v>
      </c>
      <c r="G193" s="1492"/>
      <c r="H193" s="510"/>
      <c r="I193" s="510"/>
      <c r="J193" s="510"/>
      <c r="K193" s="519"/>
      <c r="L193" s="179"/>
    </row>
    <row r="194" spans="1:13" ht="12.85" customHeight="1">
      <c r="B194" s="501"/>
      <c r="C194" s="191"/>
      <c r="D194" s="526"/>
      <c r="E194" s="472" t="s">
        <v>232</v>
      </c>
      <c r="F194" s="1410" t="s">
        <v>446</v>
      </c>
      <c r="G194" s="1508"/>
      <c r="H194" s="537"/>
      <c r="I194" s="537"/>
      <c r="J194" s="537"/>
      <c r="K194" s="538"/>
    </row>
    <row r="195" spans="1:13" ht="12.85" customHeight="1">
      <c r="B195" s="501"/>
      <c r="C195" s="191"/>
      <c r="D195" s="526"/>
      <c r="E195" s="472" t="s">
        <v>232</v>
      </c>
      <c r="F195" s="1410" t="s">
        <v>447</v>
      </c>
      <c r="G195" s="1508"/>
      <c r="H195" s="537"/>
      <c r="I195" s="537"/>
      <c r="J195" s="537"/>
      <c r="K195" s="538"/>
    </row>
    <row r="196" spans="1:13" ht="12.85" customHeight="1">
      <c r="B196" s="501"/>
      <c r="C196" s="191"/>
      <c r="D196" s="526"/>
      <c r="E196" s="472" t="s">
        <v>232</v>
      </c>
      <c r="F196" s="1410" t="s">
        <v>448</v>
      </c>
      <c r="G196" s="1508"/>
      <c r="H196" s="537"/>
      <c r="I196" s="537"/>
      <c r="J196" s="537"/>
      <c r="K196" s="538"/>
    </row>
    <row r="197" spans="1:13" ht="12.85" customHeight="1">
      <c r="B197" s="501"/>
      <c r="C197" s="191"/>
      <c r="D197" s="526"/>
      <c r="E197" s="472" t="s">
        <v>232</v>
      </c>
      <c r="F197" s="1410" t="s">
        <v>449</v>
      </c>
      <c r="G197" s="1508"/>
      <c r="H197" s="537"/>
      <c r="I197" s="537"/>
      <c r="J197" s="537"/>
      <c r="K197" s="538"/>
    </row>
    <row r="198" spans="1:13" ht="26.25" customHeight="1">
      <c r="B198" s="501"/>
      <c r="C198" s="191"/>
      <c r="D198" s="526"/>
      <c r="E198" s="472" t="s">
        <v>232</v>
      </c>
      <c r="F198" s="1410" t="s">
        <v>450</v>
      </c>
      <c r="G198" s="1508"/>
      <c r="H198" s="537"/>
      <c r="I198" s="537"/>
      <c r="J198" s="537"/>
      <c r="K198" s="538"/>
    </row>
    <row r="199" spans="1:13" ht="12.85" customHeight="1">
      <c r="B199" s="501"/>
      <c r="C199" s="191"/>
      <c r="D199" s="526"/>
      <c r="E199" s="472" t="s">
        <v>232</v>
      </c>
      <c r="F199" s="1156" t="s">
        <v>451</v>
      </c>
      <c r="G199" s="1167"/>
      <c r="H199" s="537"/>
      <c r="I199" s="537"/>
      <c r="J199" s="537"/>
      <c r="K199" s="538"/>
    </row>
    <row r="200" spans="1:13" ht="52.6" customHeight="1">
      <c r="B200" s="501"/>
      <c r="C200" s="191"/>
      <c r="D200" s="1224"/>
      <c r="E200" s="40" t="s">
        <v>98</v>
      </c>
      <c r="F200" s="1492" t="s">
        <v>452</v>
      </c>
      <c r="G200" s="1492"/>
      <c r="H200" s="510"/>
      <c r="I200" s="510"/>
      <c r="J200" s="510"/>
      <c r="K200" s="519"/>
      <c r="L200" s="179"/>
    </row>
    <row r="201" spans="1:13" ht="14.25" customHeight="1">
      <c r="B201" s="359"/>
      <c r="C201" s="1216"/>
      <c r="D201" s="1092"/>
      <c r="E201" s="535" t="s">
        <v>98</v>
      </c>
      <c r="F201" s="483"/>
      <c r="G201" s="470"/>
      <c r="H201" s="556"/>
      <c r="I201" s="557"/>
      <c r="J201" s="558"/>
      <c r="K201" s="471"/>
      <c r="L201" s="179"/>
    </row>
    <row r="202" spans="1:13" s="152" customFormat="1">
      <c r="A202" s="1046"/>
      <c r="B202" s="536"/>
      <c r="C202" s="1229" t="s">
        <v>40</v>
      </c>
      <c r="D202" s="1184"/>
      <c r="E202" s="1193"/>
      <c r="F202" s="1232" t="s">
        <v>1102</v>
      </c>
      <c r="G202" s="1215"/>
      <c r="H202" s="1135"/>
      <c r="I202" s="1136"/>
      <c r="J202" s="1137"/>
      <c r="K202" s="507" t="str">
        <f>IF(M202,IF(J202&gt;0,H202*J202,0),"")</f>
        <v/>
      </c>
      <c r="M202" s="197" t="b">
        <v>0</v>
      </c>
    </row>
    <row r="203" spans="1:13" ht="25.35">
      <c r="B203" s="349"/>
      <c r="C203" s="1212"/>
      <c r="D203" s="171"/>
      <c r="E203" s="148"/>
      <c r="F203" s="1081" t="s">
        <v>1103</v>
      </c>
      <c r="G203" s="478"/>
      <c r="H203" s="1142"/>
      <c r="I203" s="1143"/>
      <c r="J203" s="1144"/>
      <c r="K203" s="482"/>
    </row>
    <row r="204" spans="1:13" s="152" customFormat="1">
      <c r="A204" s="1047"/>
      <c r="B204" s="359"/>
      <c r="C204" s="1216"/>
      <c r="D204" s="1092"/>
      <c r="E204" s="469"/>
      <c r="F204" s="574"/>
      <c r="G204" s="470"/>
      <c r="H204" s="556"/>
      <c r="I204" s="557"/>
      <c r="J204" s="558"/>
      <c r="K204" s="471"/>
      <c r="M204" s="153"/>
    </row>
    <row r="205" spans="1:13">
      <c r="B205" s="536"/>
      <c r="C205" s="1229" t="s">
        <v>141</v>
      </c>
      <c r="D205" s="1184"/>
      <c r="E205" s="1193"/>
      <c r="F205" s="1232" t="s">
        <v>293</v>
      </c>
      <c r="G205" s="1215"/>
      <c r="H205" s="1135"/>
      <c r="I205" s="1136"/>
      <c r="J205" s="1137"/>
      <c r="K205" s="507" t="str">
        <f>IF(M205,IF(J205&gt;0,H205*J205,0),"")</f>
        <v/>
      </c>
      <c r="M205" s="146" t="b">
        <v>0</v>
      </c>
    </row>
    <row r="206" spans="1:13" ht="54" customHeight="1">
      <c r="B206" s="501"/>
      <c r="C206" s="191"/>
      <c r="D206" s="1224"/>
      <c r="E206" s="1402" t="s">
        <v>128</v>
      </c>
      <c r="F206" s="1402"/>
      <c r="G206" s="1403"/>
      <c r="H206" s="1142"/>
      <c r="I206" s="1143"/>
      <c r="J206" s="1144"/>
      <c r="K206" s="519"/>
      <c r="L206" s="179"/>
    </row>
    <row r="207" spans="1:13" s="152" customFormat="1" ht="15" customHeight="1">
      <c r="A207" s="1047"/>
      <c r="B207" s="359"/>
      <c r="C207" s="1216"/>
      <c r="D207" s="1092"/>
      <c r="E207" s="469"/>
      <c r="F207" s="574"/>
      <c r="G207" s="470"/>
      <c r="H207" s="556"/>
      <c r="I207" s="557"/>
      <c r="J207" s="558"/>
      <c r="K207" s="471"/>
      <c r="M207" s="153"/>
    </row>
    <row r="208" spans="1:13" ht="16.149999999999999" customHeight="1">
      <c r="B208" s="536"/>
      <c r="C208" s="1229" t="s">
        <v>461</v>
      </c>
      <c r="D208" s="1217"/>
      <c r="E208" s="1217"/>
      <c r="F208" s="1231"/>
      <c r="G208" s="1215"/>
      <c r="H208" s="1135"/>
      <c r="I208" s="1136"/>
      <c r="J208" s="1137"/>
      <c r="K208" s="507" t="str">
        <f t="shared" ref="K208:K210" si="15">IF(M208,IF(J208&gt;0,H208*J208,0),"")</f>
        <v/>
      </c>
      <c r="M208" s="146" t="b">
        <v>0</v>
      </c>
    </row>
    <row r="209" spans="2:13" ht="15" customHeight="1">
      <c r="B209" s="349"/>
      <c r="C209" s="1216"/>
      <c r="D209" s="1092"/>
      <c r="E209" s="469"/>
      <c r="F209" s="1141"/>
      <c r="G209" s="470"/>
      <c r="H209" s="1138"/>
      <c r="I209" s="1139"/>
      <c r="J209" s="1140"/>
      <c r="K209" s="471"/>
    </row>
    <row r="210" spans="2:13" ht="16.149999999999999" customHeight="1">
      <c r="B210" s="97"/>
      <c r="C210" s="1213" t="s">
        <v>462</v>
      </c>
      <c r="D210" s="1217"/>
      <c r="E210" s="1217"/>
      <c r="F210" s="1231"/>
      <c r="G210" s="1215"/>
      <c r="H210" s="1135"/>
      <c r="I210" s="1136"/>
      <c r="J210" s="1137"/>
      <c r="K210" s="507" t="str">
        <f t="shared" si="15"/>
        <v/>
      </c>
      <c r="M210" s="146" t="b">
        <v>0</v>
      </c>
    </row>
    <row r="211" spans="2:13" ht="15" customHeight="1" thickBot="1">
      <c r="B211" s="349"/>
      <c r="C211" s="1216"/>
      <c r="D211" s="1092"/>
      <c r="E211" s="469"/>
      <c r="F211" s="1141"/>
      <c r="G211" s="470"/>
      <c r="H211" s="1138"/>
      <c r="I211" s="1139"/>
      <c r="J211" s="1140"/>
      <c r="K211" s="471"/>
    </row>
    <row r="212" spans="2:13" ht="22.5" customHeight="1" thickBot="1">
      <c r="B212" s="489"/>
      <c r="C212" s="490"/>
      <c r="D212" s="490"/>
      <c r="E212" s="490"/>
      <c r="F212" s="491"/>
      <c r="G212" s="492"/>
      <c r="H212" s="491"/>
      <c r="I212" s="491"/>
      <c r="J212" s="356" t="s">
        <v>1081</v>
      </c>
      <c r="K212" s="493">
        <f>IF(Projektgrundlagen!I21,IF(COUNT(K127:K210)&gt;0,SUM(K127:K210),""),0)</f>
        <v>0</v>
      </c>
    </row>
    <row r="213" spans="2:13" ht="7.2" customHeight="1">
      <c r="B213" s="494"/>
      <c r="C213" s="485"/>
      <c r="D213" s="485"/>
      <c r="E213" s="485"/>
      <c r="F213" s="486"/>
      <c r="G213" s="487"/>
      <c r="H213" s="486"/>
      <c r="I213" s="486"/>
      <c r="J213" s="382"/>
      <c r="K213" s="495"/>
    </row>
    <row r="214" spans="2:13" ht="19.45" customHeight="1">
      <c r="B214" s="42" t="s">
        <v>294</v>
      </c>
      <c r="C214" s="43"/>
      <c r="D214" s="43"/>
      <c r="E214" s="43"/>
      <c r="F214" s="43"/>
      <c r="G214" s="43"/>
      <c r="H214" s="400"/>
      <c r="I214" s="400"/>
      <c r="J214" s="497"/>
      <c r="K214" s="498"/>
    </row>
    <row r="215" spans="2:13">
      <c r="B215" s="97"/>
      <c r="C215" s="1208" t="s">
        <v>39</v>
      </c>
      <c r="D215" s="1209"/>
      <c r="E215" s="1190"/>
      <c r="F215" s="1230" t="s">
        <v>1091</v>
      </c>
      <c r="G215" s="1211"/>
      <c r="H215" s="1135"/>
      <c r="I215" s="1136"/>
      <c r="J215" s="1137"/>
      <c r="K215" s="503" t="str">
        <f t="shared" ref="K215:K217" si="16">IF(M215,IF(J215&gt;0,H215*J215,0),"")</f>
        <v/>
      </c>
      <c r="M215" s="146" t="b">
        <v>0</v>
      </c>
    </row>
    <row r="216" spans="2:13">
      <c r="B216" s="349"/>
      <c r="C216" s="1212"/>
      <c r="D216" s="171"/>
      <c r="E216" s="148"/>
      <c r="F216" s="1014" t="s">
        <v>1092</v>
      </c>
      <c r="G216" s="478"/>
      <c r="H216" s="1138"/>
      <c r="I216" s="1139"/>
      <c r="J216" s="1140"/>
      <c r="K216" s="482"/>
    </row>
    <row r="217" spans="2:13">
      <c r="B217" s="527"/>
      <c r="C217" s="1213" t="s">
        <v>38</v>
      </c>
      <c r="D217" s="1217"/>
      <c r="E217" s="1217"/>
      <c r="F217" s="1231"/>
      <c r="G217" s="1215"/>
      <c r="H217" s="1135"/>
      <c r="I217" s="1136"/>
      <c r="J217" s="1137"/>
      <c r="K217" s="507" t="str">
        <f t="shared" si="16"/>
        <v/>
      </c>
      <c r="M217" s="146" t="b">
        <v>0</v>
      </c>
    </row>
    <row r="218" spans="2:13" ht="17.3" thickBot="1">
      <c r="B218" s="349"/>
      <c r="C218" s="1216"/>
      <c r="D218" s="1092"/>
      <c r="E218" s="469"/>
      <c r="F218" s="1141"/>
      <c r="G218" s="470"/>
      <c r="H218" s="1138"/>
      <c r="I218" s="1139"/>
      <c r="J218" s="1140"/>
      <c r="K218" s="471"/>
    </row>
    <row r="219" spans="2:13" ht="22.5" customHeight="1" thickBot="1">
      <c r="B219" s="489"/>
      <c r="C219" s="490" t="s">
        <v>11</v>
      </c>
      <c r="D219" s="490"/>
      <c r="E219" s="490"/>
      <c r="F219" s="491"/>
      <c r="G219" s="492"/>
      <c r="H219" s="491"/>
      <c r="I219" s="491"/>
      <c r="J219" s="356" t="s">
        <v>1079</v>
      </c>
      <c r="K219" s="493" t="str">
        <f>IF(Projektgrundlagen!I21,IF(COUNT(K215:K217)&gt;0,SUM(K215:K217),""),0)</f>
        <v/>
      </c>
    </row>
    <row r="220" spans="2:13" ht="12.85" customHeight="1" thickBot="1">
      <c r="B220" s="166"/>
      <c r="C220" s="170"/>
      <c r="D220" s="166"/>
      <c r="E220" s="166"/>
      <c r="F220" s="166"/>
      <c r="G220" s="166"/>
      <c r="H220" s="166"/>
      <c r="I220" s="166"/>
      <c r="J220" s="166"/>
      <c r="K220" s="177"/>
    </row>
    <row r="221" spans="2:13" ht="29.95" customHeight="1" thickBot="1">
      <c r="B221" s="534"/>
      <c r="C221" s="528" t="s">
        <v>11</v>
      </c>
      <c r="D221" s="529"/>
      <c r="E221" s="529"/>
      <c r="F221" s="530"/>
      <c r="G221" s="531"/>
      <c r="H221" s="530"/>
      <c r="I221" s="530"/>
      <c r="J221" s="532" t="s">
        <v>1080</v>
      </c>
      <c r="K221" s="533">
        <f>IF(COUNT(K24,K47,K80,K93,K106,K115,K124,K212,K219)&gt;0,SUM(K24,K47,K80,K93,K106,K115,K124,K212,K219),"")</f>
        <v>0</v>
      </c>
    </row>
    <row r="222" spans="2:13" ht="12.85" customHeight="1">
      <c r="B222" s="176"/>
      <c r="C222" s="467"/>
      <c r="D222" s="176"/>
      <c r="E222" s="176"/>
      <c r="F222" s="176"/>
      <c r="G222" s="176"/>
      <c r="H222" s="176"/>
      <c r="I222" s="176"/>
      <c r="J222" s="176"/>
      <c r="K222" s="178"/>
    </row>
    <row r="252"/>
  </sheetData>
  <sheetProtection sheet="1" formatRows="0"/>
  <dataConsolidate/>
  <mergeCells count="58">
    <mergeCell ref="F8:K8"/>
    <mergeCell ref="F169:G169"/>
    <mergeCell ref="F161:G161"/>
    <mergeCell ref="H5:I5"/>
    <mergeCell ref="F166:G166"/>
    <mergeCell ref="E206:G206"/>
    <mergeCell ref="E182:G182"/>
    <mergeCell ref="F193:G193"/>
    <mergeCell ref="F200:G200"/>
    <mergeCell ref="F178:G178"/>
    <mergeCell ref="F179:G179"/>
    <mergeCell ref="F181:G181"/>
    <mergeCell ref="F183:G183"/>
    <mergeCell ref="F184:G184"/>
    <mergeCell ref="F198:G198"/>
    <mergeCell ref="F191:G191"/>
    <mergeCell ref="F190:G190"/>
    <mergeCell ref="F196:G196"/>
    <mergeCell ref="F197:G197"/>
    <mergeCell ref="F194:G194"/>
    <mergeCell ref="F195:G195"/>
    <mergeCell ref="L2:L8"/>
    <mergeCell ref="B10:G10"/>
    <mergeCell ref="F192:G192"/>
    <mergeCell ref="E128:G128"/>
    <mergeCell ref="F137:G137"/>
    <mergeCell ref="F138:G138"/>
    <mergeCell ref="F142:G142"/>
    <mergeCell ref="E158:G158"/>
    <mergeCell ref="E159:G159"/>
    <mergeCell ref="F162:G162"/>
    <mergeCell ref="F163:G163"/>
    <mergeCell ref="F164:G164"/>
    <mergeCell ref="F173:G173"/>
    <mergeCell ref="F174:G174"/>
    <mergeCell ref="F139:G139"/>
    <mergeCell ref="F165:G165"/>
    <mergeCell ref="F189:G189"/>
    <mergeCell ref="B2:G2"/>
    <mergeCell ref="B3:G3"/>
    <mergeCell ref="F140:G140"/>
    <mergeCell ref="F141:G141"/>
    <mergeCell ref="F143:G143"/>
    <mergeCell ref="E149:G149"/>
    <mergeCell ref="F160:G160"/>
    <mergeCell ref="F167:G167"/>
    <mergeCell ref="F168:G168"/>
    <mergeCell ref="F170:G170"/>
    <mergeCell ref="F171:G171"/>
    <mergeCell ref="F172:G172"/>
    <mergeCell ref="F5:G5"/>
    <mergeCell ref="F6:G6"/>
    <mergeCell ref="F7:K7"/>
    <mergeCell ref="F175:G175"/>
    <mergeCell ref="E136:G136"/>
    <mergeCell ref="F176:G176"/>
    <mergeCell ref="F177:G177"/>
    <mergeCell ref="F188:G188"/>
  </mergeCells>
  <conditionalFormatting sqref="B14:B23">
    <cfRule type="expression" dxfId="1553" priority="1950">
      <formula>NOT($N$3)</formula>
    </cfRule>
  </conditionalFormatting>
  <conditionalFormatting sqref="B27:B46">
    <cfRule type="expression" dxfId="1552" priority="862">
      <formula>NOT($N$3)</formula>
    </cfRule>
  </conditionalFormatting>
  <conditionalFormatting sqref="B50:B79">
    <cfRule type="expression" dxfId="1551" priority="1543">
      <formula>NOT($N$3)</formula>
    </cfRule>
  </conditionalFormatting>
  <conditionalFormatting sqref="B83:B92">
    <cfRule type="expression" dxfId="1550" priority="1438">
      <formula>NOT($N$3)</formula>
    </cfRule>
  </conditionalFormatting>
  <conditionalFormatting sqref="B96:B105">
    <cfRule type="expression" dxfId="1549" priority="1355">
      <formula>NOT($N$3)</formula>
    </cfRule>
  </conditionalFormatting>
  <conditionalFormatting sqref="B109:B114">
    <cfRule type="expression" dxfId="1548" priority="1298">
      <formula>NOT($N$3)</formula>
    </cfRule>
  </conditionalFormatting>
  <conditionalFormatting sqref="B118:B123">
    <cfRule type="expression" dxfId="1547" priority="1241">
      <formula>NOT($N$3)</formula>
    </cfRule>
  </conditionalFormatting>
  <conditionalFormatting sqref="B127:B211">
    <cfRule type="expression" dxfId="1546" priority="747">
      <formula>NOT($N$3)</formula>
    </cfRule>
  </conditionalFormatting>
  <conditionalFormatting sqref="B215:B218">
    <cfRule type="expression" dxfId="1545" priority="931">
      <formula>NOT($N$3)</formula>
    </cfRule>
  </conditionalFormatting>
  <conditionalFormatting sqref="B135:E136 H136:K143 B137:F143 B144:K144">
    <cfRule type="expression" dxfId="1544" priority="870">
      <formula>NOT($N$3)</formula>
    </cfRule>
  </conditionalFormatting>
  <conditionalFormatting sqref="C37:E46">
    <cfRule type="expression" dxfId="1543" priority="861">
      <formula>NOT($N$3)</formula>
    </cfRule>
  </conditionalFormatting>
  <conditionalFormatting sqref="C149:E149 H149:K149">
    <cfRule type="expression" dxfId="1542" priority="867">
      <formula>NOT($N$3)</formula>
    </cfRule>
  </conditionalFormatting>
  <conditionalFormatting sqref="C14:G17 K14:K23 C18:E23 G18:G23">
    <cfRule type="expression" dxfId="1541" priority="878">
      <formula>NOT($N$3)</formula>
    </cfRule>
  </conditionalFormatting>
  <conditionalFormatting sqref="C27:G36 K27:K46 G37:G46">
    <cfRule type="expression" dxfId="1540" priority="877">
      <formula>NOT($N$3)</formula>
    </cfRule>
  </conditionalFormatting>
  <conditionalFormatting sqref="C50:G61 K50:K79 C62:E79 G62:G79">
    <cfRule type="expression" dxfId="1539" priority="876">
      <formula>NOT($N$3)</formula>
    </cfRule>
  </conditionalFormatting>
  <conditionalFormatting sqref="C83:G84 K83:K92 C85:E92 G85:G92">
    <cfRule type="expression" dxfId="1538" priority="875">
      <formula>NOT($N$3)</formula>
    </cfRule>
  </conditionalFormatting>
  <conditionalFormatting sqref="C96:G101 K96:K105 C102:E105 G102:G105">
    <cfRule type="expression" dxfId="1537" priority="874">
      <formula>NOT($N$3)</formula>
    </cfRule>
  </conditionalFormatting>
  <conditionalFormatting sqref="C109:G110 K109:K114 C111:E114 G111:G114">
    <cfRule type="expression" dxfId="1536" priority="873">
      <formula>NOT($N$3)</formula>
    </cfRule>
  </conditionalFormatting>
  <conditionalFormatting sqref="C118:G119 K118:K123 C120:E123 G120:G123">
    <cfRule type="expression" dxfId="1535" priority="872">
      <formula>NOT($N$3)</formula>
    </cfRule>
  </conditionalFormatting>
  <conditionalFormatting sqref="C127:G128 K127:K128">
    <cfRule type="expression" dxfId="1534" priority="871">
      <formula>NOT($N$3)</formula>
    </cfRule>
  </conditionalFormatting>
  <conditionalFormatting sqref="C145:G148 K145:K148">
    <cfRule type="expression" dxfId="1533" priority="746">
      <formula>NOT($N$3)</formula>
    </cfRule>
  </conditionalFormatting>
  <conditionalFormatting sqref="C186:G187 K186:K187 C188:K193 C194:F197 H194:K197 C198:K201 C202:G203 K202:K203 C204:K204 C205:G206 K205:K206 C207:K207 C208:E211 G208:G211 K208:K211">
    <cfRule type="expression" dxfId="1532" priority="864">
      <formula>NOT($N$3)</formula>
    </cfRule>
  </conditionalFormatting>
  <conditionalFormatting sqref="C215:G216 K215:K218 C217:E218 G217:G218">
    <cfRule type="expression" dxfId="1531" priority="863">
      <formula>NOT($N$3)</formula>
    </cfRule>
  </conditionalFormatting>
  <conditionalFormatting sqref="C129:K131">
    <cfRule type="expression" dxfId="1530" priority="748">
      <formula>NOT($N$3)</formula>
    </cfRule>
  </conditionalFormatting>
  <conditionalFormatting sqref="C150:K153 B157:K181 B182:E182 H182:K182 B183:K185">
    <cfRule type="expression" dxfId="1529" priority="849">
      <formula>NOT($N$3)</formula>
    </cfRule>
  </conditionalFormatting>
  <conditionalFormatting sqref="D132 D154">
    <cfRule type="expression" dxfId="1528" priority="1088">
      <formula>AND(M132,M134)</formula>
    </cfRule>
    <cfRule type="expression" dxfId="1527" priority="1090">
      <formula>AND(M130,NOT(M132),NOT(M134))</formula>
    </cfRule>
    <cfRule type="expression" dxfId="1526" priority="1089">
      <formula>AND(M132,NOT(M130))</formula>
    </cfRule>
  </conditionalFormatting>
  <conditionalFormatting sqref="D132:D134">
    <cfRule type="expression" dxfId="1525" priority="868">
      <formula>NOT($N$3)</formula>
    </cfRule>
  </conditionalFormatting>
  <conditionalFormatting sqref="D134 D156">
    <cfRule type="expression" dxfId="1524" priority="1091">
      <formula>AND(M134,M132)</formula>
    </cfRule>
    <cfRule type="expression" dxfId="1523" priority="1092">
      <formula>AND(M134,NOT(M130))</formula>
    </cfRule>
    <cfRule type="expression" dxfId="1522" priority="1093">
      <formula>AND(M130,NOT(M132),NOT(M134))</formula>
    </cfRule>
  </conditionalFormatting>
  <conditionalFormatting sqref="D154:D156">
    <cfRule type="expression" dxfId="1521" priority="865">
      <formula>NOT($N$3)</formula>
    </cfRule>
  </conditionalFormatting>
  <conditionalFormatting sqref="E132:K134 F135:K135">
    <cfRule type="expression" dxfId="1520" priority="869">
      <formula>NOT($N$3)</formula>
    </cfRule>
  </conditionalFormatting>
  <conditionalFormatting sqref="E154:K156">
    <cfRule type="expression" dxfId="1519" priority="745">
      <formula>NOT($N$3)</formula>
    </cfRule>
  </conditionalFormatting>
  <conditionalFormatting sqref="F18">
    <cfRule type="expression" dxfId="1518" priority="115">
      <formula>NOT($M18)</formula>
    </cfRule>
    <cfRule type="expression" dxfId="1517" priority="116">
      <formula>AND($M18,F18="")</formula>
    </cfRule>
  </conditionalFormatting>
  <conditionalFormatting sqref="F18:F23">
    <cfRule type="expression" dxfId="1516" priority="109">
      <formula>NOT($N$3)</formula>
    </cfRule>
  </conditionalFormatting>
  <conditionalFormatting sqref="F19">
    <cfRule type="expression" dxfId="1515" priority="114">
      <formula>NOT($M18)</formula>
    </cfRule>
  </conditionalFormatting>
  <conditionalFormatting sqref="F20">
    <cfRule type="expression" dxfId="1514" priority="231">
      <formula>NOT($M20)</formula>
    </cfRule>
    <cfRule type="expression" dxfId="1513" priority="232">
      <formula>AND($M20,F20="")</formula>
    </cfRule>
  </conditionalFormatting>
  <conditionalFormatting sqref="F21">
    <cfRule type="expression" dxfId="1512" priority="230">
      <formula>NOT($M20)</formula>
    </cfRule>
  </conditionalFormatting>
  <conditionalFormatting sqref="F22">
    <cfRule type="expression" dxfId="1511" priority="111">
      <formula>NOT($M22)</formula>
    </cfRule>
    <cfRule type="expression" dxfId="1510" priority="112">
      <formula>AND($M22,F22="")</formula>
    </cfRule>
  </conditionalFormatting>
  <conditionalFormatting sqref="F23">
    <cfRule type="expression" dxfId="1509" priority="110">
      <formula>NOT($M22)</formula>
    </cfRule>
  </conditionalFormatting>
  <conditionalFormatting sqref="F37">
    <cfRule type="expression" dxfId="1508" priority="108">
      <formula>AND($M37,F37="")</formula>
    </cfRule>
    <cfRule type="expression" dxfId="1507" priority="107">
      <formula>NOT($M37)</formula>
    </cfRule>
  </conditionalFormatting>
  <conditionalFormatting sqref="F37:F46">
    <cfRule type="expression" dxfId="1506" priority="89">
      <formula>NOT($N$3)</formula>
    </cfRule>
  </conditionalFormatting>
  <conditionalFormatting sqref="F38">
    <cfRule type="expression" dxfId="1505" priority="106">
      <formula>NOT($M37)</formula>
    </cfRule>
  </conditionalFormatting>
  <conditionalFormatting sqref="F39">
    <cfRule type="expression" dxfId="1504" priority="103">
      <formula>NOT($M39)</formula>
    </cfRule>
    <cfRule type="expression" dxfId="1503" priority="104">
      <formula>AND($M39,F39="")</formula>
    </cfRule>
  </conditionalFormatting>
  <conditionalFormatting sqref="F40">
    <cfRule type="expression" dxfId="1502" priority="102">
      <formula>NOT($M39)</formula>
    </cfRule>
  </conditionalFormatting>
  <conditionalFormatting sqref="F41">
    <cfRule type="expression" dxfId="1501" priority="100">
      <formula>AND($M41,F41="")</formula>
    </cfRule>
    <cfRule type="expression" dxfId="1500" priority="99">
      <formula>NOT($M41)</formula>
    </cfRule>
  </conditionalFormatting>
  <conditionalFormatting sqref="F42">
    <cfRule type="expression" dxfId="1499" priority="98">
      <formula>NOT($M41)</formula>
    </cfRule>
  </conditionalFormatting>
  <conditionalFormatting sqref="F43">
    <cfRule type="expression" dxfId="1498" priority="96">
      <formula>AND($M43,F43="")</formula>
    </cfRule>
    <cfRule type="expression" dxfId="1497" priority="95">
      <formula>NOT($M43)</formula>
    </cfRule>
  </conditionalFormatting>
  <conditionalFormatting sqref="F44">
    <cfRule type="expression" dxfId="1496" priority="94">
      <formula>NOT($M43)</formula>
    </cfRule>
  </conditionalFormatting>
  <conditionalFormatting sqref="F45">
    <cfRule type="expression" dxfId="1495" priority="92">
      <formula>AND($M45,F45="")</formula>
    </cfRule>
    <cfRule type="expression" dxfId="1494" priority="91">
      <formula>NOT($M45)</formula>
    </cfRule>
  </conditionalFormatting>
  <conditionalFormatting sqref="F46">
    <cfRule type="expression" dxfId="1493" priority="90">
      <formula>NOT($M45)</formula>
    </cfRule>
  </conditionalFormatting>
  <conditionalFormatting sqref="F62">
    <cfRule type="expression" dxfId="1492" priority="88">
      <formula>AND($M62,F62="")</formula>
    </cfRule>
    <cfRule type="expression" dxfId="1491" priority="87">
      <formula>NOT($M62)</formula>
    </cfRule>
  </conditionalFormatting>
  <conditionalFormatting sqref="F62:F79">
    <cfRule type="expression" dxfId="1490" priority="53">
      <formula>NOT($N$3)</formula>
    </cfRule>
  </conditionalFormatting>
  <conditionalFormatting sqref="F63">
    <cfRule type="expression" dxfId="1489" priority="86">
      <formula>NOT($M62)</formula>
    </cfRule>
  </conditionalFormatting>
  <conditionalFormatting sqref="F64">
    <cfRule type="expression" dxfId="1488" priority="84">
      <formula>AND($M64,F64="")</formula>
    </cfRule>
    <cfRule type="expression" dxfId="1487" priority="83">
      <formula>NOT($M64)</formula>
    </cfRule>
  </conditionalFormatting>
  <conditionalFormatting sqref="F65">
    <cfRule type="expression" dxfId="1486" priority="82">
      <formula>NOT($M64)</formula>
    </cfRule>
  </conditionalFormatting>
  <conditionalFormatting sqref="F66">
    <cfRule type="expression" dxfId="1485" priority="80">
      <formula>AND($M66,F66="")</formula>
    </cfRule>
    <cfRule type="expression" dxfId="1484" priority="79">
      <formula>NOT($M66)</formula>
    </cfRule>
  </conditionalFormatting>
  <conditionalFormatting sqref="F67">
    <cfRule type="expression" dxfId="1483" priority="78">
      <formula>NOT($M66)</formula>
    </cfRule>
  </conditionalFormatting>
  <conditionalFormatting sqref="F68">
    <cfRule type="expression" dxfId="1482" priority="76">
      <formula>AND($M68,F68="")</formula>
    </cfRule>
    <cfRule type="expression" dxfId="1481" priority="75">
      <formula>NOT($M68)</formula>
    </cfRule>
  </conditionalFormatting>
  <conditionalFormatting sqref="F69">
    <cfRule type="expression" dxfId="1480" priority="74">
      <formula>NOT($M68)</formula>
    </cfRule>
  </conditionalFormatting>
  <conditionalFormatting sqref="F70">
    <cfRule type="expression" dxfId="1479" priority="71">
      <formula>NOT($M70)</formula>
    </cfRule>
    <cfRule type="expression" dxfId="1478" priority="72">
      <formula>AND($M70,F70="")</formula>
    </cfRule>
  </conditionalFormatting>
  <conditionalFormatting sqref="F71">
    <cfRule type="expression" dxfId="1477" priority="70">
      <formula>NOT($M70)</formula>
    </cfRule>
  </conditionalFormatting>
  <conditionalFormatting sqref="F72">
    <cfRule type="expression" dxfId="1476" priority="68">
      <formula>AND($M72,F72="")</formula>
    </cfRule>
    <cfRule type="expression" dxfId="1475" priority="67">
      <formula>NOT($M72)</formula>
    </cfRule>
  </conditionalFormatting>
  <conditionalFormatting sqref="F73">
    <cfRule type="expression" dxfId="1474" priority="66">
      <formula>NOT($M72)</formula>
    </cfRule>
  </conditionalFormatting>
  <conditionalFormatting sqref="F74">
    <cfRule type="expression" dxfId="1473" priority="63">
      <formula>NOT($M74)</formula>
    </cfRule>
    <cfRule type="expression" dxfId="1472" priority="64">
      <formula>AND($M74,F74="")</formula>
    </cfRule>
  </conditionalFormatting>
  <conditionalFormatting sqref="F75">
    <cfRule type="expression" dxfId="1471" priority="62">
      <formula>NOT($M74)</formula>
    </cfRule>
  </conditionalFormatting>
  <conditionalFormatting sqref="F76">
    <cfRule type="expression" dxfId="1470" priority="59">
      <formula>NOT($M76)</formula>
    </cfRule>
    <cfRule type="expression" dxfId="1469" priority="60">
      <formula>AND($M76,F76="")</formula>
    </cfRule>
  </conditionalFormatting>
  <conditionalFormatting sqref="F77">
    <cfRule type="expression" dxfId="1468" priority="58">
      <formula>NOT($M76)</formula>
    </cfRule>
  </conditionalFormatting>
  <conditionalFormatting sqref="F78">
    <cfRule type="expression" dxfId="1467" priority="55">
      <formula>NOT($M78)</formula>
    </cfRule>
    <cfRule type="expression" dxfId="1466" priority="56">
      <formula>AND($M78,F78="")</formula>
    </cfRule>
  </conditionalFormatting>
  <conditionalFormatting sqref="F79">
    <cfRule type="expression" dxfId="1465" priority="54">
      <formula>NOT($M78)</formula>
    </cfRule>
  </conditionalFormatting>
  <conditionalFormatting sqref="F85">
    <cfRule type="expression" dxfId="1464" priority="51">
      <formula>NOT($M85)</formula>
    </cfRule>
    <cfRule type="expression" dxfId="1463" priority="52">
      <formula>AND($M85,F85="")</formula>
    </cfRule>
  </conditionalFormatting>
  <conditionalFormatting sqref="F85:F92">
    <cfRule type="expression" dxfId="1462" priority="37">
      <formula>NOT($N$3)</formula>
    </cfRule>
  </conditionalFormatting>
  <conditionalFormatting sqref="F86">
    <cfRule type="expression" dxfId="1461" priority="50">
      <formula>NOT($M85)</formula>
    </cfRule>
  </conditionalFormatting>
  <conditionalFormatting sqref="F87">
    <cfRule type="expression" dxfId="1460" priority="48">
      <formula>AND($M87,F87="")</formula>
    </cfRule>
    <cfRule type="expression" dxfId="1459" priority="47">
      <formula>NOT($M87)</formula>
    </cfRule>
  </conditionalFormatting>
  <conditionalFormatting sqref="F88">
    <cfRule type="expression" dxfId="1458" priority="46">
      <formula>NOT($M87)</formula>
    </cfRule>
  </conditionalFormatting>
  <conditionalFormatting sqref="F89">
    <cfRule type="expression" dxfId="1457" priority="43">
      <formula>NOT($M89)</formula>
    </cfRule>
    <cfRule type="expression" dxfId="1456" priority="44">
      <formula>AND($M89,F89="")</formula>
    </cfRule>
  </conditionalFormatting>
  <conditionalFormatting sqref="F90">
    <cfRule type="expression" dxfId="1455" priority="42">
      <formula>NOT($M89)</formula>
    </cfRule>
  </conditionalFormatting>
  <conditionalFormatting sqref="F91">
    <cfRule type="expression" dxfId="1454" priority="40">
      <formula>AND($M91,F91="")</formula>
    </cfRule>
    <cfRule type="expression" dxfId="1453" priority="39">
      <formula>NOT($M91)</formula>
    </cfRule>
  </conditionalFormatting>
  <conditionalFormatting sqref="F92">
    <cfRule type="expression" dxfId="1452" priority="38">
      <formula>NOT($M91)</formula>
    </cfRule>
  </conditionalFormatting>
  <conditionalFormatting sqref="F102">
    <cfRule type="expression" dxfId="1451" priority="35">
      <formula>NOT($M102)</formula>
    </cfRule>
    <cfRule type="expression" dxfId="1450" priority="36">
      <formula>AND($M102,F102="")</formula>
    </cfRule>
  </conditionalFormatting>
  <conditionalFormatting sqref="F102:F105">
    <cfRule type="expression" dxfId="1449" priority="29">
      <formula>NOT($N$3)</formula>
    </cfRule>
  </conditionalFormatting>
  <conditionalFormatting sqref="F103">
    <cfRule type="expression" dxfId="1448" priority="34">
      <formula>NOT($M102)</formula>
    </cfRule>
  </conditionalFormatting>
  <conditionalFormatting sqref="F104">
    <cfRule type="expression" dxfId="1447" priority="32">
      <formula>AND($M104,F104="")</formula>
    </cfRule>
    <cfRule type="expression" dxfId="1446" priority="31">
      <formula>NOT($M104)</formula>
    </cfRule>
  </conditionalFormatting>
  <conditionalFormatting sqref="F105">
    <cfRule type="expression" dxfId="1445" priority="30">
      <formula>NOT($M104)</formula>
    </cfRule>
  </conditionalFormatting>
  <conditionalFormatting sqref="F111">
    <cfRule type="expression" dxfId="1444" priority="28">
      <formula>AND($M111,F111="")</formula>
    </cfRule>
    <cfRule type="expression" dxfId="1443" priority="27">
      <formula>NOT($M111)</formula>
    </cfRule>
  </conditionalFormatting>
  <conditionalFormatting sqref="F111:F114">
    <cfRule type="expression" dxfId="1442" priority="21">
      <formula>NOT($N$3)</formula>
    </cfRule>
  </conditionalFormatting>
  <conditionalFormatting sqref="F112">
    <cfRule type="expression" dxfId="1441" priority="26">
      <formula>NOT($M111)</formula>
    </cfRule>
  </conditionalFormatting>
  <conditionalFormatting sqref="F113">
    <cfRule type="expression" dxfId="1440" priority="24">
      <formula>AND($M113,F113="")</formula>
    </cfRule>
    <cfRule type="expression" dxfId="1439" priority="23">
      <formula>NOT($M113)</formula>
    </cfRule>
  </conditionalFormatting>
  <conditionalFormatting sqref="F114">
    <cfRule type="expression" dxfId="1438" priority="22">
      <formula>NOT($M113)</formula>
    </cfRule>
  </conditionalFormatting>
  <conditionalFormatting sqref="F120">
    <cfRule type="expression" dxfId="1437" priority="20">
      <formula>AND($M120,F120="")</formula>
    </cfRule>
    <cfRule type="expression" dxfId="1436" priority="19">
      <formula>NOT($M120)</formula>
    </cfRule>
  </conditionalFormatting>
  <conditionalFormatting sqref="F120:F123">
    <cfRule type="expression" dxfId="1435" priority="13">
      <formula>NOT($N$3)</formula>
    </cfRule>
  </conditionalFormatting>
  <conditionalFormatting sqref="F121">
    <cfRule type="expression" dxfId="1434" priority="18">
      <formula>NOT($M120)</formula>
    </cfRule>
  </conditionalFormatting>
  <conditionalFormatting sqref="F122">
    <cfRule type="expression" dxfId="1433" priority="15">
      <formula>NOT($M122)</formula>
    </cfRule>
    <cfRule type="expression" dxfId="1432" priority="16">
      <formula>AND($M122,F122="")</formula>
    </cfRule>
  </conditionalFormatting>
  <conditionalFormatting sqref="F123">
    <cfRule type="expression" dxfId="1431" priority="14">
      <formula>NOT($M122)</formula>
    </cfRule>
  </conditionalFormatting>
  <conditionalFormatting sqref="F129">
    <cfRule type="expression" dxfId="1430" priority="1206">
      <formula>AND(M127,NOT(F129=""))</formula>
    </cfRule>
    <cfRule type="expression" dxfId="1429" priority="1207">
      <formula>NOT(M127)</formula>
    </cfRule>
    <cfRule type="expression" dxfId="1428" priority="1208">
      <formula>AND(M127,F129="")</formula>
    </cfRule>
  </conditionalFormatting>
  <conditionalFormatting sqref="F134:F135">
    <cfRule type="expression" dxfId="1427" priority="2170">
      <formula>AND(M134,F134="")</formula>
    </cfRule>
  </conditionalFormatting>
  <conditionalFormatting sqref="F144">
    <cfRule type="expression" dxfId="1426" priority="1162">
      <formula>AND(M130,F144="")</formula>
    </cfRule>
    <cfRule type="expression" dxfId="1425" priority="1161">
      <formula>NOT(M130)</formula>
    </cfRule>
    <cfRule type="expression" dxfId="1424" priority="1160">
      <formula>AND(M130,NOT(F144=""))</formula>
    </cfRule>
  </conditionalFormatting>
  <conditionalFormatting sqref="F150">
    <cfRule type="expression" dxfId="1423" priority="1129">
      <formula>AND(M147,F150="")</formula>
    </cfRule>
    <cfRule type="expression" dxfId="1422" priority="1128">
      <formula>NOT(M147)</formula>
    </cfRule>
    <cfRule type="expression" dxfId="1421" priority="1127">
      <formula>AND(M147,NOT(F150=""))</formula>
    </cfRule>
  </conditionalFormatting>
  <conditionalFormatting sqref="F151">
    <cfRule type="expression" dxfId="1420" priority="1133">
      <formula>NOT(M147)</formula>
    </cfRule>
    <cfRule type="expression" dxfId="1419" priority="1132">
      <formula>AND(M147,NOT(F151=""))</formula>
    </cfRule>
    <cfRule type="expression" dxfId="1418" priority="1134">
      <formula>AND(M147,F151="")</formula>
    </cfRule>
  </conditionalFormatting>
  <conditionalFormatting sqref="F156:F157">
    <cfRule type="expression" dxfId="1417" priority="1084">
      <formula>AND(M156,F156="")</formula>
    </cfRule>
  </conditionalFormatting>
  <conditionalFormatting sqref="F180">
    <cfRule type="expression" dxfId="1416" priority="1071">
      <formula>AND(M152,F180="")</formula>
    </cfRule>
    <cfRule type="expression" dxfId="1415" priority="1070">
      <formula>NOT(M152)</formula>
    </cfRule>
    <cfRule type="expression" dxfId="1414" priority="1069">
      <formula>AND(M152,NOT(F180=""))</formula>
    </cfRule>
  </conditionalFormatting>
  <conditionalFormatting sqref="F185">
    <cfRule type="expression" dxfId="1413" priority="850">
      <formula>AND(M152,NOT(F185=""))</formula>
    </cfRule>
    <cfRule type="expression" dxfId="1412" priority="851">
      <formula>NOT(M152)</formula>
    </cfRule>
    <cfRule type="expression" dxfId="1411" priority="866">
      <formula>AND(M152,F185="")</formula>
    </cfRule>
  </conditionalFormatting>
  <conditionalFormatting sqref="F201">
    <cfRule type="expression" dxfId="1410" priority="1042">
      <formula>AND(M186,NOT(F201=""))</formula>
    </cfRule>
    <cfRule type="expression" dxfId="1409" priority="1043">
      <formula>NOT(M186)</formula>
    </cfRule>
    <cfRule type="expression" dxfId="1408" priority="1044">
      <formula>AND(M186,F201="")</formula>
    </cfRule>
  </conditionalFormatting>
  <conditionalFormatting sqref="F204">
    <cfRule type="expression" dxfId="1407" priority="909">
      <formula>AND(M202,NOT(F204=""))</formula>
    </cfRule>
    <cfRule type="expression" dxfId="1406" priority="910">
      <formula>NOT(M202)</formula>
    </cfRule>
    <cfRule type="expression" dxfId="1405" priority="911">
      <formula>AND(M202,F204="")</formula>
    </cfRule>
  </conditionalFormatting>
  <conditionalFormatting sqref="F207">
    <cfRule type="expression" dxfId="1404" priority="906">
      <formula>AND(M205,F207="")</formula>
    </cfRule>
    <cfRule type="expression" dxfId="1403" priority="905">
      <formula>NOT(M205)</formula>
    </cfRule>
    <cfRule type="expression" dxfId="1402" priority="904">
      <formula>AND(M205,NOT(F207=""))</formula>
    </cfRule>
  </conditionalFormatting>
  <conditionalFormatting sqref="F208">
    <cfRule type="expression" dxfId="1401" priority="12">
      <formula>AND($M208,F208="")</formula>
    </cfRule>
    <cfRule type="expression" dxfId="1400" priority="11">
      <formula>NOT($M208)</formula>
    </cfRule>
  </conditionalFormatting>
  <conditionalFormatting sqref="F208:F211">
    <cfRule type="expression" dxfId="1399" priority="5">
      <formula>NOT($N$3)</formula>
    </cfRule>
  </conditionalFormatting>
  <conditionalFormatting sqref="F209">
    <cfRule type="expression" dxfId="1398" priority="10">
      <formula>NOT($M208)</formula>
    </cfRule>
  </conditionalFormatting>
  <conditionalFormatting sqref="F210">
    <cfRule type="expression" dxfId="1397" priority="8">
      <formula>AND($M210,F210="")</formula>
    </cfRule>
    <cfRule type="expression" dxfId="1396" priority="7">
      <formula>NOT($M210)</formula>
    </cfRule>
  </conditionalFormatting>
  <conditionalFormatting sqref="F211">
    <cfRule type="expression" dxfId="1395" priority="6">
      <formula>NOT($M210)</formula>
    </cfRule>
  </conditionalFormatting>
  <conditionalFormatting sqref="F217">
    <cfRule type="expression" dxfId="1394" priority="3">
      <formula>NOT($M217)</formula>
    </cfRule>
    <cfRule type="expression" dxfId="1393" priority="4">
      <formula>AND($M217,F217="")</formula>
    </cfRule>
  </conditionalFormatting>
  <conditionalFormatting sqref="F217:F218">
    <cfRule type="expression" dxfId="1392" priority="1">
      <formula>NOT($N$3)</formula>
    </cfRule>
  </conditionalFormatting>
  <conditionalFormatting sqref="F218">
    <cfRule type="expression" dxfId="1391" priority="2">
      <formula>NOT($M217)</formula>
    </cfRule>
  </conditionalFormatting>
  <conditionalFormatting sqref="G132 G154">
    <cfRule type="expression" dxfId="1390" priority="1087">
      <formula>AND(M132,M130,G132="")</formula>
    </cfRule>
    <cfRule type="expression" dxfId="1389" priority="1086">
      <formula>OR(G132&gt;100%,G132&lt;0%)</formula>
    </cfRule>
    <cfRule type="expression" dxfId="1388" priority="1082">
      <formula>AND(M132,M130,NOT(G132=""))</formula>
    </cfRule>
    <cfRule type="expression" dxfId="1387" priority="1081">
      <formula>OR(NOT(M130),NOT(M132))</formula>
    </cfRule>
  </conditionalFormatting>
  <conditionalFormatting sqref="H14">
    <cfRule type="expression" dxfId="1386" priority="642">
      <formula>AND(M14,H14="")</formula>
    </cfRule>
  </conditionalFormatting>
  <conditionalFormatting sqref="H16">
    <cfRule type="expression" dxfId="1385" priority="744">
      <formula>AND(M16,H16="")</formula>
    </cfRule>
  </conditionalFormatting>
  <conditionalFormatting sqref="H18">
    <cfRule type="expression" dxfId="1384" priority="733">
      <formula>AND(M18,H18="")</formula>
    </cfRule>
  </conditionalFormatting>
  <conditionalFormatting sqref="H20">
    <cfRule type="expression" dxfId="1383" priority="726">
      <formula>AND(M20,H20="")</formula>
    </cfRule>
  </conditionalFormatting>
  <conditionalFormatting sqref="H22">
    <cfRule type="expression" dxfId="1382" priority="719">
      <formula>AND(M22,H22="")</formula>
    </cfRule>
  </conditionalFormatting>
  <conditionalFormatting sqref="H27">
    <cfRule type="expression" dxfId="1381" priority="712">
      <formula>AND(M27,H27="")</formula>
    </cfRule>
  </conditionalFormatting>
  <conditionalFormatting sqref="H29">
    <cfRule type="expression" dxfId="1380" priority="705">
      <formula>AND(M29,H29="")</formula>
    </cfRule>
  </conditionalFormatting>
  <conditionalFormatting sqref="H31">
    <cfRule type="expression" dxfId="1379" priority="698">
      <formula>AND(M31,H31="")</formula>
    </cfRule>
  </conditionalFormatting>
  <conditionalFormatting sqref="H33">
    <cfRule type="expression" dxfId="1378" priority="691">
      <formula>AND(M33,H33="")</formula>
    </cfRule>
  </conditionalFormatting>
  <conditionalFormatting sqref="H35">
    <cfRule type="expression" dxfId="1377" priority="684">
      <formula>AND(M35,H35="")</formula>
    </cfRule>
  </conditionalFormatting>
  <conditionalFormatting sqref="H37">
    <cfRule type="expression" dxfId="1376" priority="677">
      <formula>AND(M37,H37="")</formula>
    </cfRule>
  </conditionalFormatting>
  <conditionalFormatting sqref="H39">
    <cfRule type="expression" dxfId="1375" priority="670">
      <formula>AND(M39,H39="")</formula>
    </cfRule>
  </conditionalFormatting>
  <conditionalFormatting sqref="H41">
    <cfRule type="expression" dxfId="1374" priority="663">
      <formula>AND(M41,H41="")</formula>
    </cfRule>
  </conditionalFormatting>
  <conditionalFormatting sqref="H43">
    <cfRule type="expression" dxfId="1373" priority="656">
      <formula>AND(M43,H43="")</formula>
    </cfRule>
  </conditionalFormatting>
  <conditionalFormatting sqref="H45">
    <cfRule type="expression" dxfId="1372" priority="649">
      <formula>AND(M45,H45="")</formula>
    </cfRule>
  </conditionalFormatting>
  <conditionalFormatting sqref="H50">
    <cfRule type="expression" dxfId="1371" priority="635">
      <formula>AND(M50,H50="")</formula>
    </cfRule>
  </conditionalFormatting>
  <conditionalFormatting sqref="H52">
    <cfRule type="expression" dxfId="1370" priority="628">
      <formula>AND(M52,H52="")</formula>
    </cfRule>
  </conditionalFormatting>
  <conditionalFormatting sqref="H54">
    <cfRule type="expression" dxfId="1369" priority="621">
      <formula>AND(M54,H54="")</formula>
    </cfRule>
  </conditionalFormatting>
  <conditionalFormatting sqref="H56">
    <cfRule type="expression" dxfId="1368" priority="614">
      <formula>AND(M56,H56="")</formula>
    </cfRule>
  </conditionalFormatting>
  <conditionalFormatting sqref="H58">
    <cfRule type="expression" dxfId="1367" priority="607">
      <formula>AND(M58,H58="")</formula>
    </cfRule>
  </conditionalFormatting>
  <conditionalFormatting sqref="H60">
    <cfRule type="expression" dxfId="1366" priority="600">
      <formula>AND(M60,H60="")</formula>
    </cfRule>
  </conditionalFormatting>
  <conditionalFormatting sqref="H62">
    <cfRule type="expression" dxfId="1365" priority="593">
      <formula>AND(M62,H62="")</formula>
    </cfRule>
  </conditionalFormatting>
  <conditionalFormatting sqref="H64">
    <cfRule type="expression" dxfId="1364" priority="586">
      <formula>AND(M64,H64="")</formula>
    </cfRule>
  </conditionalFormatting>
  <conditionalFormatting sqref="H66">
    <cfRule type="expression" dxfId="1363" priority="579">
      <formula>AND(M66,H66="")</formula>
    </cfRule>
  </conditionalFormatting>
  <conditionalFormatting sqref="H68">
    <cfRule type="expression" dxfId="1362" priority="572">
      <formula>AND(M68,H68="")</formula>
    </cfRule>
  </conditionalFormatting>
  <conditionalFormatting sqref="H70">
    <cfRule type="expression" dxfId="1361" priority="565">
      <formula>AND(M70,H70="")</formula>
    </cfRule>
  </conditionalFormatting>
  <conditionalFormatting sqref="H72">
    <cfRule type="expression" dxfId="1360" priority="558">
      <formula>AND(M72,H72="")</formula>
    </cfRule>
  </conditionalFormatting>
  <conditionalFormatting sqref="H74">
    <cfRule type="expression" dxfId="1359" priority="551">
      <formula>AND(M74,H74="")</formula>
    </cfRule>
  </conditionalFormatting>
  <conditionalFormatting sqref="H76">
    <cfRule type="expression" dxfId="1358" priority="544">
      <formula>AND(M76,H76="")</formula>
    </cfRule>
  </conditionalFormatting>
  <conditionalFormatting sqref="H78">
    <cfRule type="expression" dxfId="1357" priority="537">
      <formula>AND(M78,H78="")</formula>
    </cfRule>
  </conditionalFormatting>
  <conditionalFormatting sqref="H83">
    <cfRule type="expression" dxfId="1356" priority="530">
      <formula>AND(M83,H83="")</formula>
    </cfRule>
  </conditionalFormatting>
  <conditionalFormatting sqref="H85">
    <cfRule type="expression" dxfId="1355" priority="523">
      <formula>AND(M85,H85="")</formula>
    </cfRule>
  </conditionalFormatting>
  <conditionalFormatting sqref="H87">
    <cfRule type="expression" dxfId="1354" priority="516">
      <formula>AND(M87,H87="")</formula>
    </cfRule>
  </conditionalFormatting>
  <conditionalFormatting sqref="H89">
    <cfRule type="expression" dxfId="1353" priority="509">
      <formula>AND(M89,H89="")</formula>
    </cfRule>
  </conditionalFormatting>
  <conditionalFormatting sqref="H91">
    <cfRule type="expression" dxfId="1352" priority="502">
      <formula>AND(M91,H91="")</formula>
    </cfRule>
  </conditionalFormatting>
  <conditionalFormatting sqref="H96">
    <cfRule type="expression" dxfId="1351" priority="495">
      <formula>AND(M96,H96="")</formula>
    </cfRule>
  </conditionalFormatting>
  <conditionalFormatting sqref="H98">
    <cfRule type="expression" dxfId="1350" priority="488">
      <formula>AND(M98,H98="")</formula>
    </cfRule>
  </conditionalFormatting>
  <conditionalFormatting sqref="H100">
    <cfRule type="expression" dxfId="1349" priority="481">
      <formula>AND(M100,H100="")</formula>
    </cfRule>
  </conditionalFormatting>
  <conditionalFormatting sqref="H102">
    <cfRule type="expression" dxfId="1348" priority="474">
      <formula>AND(M102,H102="")</formula>
    </cfRule>
  </conditionalFormatting>
  <conditionalFormatting sqref="H104">
    <cfRule type="expression" dxfId="1347" priority="467">
      <formula>AND(M104,H104="")</formula>
    </cfRule>
  </conditionalFormatting>
  <conditionalFormatting sqref="H109">
    <cfRule type="expression" dxfId="1346" priority="460">
      <formula>AND(M109,H109="")</formula>
    </cfRule>
  </conditionalFormatting>
  <conditionalFormatting sqref="H111">
    <cfRule type="expression" dxfId="1345" priority="453">
      <formula>AND(M111,H111="")</formula>
    </cfRule>
  </conditionalFormatting>
  <conditionalFormatting sqref="H113">
    <cfRule type="expression" dxfId="1344" priority="446">
      <formula>AND(M113,H113="")</formula>
    </cfRule>
  </conditionalFormatting>
  <conditionalFormatting sqref="H118">
    <cfRule type="expression" dxfId="1343" priority="439">
      <formula>AND(M118,H118="")</formula>
    </cfRule>
  </conditionalFormatting>
  <conditionalFormatting sqref="H120">
    <cfRule type="expression" dxfId="1342" priority="432">
      <formula>AND(M120,H120="")</formula>
    </cfRule>
  </conditionalFormatting>
  <conditionalFormatting sqref="H122">
    <cfRule type="expression" dxfId="1341" priority="425">
      <formula>AND(M122,H122="")</formula>
    </cfRule>
  </conditionalFormatting>
  <conditionalFormatting sqref="H127">
    <cfRule type="expression" dxfId="1340" priority="418">
      <formula>AND(M127,H127="")</formula>
    </cfRule>
  </conditionalFormatting>
  <conditionalFormatting sqref="H134 H156">
    <cfRule type="expression" dxfId="1339" priority="1075">
      <formula>OR(NOT(M130),NOT(M134))</formula>
    </cfRule>
    <cfRule type="expression" dxfId="1338" priority="1079">
      <formula>AND(M130,M134,H134="")</formula>
    </cfRule>
    <cfRule type="expression" dxfId="1337" priority="1080">
      <formula>AND(M130,M134,NOT(H134=""))</formula>
    </cfRule>
  </conditionalFormatting>
  <conditionalFormatting sqref="H145">
    <cfRule type="expression" dxfId="1336" priority="411">
      <formula>AND(M145,H145="")</formula>
    </cfRule>
  </conditionalFormatting>
  <conditionalFormatting sqref="H147">
    <cfRule type="expression" dxfId="1335" priority="404">
      <formula>AND(M147,H147="")</formula>
    </cfRule>
  </conditionalFormatting>
  <conditionalFormatting sqref="H186">
    <cfRule type="expression" dxfId="1334" priority="397">
      <formula>AND(M186,H186="")</formula>
    </cfRule>
  </conditionalFormatting>
  <conditionalFormatting sqref="H202">
    <cfRule type="expression" dxfId="1333" priority="390">
      <formula>AND(M202,H202="")</formula>
    </cfRule>
  </conditionalFormatting>
  <conditionalFormatting sqref="H205">
    <cfRule type="expression" dxfId="1332" priority="383">
      <formula>AND(M205,H205="")</formula>
    </cfRule>
  </conditionalFormatting>
  <conditionalFormatting sqref="H208">
    <cfRule type="expression" dxfId="1331" priority="376">
      <formula>AND(M208,H208="")</formula>
    </cfRule>
  </conditionalFormatting>
  <conditionalFormatting sqref="H210">
    <cfRule type="expression" dxfId="1330" priority="369">
      <formula>AND(M210,H210="")</formula>
    </cfRule>
  </conditionalFormatting>
  <conditionalFormatting sqref="H215">
    <cfRule type="expression" dxfId="1329" priority="362">
      <formula>AND(M215,H215="")</formula>
    </cfRule>
  </conditionalFormatting>
  <conditionalFormatting sqref="H217">
    <cfRule type="expression" dxfId="1328" priority="355">
      <formula>AND(M217,H217="")</formula>
    </cfRule>
  </conditionalFormatting>
  <conditionalFormatting sqref="H14:I14">
    <cfRule type="expression" dxfId="1327" priority="637">
      <formula>NOT($M14)</formula>
    </cfRule>
  </conditionalFormatting>
  <conditionalFormatting sqref="H16:I16">
    <cfRule type="expression" dxfId="1326" priority="739">
      <formula>NOT($M16)</formula>
    </cfRule>
  </conditionalFormatting>
  <conditionalFormatting sqref="H18:I18">
    <cfRule type="expression" dxfId="1325" priority="728">
      <formula>NOT($M18)</formula>
    </cfRule>
  </conditionalFormatting>
  <conditionalFormatting sqref="H20:I20">
    <cfRule type="expression" dxfId="1324" priority="721">
      <formula>NOT($M20)</formula>
    </cfRule>
  </conditionalFormatting>
  <conditionalFormatting sqref="H22:I22">
    <cfRule type="expression" dxfId="1323" priority="714">
      <formula>NOT($M22)</formula>
    </cfRule>
  </conditionalFormatting>
  <conditionalFormatting sqref="H27:I27">
    <cfRule type="expression" dxfId="1322" priority="707">
      <formula>NOT($M27)</formula>
    </cfRule>
  </conditionalFormatting>
  <conditionalFormatting sqref="H29:I29">
    <cfRule type="expression" dxfId="1321" priority="700">
      <formula>NOT($M29)</formula>
    </cfRule>
  </conditionalFormatting>
  <conditionalFormatting sqref="H31:I31">
    <cfRule type="expression" dxfId="1320" priority="693">
      <formula>NOT($M31)</formula>
    </cfRule>
  </conditionalFormatting>
  <conditionalFormatting sqref="H33:I33">
    <cfRule type="expression" dxfId="1319" priority="686">
      <formula>NOT($M33)</formula>
    </cfRule>
  </conditionalFormatting>
  <conditionalFormatting sqref="H35:I35">
    <cfRule type="expression" dxfId="1318" priority="679">
      <formula>NOT($M35)</formula>
    </cfRule>
  </conditionalFormatting>
  <conditionalFormatting sqref="H37:I37">
    <cfRule type="expression" dxfId="1317" priority="672">
      <formula>NOT($M37)</formula>
    </cfRule>
  </conditionalFormatting>
  <conditionalFormatting sqref="H39:I39">
    <cfRule type="expression" dxfId="1316" priority="665">
      <formula>NOT($M39)</formula>
    </cfRule>
  </conditionalFormatting>
  <conditionalFormatting sqref="H41:I41">
    <cfRule type="expression" dxfId="1315" priority="658">
      <formula>NOT($M41)</formula>
    </cfRule>
  </conditionalFormatting>
  <conditionalFormatting sqref="H43:I43">
    <cfRule type="expression" dxfId="1314" priority="651">
      <formula>NOT($M43)</formula>
    </cfRule>
  </conditionalFormatting>
  <conditionalFormatting sqref="H45:I45">
    <cfRule type="expression" dxfId="1313" priority="644">
      <formula>NOT($M45)</formula>
    </cfRule>
  </conditionalFormatting>
  <conditionalFormatting sqref="H50:I50">
    <cfRule type="expression" dxfId="1312" priority="630">
      <formula>NOT($M50)</formula>
    </cfRule>
  </conditionalFormatting>
  <conditionalFormatting sqref="H52:I52">
    <cfRule type="expression" dxfId="1311" priority="623">
      <formula>NOT($M52)</formula>
    </cfRule>
  </conditionalFormatting>
  <conditionalFormatting sqref="H54:I54">
    <cfRule type="expression" dxfId="1310" priority="616">
      <formula>NOT($M54)</formula>
    </cfRule>
  </conditionalFormatting>
  <conditionalFormatting sqref="H56:I56">
    <cfRule type="expression" dxfId="1309" priority="609">
      <formula>NOT($M56)</formula>
    </cfRule>
  </conditionalFormatting>
  <conditionalFormatting sqref="H58:I58">
    <cfRule type="expression" dxfId="1308" priority="602">
      <formula>NOT($M58)</formula>
    </cfRule>
  </conditionalFormatting>
  <conditionalFormatting sqref="H60:I60">
    <cfRule type="expression" dxfId="1307" priority="595">
      <formula>NOT($M60)</formula>
    </cfRule>
  </conditionalFormatting>
  <conditionalFormatting sqref="H62:I62">
    <cfRule type="expression" dxfId="1306" priority="588">
      <formula>NOT($M62)</formula>
    </cfRule>
  </conditionalFormatting>
  <conditionalFormatting sqref="H64:I64">
    <cfRule type="expression" dxfId="1305" priority="581">
      <formula>NOT($M64)</formula>
    </cfRule>
  </conditionalFormatting>
  <conditionalFormatting sqref="H66:I66">
    <cfRule type="expression" dxfId="1304" priority="574">
      <formula>NOT($M66)</formula>
    </cfRule>
  </conditionalFormatting>
  <conditionalFormatting sqref="H68:I68">
    <cfRule type="expression" dxfId="1303" priority="567">
      <formula>NOT($M68)</formula>
    </cfRule>
  </conditionalFormatting>
  <conditionalFormatting sqref="H70:I70">
    <cfRule type="expression" dxfId="1302" priority="560">
      <formula>NOT($M70)</formula>
    </cfRule>
  </conditionalFormatting>
  <conditionalFormatting sqref="H72:I72">
    <cfRule type="expression" dxfId="1301" priority="553">
      <formula>NOT($M72)</formula>
    </cfRule>
  </conditionalFormatting>
  <conditionalFormatting sqref="H74:I74">
    <cfRule type="expression" dxfId="1300" priority="546">
      <formula>NOT($M74)</formula>
    </cfRule>
  </conditionalFormatting>
  <conditionalFormatting sqref="H76:I76">
    <cfRule type="expression" dxfId="1299" priority="539">
      <formula>NOT($M76)</formula>
    </cfRule>
  </conditionalFormatting>
  <conditionalFormatting sqref="H78:I78">
    <cfRule type="expression" dxfId="1298" priority="532">
      <formula>NOT($M78)</formula>
    </cfRule>
  </conditionalFormatting>
  <conditionalFormatting sqref="H83:I83">
    <cfRule type="expression" dxfId="1297" priority="525">
      <formula>NOT($M83)</formula>
    </cfRule>
  </conditionalFormatting>
  <conditionalFormatting sqref="H85:I85">
    <cfRule type="expression" dxfId="1296" priority="518">
      <formula>NOT($M85)</formula>
    </cfRule>
  </conditionalFormatting>
  <conditionalFormatting sqref="H87:I87">
    <cfRule type="expression" dxfId="1295" priority="511">
      <formula>NOT($M87)</formula>
    </cfRule>
  </conditionalFormatting>
  <conditionalFormatting sqref="H89:I89">
    <cfRule type="expression" dxfId="1294" priority="504">
      <formula>NOT($M89)</formula>
    </cfRule>
  </conditionalFormatting>
  <conditionalFormatting sqref="H91:I91">
    <cfRule type="expression" dxfId="1293" priority="497">
      <formula>NOT($M91)</formula>
    </cfRule>
  </conditionalFormatting>
  <conditionalFormatting sqref="H96:I96">
    <cfRule type="expression" dxfId="1292" priority="490">
      <formula>NOT($M96)</formula>
    </cfRule>
  </conditionalFormatting>
  <conditionalFormatting sqref="H98:I98">
    <cfRule type="expression" dxfId="1291" priority="483">
      <formula>NOT($M98)</formula>
    </cfRule>
  </conditionalFormatting>
  <conditionalFormatting sqref="H100:I100">
    <cfRule type="expression" dxfId="1290" priority="476">
      <formula>NOT($M100)</formula>
    </cfRule>
  </conditionalFormatting>
  <conditionalFormatting sqref="H102:I102">
    <cfRule type="expression" dxfId="1289" priority="469">
      <formula>NOT($M102)</formula>
    </cfRule>
  </conditionalFormatting>
  <conditionalFormatting sqref="H104:I104">
    <cfRule type="expression" dxfId="1288" priority="462">
      <formula>NOT($M104)</formula>
    </cfRule>
  </conditionalFormatting>
  <conditionalFormatting sqref="H109:I109">
    <cfRule type="expression" dxfId="1287" priority="455">
      <formula>NOT($M109)</formula>
    </cfRule>
  </conditionalFormatting>
  <conditionalFormatting sqref="H111:I111">
    <cfRule type="expression" dxfId="1286" priority="448">
      <formula>NOT($M111)</formula>
    </cfRule>
  </conditionalFormatting>
  <conditionalFormatting sqref="H113:I113">
    <cfRule type="expression" dxfId="1285" priority="441">
      <formula>NOT($M113)</formula>
    </cfRule>
  </conditionalFormatting>
  <conditionalFormatting sqref="H118:I118">
    <cfRule type="expression" dxfId="1284" priority="434">
      <formula>NOT($M118)</formula>
    </cfRule>
  </conditionalFormatting>
  <conditionalFormatting sqref="H120:I120">
    <cfRule type="expression" dxfId="1283" priority="427">
      <formula>NOT($M120)</formula>
    </cfRule>
  </conditionalFormatting>
  <conditionalFormatting sqref="H122:I122">
    <cfRule type="expression" dxfId="1282" priority="420">
      <formula>NOT($M122)</formula>
    </cfRule>
  </conditionalFormatting>
  <conditionalFormatting sqref="H127:I127">
    <cfRule type="expression" dxfId="1281" priority="413">
      <formula>NOT($M127)</formula>
    </cfRule>
  </conditionalFormatting>
  <conditionalFormatting sqref="H145:I145">
    <cfRule type="expression" dxfId="1280" priority="406">
      <formula>NOT($M145)</formula>
    </cfRule>
  </conditionalFormatting>
  <conditionalFormatting sqref="H147:I147">
    <cfRule type="expression" dxfId="1279" priority="399">
      <formula>NOT($M147)</formula>
    </cfRule>
  </conditionalFormatting>
  <conditionalFormatting sqref="H186:I186">
    <cfRule type="expression" dxfId="1278" priority="392">
      <formula>NOT($M186)</formula>
    </cfRule>
  </conditionalFormatting>
  <conditionalFormatting sqref="H202:I202">
    <cfRule type="expression" dxfId="1277" priority="385">
      <formula>NOT($M202)</formula>
    </cfRule>
  </conditionalFormatting>
  <conditionalFormatting sqref="H205:I205">
    <cfRule type="expression" dxfId="1276" priority="378">
      <formula>NOT($M205)</formula>
    </cfRule>
  </conditionalFormatting>
  <conditionalFormatting sqref="H208:I208">
    <cfRule type="expression" dxfId="1275" priority="371">
      <formula>NOT($M208)</formula>
    </cfRule>
  </conditionalFormatting>
  <conditionalFormatting sqref="H210:I210">
    <cfRule type="expression" dxfId="1274" priority="364">
      <formula>NOT($M210)</formula>
    </cfRule>
  </conditionalFormatting>
  <conditionalFormatting sqref="H215:I215">
    <cfRule type="expression" dxfId="1273" priority="357">
      <formula>NOT($M215)</formula>
    </cfRule>
  </conditionalFormatting>
  <conditionalFormatting sqref="H217:I217">
    <cfRule type="expression" dxfId="1272" priority="350">
      <formula>NOT($M217)</formula>
    </cfRule>
  </conditionalFormatting>
  <conditionalFormatting sqref="H14:J23">
    <cfRule type="expression" dxfId="1271" priority="636">
      <formula>NOT($N$3)</formula>
    </cfRule>
  </conditionalFormatting>
  <conditionalFormatting sqref="H27:J46">
    <cfRule type="expression" dxfId="1270" priority="643">
      <formula>NOT($N$3)</formula>
    </cfRule>
  </conditionalFormatting>
  <conditionalFormatting sqref="H50:J79">
    <cfRule type="expression" dxfId="1269" priority="531">
      <formula>NOT($N$3)</formula>
    </cfRule>
  </conditionalFormatting>
  <conditionalFormatting sqref="H83:J92">
    <cfRule type="expression" dxfId="1268" priority="496">
      <formula>NOT($N$3)</formula>
    </cfRule>
  </conditionalFormatting>
  <conditionalFormatting sqref="H96:J105">
    <cfRule type="expression" dxfId="1267" priority="461">
      <formula>NOT($N$3)</formula>
    </cfRule>
  </conditionalFormatting>
  <conditionalFormatting sqref="H109:J114">
    <cfRule type="expression" dxfId="1266" priority="440">
      <formula>NOT($N$3)</formula>
    </cfRule>
  </conditionalFormatting>
  <conditionalFormatting sqref="H118:J123">
    <cfRule type="expression" dxfId="1265" priority="419">
      <formula>NOT($N$3)</formula>
    </cfRule>
  </conditionalFormatting>
  <conditionalFormatting sqref="H127:J128">
    <cfRule type="expression" dxfId="1264" priority="412">
      <formula>NOT($N$3)</formula>
    </cfRule>
  </conditionalFormatting>
  <conditionalFormatting sqref="H145:J148">
    <cfRule type="expression" dxfId="1263" priority="398">
      <formula>NOT($N$3)</formula>
    </cfRule>
  </conditionalFormatting>
  <conditionalFormatting sqref="H186:J187">
    <cfRule type="expression" dxfId="1262" priority="391">
      <formula>NOT($N$3)</formula>
    </cfRule>
  </conditionalFormatting>
  <conditionalFormatting sqref="H202:J203">
    <cfRule type="expression" dxfId="1261" priority="384">
      <formula>NOT($N$3)</formula>
    </cfRule>
  </conditionalFormatting>
  <conditionalFormatting sqref="H205:J206">
    <cfRule type="expression" dxfId="1260" priority="377">
      <formula>NOT($N$3)</formula>
    </cfRule>
  </conditionalFormatting>
  <conditionalFormatting sqref="H208:J211">
    <cfRule type="expression" dxfId="1259" priority="363">
      <formula>NOT($N$3)</formula>
    </cfRule>
  </conditionalFormatting>
  <conditionalFormatting sqref="H215:J218">
    <cfRule type="expression" dxfId="1258" priority="349">
      <formula>NOT($N$3)</formula>
    </cfRule>
  </conditionalFormatting>
  <conditionalFormatting sqref="I14">
    <cfRule type="expression" dxfId="1257" priority="641">
      <formula>AND(M14,I14="")</formula>
    </cfRule>
  </conditionalFormatting>
  <conditionalFormatting sqref="I16">
    <cfRule type="expression" dxfId="1256" priority="743">
      <formula>AND(M16,I16="")</formula>
    </cfRule>
  </conditionalFormatting>
  <conditionalFormatting sqref="I18">
    <cfRule type="expression" dxfId="1255" priority="732">
      <formula>AND(M18,I18="")</formula>
    </cfRule>
  </conditionalFormatting>
  <conditionalFormatting sqref="I20">
    <cfRule type="expression" dxfId="1254" priority="725">
      <formula>AND(M20,I20="")</formula>
    </cfRule>
  </conditionalFormatting>
  <conditionalFormatting sqref="I22">
    <cfRule type="expression" dxfId="1253" priority="718">
      <formula>AND(M22,I22="")</formula>
    </cfRule>
  </conditionalFormatting>
  <conditionalFormatting sqref="I27">
    <cfRule type="expression" dxfId="1252" priority="711">
      <formula>AND(M27,I27="")</formula>
    </cfRule>
  </conditionalFormatting>
  <conditionalFormatting sqref="I29">
    <cfRule type="expression" dxfId="1251" priority="704">
      <formula>AND(M29,I29="")</formula>
    </cfRule>
  </conditionalFormatting>
  <conditionalFormatting sqref="I31">
    <cfRule type="expression" dxfId="1250" priority="697">
      <formula>AND(M31,I31="")</formula>
    </cfRule>
  </conditionalFormatting>
  <conditionalFormatting sqref="I33">
    <cfRule type="expression" dxfId="1249" priority="690">
      <formula>AND(M33,I33="")</formula>
    </cfRule>
  </conditionalFormatting>
  <conditionalFormatting sqref="I35">
    <cfRule type="expression" dxfId="1248" priority="683">
      <formula>AND(M35,I35="")</formula>
    </cfRule>
  </conditionalFormatting>
  <conditionalFormatting sqref="I37">
    <cfRule type="expression" dxfId="1247" priority="676">
      <formula>AND(M37,I37="")</formula>
    </cfRule>
  </conditionalFormatting>
  <conditionalFormatting sqref="I39">
    <cfRule type="expression" dxfId="1246" priority="669">
      <formula>AND(M39,I39="")</formula>
    </cfRule>
  </conditionalFormatting>
  <conditionalFormatting sqref="I41">
    <cfRule type="expression" dxfId="1245" priority="662">
      <formula>AND(M41,I41="")</formula>
    </cfRule>
  </conditionalFormatting>
  <conditionalFormatting sqref="I43">
    <cfRule type="expression" dxfId="1244" priority="655">
      <formula>AND(M43,I43="")</formula>
    </cfRule>
  </conditionalFormatting>
  <conditionalFormatting sqref="I45">
    <cfRule type="expression" dxfId="1243" priority="648">
      <formula>AND(M45,I45="")</formula>
    </cfRule>
  </conditionalFormatting>
  <conditionalFormatting sqref="I50">
    <cfRule type="expression" dxfId="1242" priority="634">
      <formula>AND(M50,I50="")</formula>
    </cfRule>
  </conditionalFormatting>
  <conditionalFormatting sqref="I52">
    <cfRule type="expression" dxfId="1241" priority="627">
      <formula>AND(M52,I52="")</formula>
    </cfRule>
  </conditionalFormatting>
  <conditionalFormatting sqref="I54">
    <cfRule type="expression" dxfId="1240" priority="620">
      <formula>AND(M54,I54="")</formula>
    </cfRule>
  </conditionalFormatting>
  <conditionalFormatting sqref="I56">
    <cfRule type="expression" dxfId="1239" priority="613">
      <formula>AND(M56,I56="")</formula>
    </cfRule>
  </conditionalFormatting>
  <conditionalFormatting sqref="I58">
    <cfRule type="expression" dxfId="1238" priority="606">
      <formula>AND(M58,I58="")</formula>
    </cfRule>
  </conditionalFormatting>
  <conditionalFormatting sqref="I60">
    <cfRule type="expression" dxfId="1237" priority="599">
      <formula>AND(M60,I60="")</formula>
    </cfRule>
  </conditionalFormatting>
  <conditionalFormatting sqref="I62">
    <cfRule type="expression" dxfId="1236" priority="592">
      <formula>AND(M62,I62="")</formula>
    </cfRule>
  </conditionalFormatting>
  <conditionalFormatting sqref="I64">
    <cfRule type="expression" dxfId="1235" priority="585">
      <formula>AND(M64,I64="")</formula>
    </cfRule>
  </conditionalFormatting>
  <conditionalFormatting sqref="I66">
    <cfRule type="expression" dxfId="1234" priority="578">
      <formula>AND(M66,I66="")</formula>
    </cfRule>
  </conditionalFormatting>
  <conditionalFormatting sqref="I68">
    <cfRule type="expression" dxfId="1233" priority="571">
      <formula>AND(M68,I68="")</formula>
    </cfRule>
  </conditionalFormatting>
  <conditionalFormatting sqref="I70">
    <cfRule type="expression" dxfId="1232" priority="564">
      <formula>AND(M70,I70="")</formula>
    </cfRule>
  </conditionalFormatting>
  <conditionalFormatting sqref="I72">
    <cfRule type="expression" dxfId="1231" priority="557">
      <formula>AND(M72,I72="")</formula>
    </cfRule>
  </conditionalFormatting>
  <conditionalFormatting sqref="I74">
    <cfRule type="expression" dxfId="1230" priority="550">
      <formula>AND(M74,I74="")</formula>
    </cfRule>
  </conditionalFormatting>
  <conditionalFormatting sqref="I76">
    <cfRule type="expression" dxfId="1229" priority="543">
      <formula>AND(M76,I76="")</formula>
    </cfRule>
  </conditionalFormatting>
  <conditionalFormatting sqref="I78">
    <cfRule type="expression" dxfId="1228" priority="536">
      <formula>AND(M78,I78="")</formula>
    </cfRule>
  </conditionalFormatting>
  <conditionalFormatting sqref="I83">
    <cfRule type="expression" dxfId="1227" priority="529">
      <formula>AND(M83,I83="")</formula>
    </cfRule>
  </conditionalFormatting>
  <conditionalFormatting sqref="I85">
    <cfRule type="expression" dxfId="1226" priority="522">
      <formula>AND(M85,I85="")</formula>
    </cfRule>
  </conditionalFormatting>
  <conditionalFormatting sqref="I87">
    <cfRule type="expression" dxfId="1225" priority="515">
      <formula>AND(M87,I87="")</formula>
    </cfRule>
  </conditionalFormatting>
  <conditionalFormatting sqref="I89">
    <cfRule type="expression" dxfId="1224" priority="508">
      <formula>AND(M89,I89="")</formula>
    </cfRule>
  </conditionalFormatting>
  <conditionalFormatting sqref="I91">
    <cfRule type="expression" dxfId="1223" priority="501">
      <formula>AND(M91,I91="")</formula>
    </cfRule>
  </conditionalFormatting>
  <conditionalFormatting sqref="I96">
    <cfRule type="expression" dxfId="1222" priority="494">
      <formula>AND(M96,I96="")</formula>
    </cfRule>
  </conditionalFormatting>
  <conditionalFormatting sqref="I98">
    <cfRule type="expression" dxfId="1221" priority="487">
      <formula>AND(M98,I98="")</formula>
    </cfRule>
  </conditionalFormatting>
  <conditionalFormatting sqref="I100">
    <cfRule type="expression" dxfId="1220" priority="480">
      <formula>AND(M100,I100="")</formula>
    </cfRule>
  </conditionalFormatting>
  <conditionalFormatting sqref="I102">
    <cfRule type="expression" dxfId="1219" priority="473">
      <formula>AND(M102,I102="")</formula>
    </cfRule>
  </conditionalFormatting>
  <conditionalFormatting sqref="I104">
    <cfRule type="expression" dxfId="1218" priority="466">
      <formula>AND(M104,I104="")</formula>
    </cfRule>
  </conditionalFormatting>
  <conditionalFormatting sqref="I109">
    <cfRule type="expression" dxfId="1217" priority="459">
      <formula>AND(M109,I109="")</formula>
    </cfRule>
  </conditionalFormatting>
  <conditionalFormatting sqref="I111">
    <cfRule type="expression" dxfId="1216" priority="452">
      <formula>AND(M111,I111="")</formula>
    </cfRule>
  </conditionalFormatting>
  <conditionalFormatting sqref="I113">
    <cfRule type="expression" dxfId="1215" priority="445">
      <formula>AND(M113,I113="")</formula>
    </cfRule>
  </conditionalFormatting>
  <conditionalFormatting sqref="I118">
    <cfRule type="expression" dxfId="1214" priority="438">
      <formula>AND(M118,I118="")</formula>
    </cfRule>
  </conditionalFormatting>
  <conditionalFormatting sqref="I120">
    <cfRule type="expression" dxfId="1213" priority="431">
      <formula>AND(M120,I120="")</formula>
    </cfRule>
  </conditionalFormatting>
  <conditionalFormatting sqref="I122">
    <cfRule type="expression" dxfId="1212" priority="424">
      <formula>AND(M122,I122="")</formula>
    </cfRule>
  </conditionalFormatting>
  <conditionalFormatting sqref="I127">
    <cfRule type="expression" dxfId="1211" priority="417">
      <formula>AND(M127,I127="")</formula>
    </cfRule>
  </conditionalFormatting>
  <conditionalFormatting sqref="I134 I156">
    <cfRule type="expression" dxfId="1210" priority="1078">
      <formula>AND(M130,M134,NOT(I134=""))</formula>
    </cfRule>
    <cfRule type="expression" dxfId="1209" priority="1074">
      <formula>OR(NOT(M130),NOT(M134))</formula>
    </cfRule>
    <cfRule type="expression" dxfId="1208" priority="1077">
      <formula>AND(M130,M134,I134="")</formula>
    </cfRule>
  </conditionalFormatting>
  <conditionalFormatting sqref="I145">
    <cfRule type="expression" dxfId="1207" priority="410">
      <formula>AND(M145,I145="")</formula>
    </cfRule>
  </conditionalFormatting>
  <conditionalFormatting sqref="I147">
    <cfRule type="expression" dxfId="1206" priority="403">
      <formula>AND(M147,I147="")</formula>
    </cfRule>
  </conditionalFormatting>
  <conditionalFormatting sqref="I186">
    <cfRule type="expression" dxfId="1205" priority="396">
      <formula>AND(M186,I186="")</formula>
    </cfRule>
  </conditionalFormatting>
  <conditionalFormatting sqref="I202">
    <cfRule type="expression" dxfId="1204" priority="389">
      <formula>AND(M202,I202="")</formula>
    </cfRule>
  </conditionalFormatting>
  <conditionalFormatting sqref="I205">
    <cfRule type="expression" dxfId="1203" priority="382">
      <formula>AND(M205,I205="")</formula>
    </cfRule>
  </conditionalFormatting>
  <conditionalFormatting sqref="I208">
    <cfRule type="expression" dxfId="1202" priority="375">
      <formula>AND(M208,I208="")</formula>
    </cfRule>
  </conditionalFormatting>
  <conditionalFormatting sqref="I210">
    <cfRule type="expression" dxfId="1201" priority="368">
      <formula>AND(M210,I210="")</formula>
    </cfRule>
  </conditionalFormatting>
  <conditionalFormatting sqref="I215">
    <cfRule type="expression" dxfId="1200" priority="361">
      <formula>AND(M215,I215="")</formula>
    </cfRule>
  </conditionalFormatting>
  <conditionalFormatting sqref="I217">
    <cfRule type="expression" dxfId="1199" priority="354">
      <formula>AND(M217,I217="")</formula>
    </cfRule>
  </conditionalFormatting>
  <conditionalFormatting sqref="J14">
    <cfRule type="expression" dxfId="1198" priority="639">
      <formula>M14=FALSE</formula>
    </cfRule>
    <cfRule type="expression" dxfId="1197" priority="640">
      <formula>AND(M14,J14="")</formula>
    </cfRule>
  </conditionalFormatting>
  <conditionalFormatting sqref="J16">
    <cfRule type="expression" dxfId="1196" priority="741">
      <formula>M16=FALSE</formula>
    </cfRule>
    <cfRule type="expression" dxfId="1195" priority="742">
      <formula>AND(M16,J16="")</formula>
    </cfRule>
  </conditionalFormatting>
  <conditionalFormatting sqref="J18">
    <cfRule type="expression" dxfId="1194" priority="730">
      <formula>M18=FALSE</formula>
    </cfRule>
    <cfRule type="expression" dxfId="1193" priority="731">
      <formula>AND(M18,J18="")</formula>
    </cfRule>
  </conditionalFormatting>
  <conditionalFormatting sqref="J20">
    <cfRule type="expression" dxfId="1192" priority="723">
      <formula>M20=FALSE</formula>
    </cfRule>
    <cfRule type="expression" dxfId="1191" priority="724">
      <formula>AND(M20,J20="")</formula>
    </cfRule>
  </conditionalFormatting>
  <conditionalFormatting sqref="J22">
    <cfRule type="expression" dxfId="1190" priority="716">
      <formula>M22=FALSE</formula>
    </cfRule>
    <cfRule type="expression" dxfId="1189" priority="717">
      <formula>AND(M22,J22="")</formula>
    </cfRule>
  </conditionalFormatting>
  <conditionalFormatting sqref="J27">
    <cfRule type="expression" dxfId="1188" priority="709">
      <formula>M27=FALSE</formula>
    </cfRule>
    <cfRule type="expression" dxfId="1187" priority="710">
      <formula>AND(M27,J27="")</formula>
    </cfRule>
  </conditionalFormatting>
  <conditionalFormatting sqref="J29">
    <cfRule type="expression" dxfId="1186" priority="703">
      <formula>AND(M29,J29="")</formula>
    </cfRule>
    <cfRule type="expression" dxfId="1185" priority="702">
      <formula>M29=FALSE</formula>
    </cfRule>
  </conditionalFormatting>
  <conditionalFormatting sqref="J31">
    <cfRule type="expression" dxfId="1184" priority="695">
      <formula>M31=FALSE</formula>
    </cfRule>
    <cfRule type="expression" dxfId="1183" priority="696">
      <formula>AND(M31,J31="")</formula>
    </cfRule>
  </conditionalFormatting>
  <conditionalFormatting sqref="J33">
    <cfRule type="expression" dxfId="1182" priority="688">
      <formula>M33=FALSE</formula>
    </cfRule>
    <cfRule type="expression" dxfId="1181" priority="689">
      <formula>AND(M33,J33="")</formula>
    </cfRule>
  </conditionalFormatting>
  <conditionalFormatting sqref="J35">
    <cfRule type="expression" dxfId="1180" priority="682">
      <formula>AND(M35,J35="")</formula>
    </cfRule>
    <cfRule type="expression" dxfId="1179" priority="681">
      <formula>M35=FALSE</formula>
    </cfRule>
  </conditionalFormatting>
  <conditionalFormatting sqref="J37">
    <cfRule type="expression" dxfId="1178" priority="674">
      <formula>M37=FALSE</formula>
    </cfRule>
    <cfRule type="expression" dxfId="1177" priority="675">
      <formula>AND(M37,J37="")</formula>
    </cfRule>
  </conditionalFormatting>
  <conditionalFormatting sqref="J39">
    <cfRule type="expression" dxfId="1176" priority="668">
      <formula>AND(M39,J39="")</formula>
    </cfRule>
    <cfRule type="expression" dxfId="1175" priority="667">
      <formula>M39=FALSE</formula>
    </cfRule>
  </conditionalFormatting>
  <conditionalFormatting sqref="J41">
    <cfRule type="expression" dxfId="1174" priority="661">
      <formula>AND(M41,J41="")</formula>
    </cfRule>
    <cfRule type="expression" dxfId="1173" priority="660">
      <formula>M41=FALSE</formula>
    </cfRule>
  </conditionalFormatting>
  <conditionalFormatting sqref="J43">
    <cfRule type="expression" dxfId="1172" priority="654">
      <formula>AND(M43,J43="")</formula>
    </cfRule>
    <cfRule type="expression" dxfId="1171" priority="653">
      <formula>M43=FALSE</formula>
    </cfRule>
  </conditionalFormatting>
  <conditionalFormatting sqref="J45">
    <cfRule type="expression" dxfId="1170" priority="646">
      <formula>M45=FALSE</formula>
    </cfRule>
    <cfRule type="expression" dxfId="1169" priority="647">
      <formula>AND(M45,J45="")</formula>
    </cfRule>
  </conditionalFormatting>
  <conditionalFormatting sqref="J50">
    <cfRule type="expression" dxfId="1168" priority="633">
      <formula>AND(M50,J50="")</formula>
    </cfRule>
    <cfRule type="expression" dxfId="1167" priority="632">
      <formula>M50=FALSE</formula>
    </cfRule>
  </conditionalFormatting>
  <conditionalFormatting sqref="J52">
    <cfRule type="expression" dxfId="1166" priority="626">
      <formula>AND(M52,J52="")</formula>
    </cfRule>
    <cfRule type="expression" dxfId="1165" priority="625">
      <formula>M52=FALSE</formula>
    </cfRule>
  </conditionalFormatting>
  <conditionalFormatting sqref="J54">
    <cfRule type="expression" dxfId="1164" priority="618">
      <formula>M54=FALSE</formula>
    </cfRule>
    <cfRule type="expression" dxfId="1163" priority="619">
      <formula>AND(M54,J54="")</formula>
    </cfRule>
  </conditionalFormatting>
  <conditionalFormatting sqref="J56">
    <cfRule type="expression" dxfId="1162" priority="611">
      <formula>M56=FALSE</formula>
    </cfRule>
    <cfRule type="expression" dxfId="1161" priority="612">
      <formula>AND(M56,J56="")</formula>
    </cfRule>
  </conditionalFormatting>
  <conditionalFormatting sqref="J58">
    <cfRule type="expression" dxfId="1160" priority="605">
      <formula>AND(M58,J58="")</formula>
    </cfRule>
    <cfRule type="expression" dxfId="1159" priority="604">
      <formula>M58=FALSE</formula>
    </cfRule>
  </conditionalFormatting>
  <conditionalFormatting sqref="J60">
    <cfRule type="expression" dxfId="1158" priority="598">
      <formula>AND(M60,J60="")</formula>
    </cfRule>
    <cfRule type="expression" dxfId="1157" priority="597">
      <formula>M60=FALSE</formula>
    </cfRule>
  </conditionalFormatting>
  <conditionalFormatting sqref="J62">
    <cfRule type="expression" dxfId="1156" priority="591">
      <formula>AND(M62,J62="")</formula>
    </cfRule>
    <cfRule type="expression" dxfId="1155" priority="590">
      <formula>M62=FALSE</formula>
    </cfRule>
  </conditionalFormatting>
  <conditionalFormatting sqref="J64">
    <cfRule type="expression" dxfId="1154" priority="583">
      <formula>M64=FALSE</formula>
    </cfRule>
    <cfRule type="expression" dxfId="1153" priority="584">
      <formula>AND(M64,J64="")</formula>
    </cfRule>
  </conditionalFormatting>
  <conditionalFormatting sqref="J66">
    <cfRule type="expression" dxfId="1152" priority="577">
      <formula>AND(M66,J66="")</formula>
    </cfRule>
    <cfRule type="expression" dxfId="1151" priority="576">
      <formula>M66=FALSE</formula>
    </cfRule>
  </conditionalFormatting>
  <conditionalFormatting sqref="J68">
    <cfRule type="expression" dxfId="1150" priority="570">
      <formula>AND(M68,J68="")</formula>
    </cfRule>
    <cfRule type="expression" dxfId="1149" priority="569">
      <formula>M68=FALSE</formula>
    </cfRule>
  </conditionalFormatting>
  <conditionalFormatting sqref="J70">
    <cfRule type="expression" dxfId="1148" priority="563">
      <formula>AND(M70,J70="")</formula>
    </cfRule>
    <cfRule type="expression" dxfId="1147" priority="562">
      <formula>M70=FALSE</formula>
    </cfRule>
  </conditionalFormatting>
  <conditionalFormatting sqref="J72">
    <cfRule type="expression" dxfId="1146" priority="556">
      <formula>AND(M72,J72="")</formula>
    </cfRule>
    <cfRule type="expression" dxfId="1145" priority="555">
      <formula>M72=FALSE</formula>
    </cfRule>
  </conditionalFormatting>
  <conditionalFormatting sqref="J74">
    <cfRule type="expression" dxfId="1144" priority="549">
      <formula>AND(M74,J74="")</formula>
    </cfRule>
    <cfRule type="expression" dxfId="1143" priority="548">
      <formula>M74=FALSE</formula>
    </cfRule>
  </conditionalFormatting>
  <conditionalFormatting sqref="J76">
    <cfRule type="expression" dxfId="1142" priority="541">
      <formula>M76=FALSE</formula>
    </cfRule>
    <cfRule type="expression" dxfId="1141" priority="542">
      <formula>AND(M76,J76="")</formula>
    </cfRule>
  </conditionalFormatting>
  <conditionalFormatting sqref="J78">
    <cfRule type="expression" dxfId="1140" priority="534">
      <formula>M78=FALSE</formula>
    </cfRule>
    <cfRule type="expression" dxfId="1139" priority="535">
      <formula>AND(M78,J78="")</formula>
    </cfRule>
  </conditionalFormatting>
  <conditionalFormatting sqref="J83">
    <cfRule type="expression" dxfId="1138" priority="528">
      <formula>AND(M83,J83="")</formula>
    </cfRule>
    <cfRule type="expression" dxfId="1137" priority="527">
      <formula>M83=FALSE</formula>
    </cfRule>
  </conditionalFormatting>
  <conditionalFormatting sqref="J85">
    <cfRule type="expression" dxfId="1136" priority="520">
      <formula>M85=FALSE</formula>
    </cfRule>
    <cfRule type="expression" dxfId="1135" priority="521">
      <formula>AND(M85,J85="")</formula>
    </cfRule>
  </conditionalFormatting>
  <conditionalFormatting sqref="J87">
    <cfRule type="expression" dxfId="1134" priority="514">
      <formula>AND(M87,J87="")</formula>
    </cfRule>
    <cfRule type="expression" dxfId="1133" priority="513">
      <formula>M87=FALSE</formula>
    </cfRule>
  </conditionalFormatting>
  <conditionalFormatting sqref="J89">
    <cfRule type="expression" dxfId="1132" priority="507">
      <formula>AND(M89,J89="")</formula>
    </cfRule>
    <cfRule type="expression" dxfId="1131" priority="506">
      <formula>M89=FALSE</formula>
    </cfRule>
  </conditionalFormatting>
  <conditionalFormatting sqref="J91">
    <cfRule type="expression" dxfId="1130" priority="499">
      <formula>M91=FALSE</formula>
    </cfRule>
    <cfRule type="expression" dxfId="1129" priority="500">
      <formula>AND(M91,J91="")</formula>
    </cfRule>
  </conditionalFormatting>
  <conditionalFormatting sqref="J96">
    <cfRule type="expression" dxfId="1128" priority="492">
      <formula>M96=FALSE</formula>
    </cfRule>
    <cfRule type="expression" dxfId="1127" priority="493">
      <formula>AND(M96,J96="")</formula>
    </cfRule>
  </conditionalFormatting>
  <conditionalFormatting sqref="J98">
    <cfRule type="expression" dxfId="1126" priority="485">
      <formula>M98=FALSE</formula>
    </cfRule>
    <cfRule type="expression" dxfId="1125" priority="486">
      <formula>AND(M98,J98="")</formula>
    </cfRule>
  </conditionalFormatting>
  <conditionalFormatting sqref="J100">
    <cfRule type="expression" dxfId="1124" priority="478">
      <formula>M100=FALSE</formula>
    </cfRule>
    <cfRule type="expression" dxfId="1123" priority="479">
      <formula>AND(M100,J100="")</formula>
    </cfRule>
  </conditionalFormatting>
  <conditionalFormatting sqref="J102">
    <cfRule type="expression" dxfId="1122" priority="471">
      <formula>M102=FALSE</formula>
    </cfRule>
    <cfRule type="expression" dxfId="1121" priority="472">
      <formula>AND(M102,J102="")</formula>
    </cfRule>
  </conditionalFormatting>
  <conditionalFormatting sqref="J104">
    <cfRule type="expression" dxfId="1120" priority="465">
      <formula>AND(M104,J104="")</formula>
    </cfRule>
    <cfRule type="expression" dxfId="1119" priority="464">
      <formula>M104=FALSE</formula>
    </cfRule>
  </conditionalFormatting>
  <conditionalFormatting sqref="J109">
    <cfRule type="expression" dxfId="1118" priority="458">
      <formula>AND(M109,J109="")</formula>
    </cfRule>
    <cfRule type="expression" dxfId="1117" priority="457">
      <formula>M109=FALSE</formula>
    </cfRule>
  </conditionalFormatting>
  <conditionalFormatting sqref="J111">
    <cfRule type="expression" dxfId="1116" priority="450">
      <formula>M111=FALSE</formula>
    </cfRule>
    <cfRule type="expression" dxfId="1115" priority="451">
      <formula>AND(M111,J111="")</formula>
    </cfRule>
  </conditionalFormatting>
  <conditionalFormatting sqref="J113">
    <cfRule type="expression" dxfId="1114" priority="444">
      <formula>AND(M113,J113="")</formula>
    </cfRule>
    <cfRule type="expression" dxfId="1113" priority="443">
      <formula>M113=FALSE</formula>
    </cfRule>
  </conditionalFormatting>
  <conditionalFormatting sqref="J118">
    <cfRule type="expression" dxfId="1112" priority="436">
      <formula>M118=FALSE</formula>
    </cfRule>
    <cfRule type="expression" dxfId="1111" priority="437">
      <formula>AND(M118,J118="")</formula>
    </cfRule>
  </conditionalFormatting>
  <conditionalFormatting sqref="J120">
    <cfRule type="expression" dxfId="1110" priority="429">
      <formula>M120=FALSE</formula>
    </cfRule>
    <cfRule type="expression" dxfId="1109" priority="430">
      <formula>AND(M120,J120="")</formula>
    </cfRule>
  </conditionalFormatting>
  <conditionalFormatting sqref="J122">
    <cfRule type="expression" dxfId="1108" priority="422">
      <formula>M122=FALSE</formula>
    </cfRule>
    <cfRule type="expression" dxfId="1107" priority="423">
      <formula>AND(M122,J122="")</formula>
    </cfRule>
  </conditionalFormatting>
  <conditionalFormatting sqref="J127">
    <cfRule type="expression" dxfId="1106" priority="416">
      <formula>AND(M127,J127="")</formula>
    </cfRule>
    <cfRule type="expression" dxfId="1105" priority="415">
      <formula>M127=FALSE</formula>
    </cfRule>
  </conditionalFormatting>
  <conditionalFormatting sqref="J134 J156">
    <cfRule type="expression" dxfId="1104" priority="1085">
      <formula>AND(M130,M134,J134="")</formula>
    </cfRule>
    <cfRule type="expression" dxfId="1103" priority="1076">
      <formula>AND(M130,M134,NOT(J134=""))</formula>
    </cfRule>
    <cfRule type="expression" dxfId="1102" priority="1073">
      <formula>OR(NOT(M130),NOT(M134))</formula>
    </cfRule>
  </conditionalFormatting>
  <conditionalFormatting sqref="J145">
    <cfRule type="expression" dxfId="1101" priority="409">
      <formula>AND(M145,J145="")</formula>
    </cfRule>
    <cfRule type="expression" dxfId="1100" priority="408">
      <formula>M145=FALSE</formula>
    </cfRule>
  </conditionalFormatting>
  <conditionalFormatting sqref="J147">
    <cfRule type="expression" dxfId="1099" priority="401">
      <formula>M147=FALSE</formula>
    </cfRule>
    <cfRule type="expression" dxfId="1098" priority="402">
      <formula>AND(M147,J147="")</formula>
    </cfRule>
  </conditionalFormatting>
  <conditionalFormatting sqref="J186">
    <cfRule type="expression" dxfId="1097" priority="394">
      <formula>M186=FALSE</formula>
    </cfRule>
    <cfRule type="expression" dxfId="1096" priority="395">
      <formula>AND(M186,J186="")</formula>
    </cfRule>
  </conditionalFormatting>
  <conditionalFormatting sqref="J202">
    <cfRule type="expression" dxfId="1095" priority="387">
      <formula>M202=FALSE</formula>
    </cfRule>
    <cfRule type="expression" dxfId="1094" priority="388">
      <formula>AND(M202,J202="")</formula>
    </cfRule>
  </conditionalFormatting>
  <conditionalFormatting sqref="J205">
    <cfRule type="expression" dxfId="1093" priority="380">
      <formula>M205=FALSE</formula>
    </cfRule>
    <cfRule type="expression" dxfId="1092" priority="381">
      <formula>AND(M205,J205="")</formula>
    </cfRule>
  </conditionalFormatting>
  <conditionalFormatting sqref="J208">
    <cfRule type="expression" dxfId="1091" priority="373">
      <formula>M208=FALSE</formula>
    </cfRule>
    <cfRule type="expression" dxfId="1090" priority="374">
      <formula>AND(M208,J208="")</formula>
    </cfRule>
  </conditionalFormatting>
  <conditionalFormatting sqref="J210">
    <cfRule type="expression" dxfId="1089" priority="366">
      <formula>M210=FALSE</formula>
    </cfRule>
    <cfRule type="expression" dxfId="1088" priority="367">
      <formula>AND(M210,J210="")</formula>
    </cfRule>
  </conditionalFormatting>
  <conditionalFormatting sqref="J215">
    <cfRule type="expression" dxfId="1087" priority="359">
      <formula>M215=FALSE</formula>
    </cfRule>
    <cfRule type="expression" dxfId="1086" priority="360">
      <formula>AND(M215,J215="")</formula>
    </cfRule>
  </conditionalFormatting>
  <conditionalFormatting sqref="J217">
    <cfRule type="expression" dxfId="1085" priority="353">
      <formula>AND(M217,J217="")</formula>
    </cfRule>
    <cfRule type="expression" dxfId="1084" priority="352">
      <formula>M217=FALSE</formula>
    </cfRule>
  </conditionalFormatting>
  <pageMargins left="0.39370078740157483" right="0.19685039370078741" top="0.39370078740157483" bottom="0.47244094488188981" header="0.31496062992125984" footer="0.31496062992125984"/>
  <pageSetup paperSize="9" scale="84" fitToHeight="0" orientation="portrait" r:id="rId1"/>
  <headerFooter scaleWithDoc="0">
    <oddFooter>&amp;L&amp;8©  VHF Bayern - Stand Oktober 2022&amp;R&amp;P</oddFooter>
  </headerFooter>
  <rowBreaks count="5" manualBreakCount="5">
    <brk id="48" max="11" man="1"/>
    <brk id="81" max="11" man="1"/>
    <brk id="125" max="11" man="1"/>
    <brk id="180" max="11" man="1"/>
    <brk id="204" max="11" man="1"/>
  </rowBreaks>
  <ignoredErrors>
    <ignoredError sqref="K186" unlockedFormula="1"/>
    <ignoredError sqref="C78 C74 C76"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12611" r:id="rId4" name="Check Box 323">
              <controlPr defaultSize="0" autoFill="0" autoLine="0" autoPict="0" altText="">
                <anchor moveWithCells="1">
                  <from>
                    <xdr:col>1</xdr:col>
                    <xdr:colOff>0</xdr:colOff>
                    <xdr:row>13</xdr:row>
                    <xdr:rowOff>0</xdr:rowOff>
                  </from>
                  <to>
                    <xdr:col>2</xdr:col>
                    <xdr:colOff>7315</xdr:colOff>
                    <xdr:row>14</xdr:row>
                    <xdr:rowOff>7315</xdr:rowOff>
                  </to>
                </anchor>
              </controlPr>
            </control>
          </mc:Choice>
        </mc:AlternateContent>
        <mc:AlternateContent xmlns:mc="http://schemas.openxmlformats.org/markup-compatibility/2006">
          <mc:Choice Requires="x14">
            <control shapeId="12612" r:id="rId5" name="Check Box 324">
              <controlPr defaultSize="0" autoFill="0" autoLine="0" autoPict="0" altText="">
                <anchor moveWithCells="1">
                  <from>
                    <xdr:col>1</xdr:col>
                    <xdr:colOff>0</xdr:colOff>
                    <xdr:row>15</xdr:row>
                    <xdr:rowOff>21946</xdr:rowOff>
                  </from>
                  <to>
                    <xdr:col>2</xdr:col>
                    <xdr:colOff>7315</xdr:colOff>
                    <xdr:row>16</xdr:row>
                    <xdr:rowOff>7315</xdr:rowOff>
                  </to>
                </anchor>
              </controlPr>
            </control>
          </mc:Choice>
        </mc:AlternateContent>
        <mc:AlternateContent xmlns:mc="http://schemas.openxmlformats.org/markup-compatibility/2006">
          <mc:Choice Requires="x14">
            <control shapeId="12613" r:id="rId6" name="Check Box 325">
              <controlPr defaultSize="0" autoFill="0" autoLine="0" autoPict="0" altText="">
                <anchor moveWithCells="1">
                  <from>
                    <xdr:col>1</xdr:col>
                    <xdr:colOff>0</xdr:colOff>
                    <xdr:row>17</xdr:row>
                    <xdr:rowOff>0</xdr:rowOff>
                  </from>
                  <to>
                    <xdr:col>2</xdr:col>
                    <xdr:colOff>7315</xdr:colOff>
                    <xdr:row>18</xdr:row>
                    <xdr:rowOff>0</xdr:rowOff>
                  </to>
                </anchor>
              </controlPr>
            </control>
          </mc:Choice>
        </mc:AlternateContent>
        <mc:AlternateContent xmlns:mc="http://schemas.openxmlformats.org/markup-compatibility/2006">
          <mc:Choice Requires="x14">
            <control shapeId="12614" r:id="rId7" name="Check Box 326">
              <controlPr defaultSize="0" autoFill="0" autoLine="0" autoPict="0" altText="">
                <anchor moveWithCells="1">
                  <from>
                    <xdr:col>1</xdr:col>
                    <xdr:colOff>0</xdr:colOff>
                    <xdr:row>19</xdr:row>
                    <xdr:rowOff>0</xdr:rowOff>
                  </from>
                  <to>
                    <xdr:col>2</xdr:col>
                    <xdr:colOff>7315</xdr:colOff>
                    <xdr:row>20</xdr:row>
                    <xdr:rowOff>0</xdr:rowOff>
                  </to>
                </anchor>
              </controlPr>
            </control>
          </mc:Choice>
        </mc:AlternateContent>
        <mc:AlternateContent xmlns:mc="http://schemas.openxmlformats.org/markup-compatibility/2006">
          <mc:Choice Requires="x14">
            <control shapeId="12615" r:id="rId8" name="Check Box 327">
              <controlPr defaultSize="0" autoFill="0" autoLine="0" autoPict="0" altText="">
                <anchor moveWithCells="1">
                  <from>
                    <xdr:col>1</xdr:col>
                    <xdr:colOff>0</xdr:colOff>
                    <xdr:row>21</xdr:row>
                    <xdr:rowOff>0</xdr:rowOff>
                  </from>
                  <to>
                    <xdr:col>2</xdr:col>
                    <xdr:colOff>7315</xdr:colOff>
                    <xdr:row>22</xdr:row>
                    <xdr:rowOff>0</xdr:rowOff>
                  </to>
                </anchor>
              </controlPr>
            </control>
          </mc:Choice>
        </mc:AlternateContent>
        <mc:AlternateContent xmlns:mc="http://schemas.openxmlformats.org/markup-compatibility/2006">
          <mc:Choice Requires="x14">
            <control shapeId="12618" r:id="rId9" name="Check Box 330">
              <controlPr defaultSize="0" autoFill="0" autoLine="0" autoPict="0" altText="">
                <anchor moveWithCells="1">
                  <from>
                    <xdr:col>1</xdr:col>
                    <xdr:colOff>0</xdr:colOff>
                    <xdr:row>26</xdr:row>
                    <xdr:rowOff>0</xdr:rowOff>
                  </from>
                  <to>
                    <xdr:col>2</xdr:col>
                    <xdr:colOff>7315</xdr:colOff>
                    <xdr:row>27</xdr:row>
                    <xdr:rowOff>0</xdr:rowOff>
                  </to>
                </anchor>
              </controlPr>
            </control>
          </mc:Choice>
        </mc:AlternateContent>
        <mc:AlternateContent xmlns:mc="http://schemas.openxmlformats.org/markup-compatibility/2006">
          <mc:Choice Requires="x14">
            <control shapeId="12619" r:id="rId10" name="Check Box 331">
              <controlPr defaultSize="0" autoFill="0" autoLine="0" autoPict="0" altText="">
                <anchor moveWithCells="1">
                  <from>
                    <xdr:col>1</xdr:col>
                    <xdr:colOff>0</xdr:colOff>
                    <xdr:row>28</xdr:row>
                    <xdr:rowOff>0</xdr:rowOff>
                  </from>
                  <to>
                    <xdr:col>2</xdr:col>
                    <xdr:colOff>7315</xdr:colOff>
                    <xdr:row>29</xdr:row>
                    <xdr:rowOff>7315</xdr:rowOff>
                  </to>
                </anchor>
              </controlPr>
            </control>
          </mc:Choice>
        </mc:AlternateContent>
        <mc:AlternateContent xmlns:mc="http://schemas.openxmlformats.org/markup-compatibility/2006">
          <mc:Choice Requires="x14">
            <control shapeId="12620" r:id="rId11" name="Check Box 332">
              <controlPr defaultSize="0" autoFill="0" autoLine="0" autoPict="0" altText="">
                <anchor moveWithCells="1">
                  <from>
                    <xdr:col>1</xdr:col>
                    <xdr:colOff>0</xdr:colOff>
                    <xdr:row>30</xdr:row>
                    <xdr:rowOff>21946</xdr:rowOff>
                  </from>
                  <to>
                    <xdr:col>2</xdr:col>
                    <xdr:colOff>7315</xdr:colOff>
                    <xdr:row>31</xdr:row>
                    <xdr:rowOff>7315</xdr:rowOff>
                  </to>
                </anchor>
              </controlPr>
            </control>
          </mc:Choice>
        </mc:AlternateContent>
        <mc:AlternateContent xmlns:mc="http://schemas.openxmlformats.org/markup-compatibility/2006">
          <mc:Choice Requires="x14">
            <control shapeId="12621" r:id="rId12" name="Check Box 333">
              <controlPr defaultSize="0" autoFill="0" autoLine="0" autoPict="0" altText="">
                <anchor moveWithCells="1">
                  <from>
                    <xdr:col>1</xdr:col>
                    <xdr:colOff>0</xdr:colOff>
                    <xdr:row>32</xdr:row>
                    <xdr:rowOff>0</xdr:rowOff>
                  </from>
                  <to>
                    <xdr:col>2</xdr:col>
                    <xdr:colOff>7315</xdr:colOff>
                    <xdr:row>33</xdr:row>
                    <xdr:rowOff>7315</xdr:rowOff>
                  </to>
                </anchor>
              </controlPr>
            </control>
          </mc:Choice>
        </mc:AlternateContent>
        <mc:AlternateContent xmlns:mc="http://schemas.openxmlformats.org/markup-compatibility/2006">
          <mc:Choice Requires="x14">
            <control shapeId="12622" r:id="rId13" name="Check Box 334">
              <controlPr defaultSize="0" autoFill="0" autoLine="0" autoPict="0" altText="">
                <anchor moveWithCells="1">
                  <from>
                    <xdr:col>1</xdr:col>
                    <xdr:colOff>0</xdr:colOff>
                    <xdr:row>34</xdr:row>
                    <xdr:rowOff>0</xdr:rowOff>
                  </from>
                  <to>
                    <xdr:col>2</xdr:col>
                    <xdr:colOff>7315</xdr:colOff>
                    <xdr:row>35</xdr:row>
                    <xdr:rowOff>7315</xdr:rowOff>
                  </to>
                </anchor>
              </controlPr>
            </control>
          </mc:Choice>
        </mc:AlternateContent>
        <mc:AlternateContent xmlns:mc="http://schemas.openxmlformats.org/markup-compatibility/2006">
          <mc:Choice Requires="x14">
            <control shapeId="12625" r:id="rId14" name="Check Box 337">
              <controlPr defaultSize="0" autoFill="0" autoLine="0" autoPict="0" altText="">
                <anchor moveWithCells="1">
                  <from>
                    <xdr:col>1</xdr:col>
                    <xdr:colOff>0</xdr:colOff>
                    <xdr:row>44</xdr:row>
                    <xdr:rowOff>0</xdr:rowOff>
                  </from>
                  <to>
                    <xdr:col>2</xdr:col>
                    <xdr:colOff>21946</xdr:colOff>
                    <xdr:row>45</xdr:row>
                    <xdr:rowOff>7315</xdr:rowOff>
                  </to>
                </anchor>
              </controlPr>
            </control>
          </mc:Choice>
        </mc:AlternateContent>
        <mc:AlternateContent xmlns:mc="http://schemas.openxmlformats.org/markup-compatibility/2006">
          <mc:Choice Requires="x14">
            <control shapeId="12626" r:id="rId15" name="Check Box 338">
              <controlPr defaultSize="0" autoFill="0" autoLine="0" autoPict="0" altText="">
                <anchor moveWithCells="1">
                  <from>
                    <xdr:col>1</xdr:col>
                    <xdr:colOff>0</xdr:colOff>
                    <xdr:row>36</xdr:row>
                    <xdr:rowOff>0</xdr:rowOff>
                  </from>
                  <to>
                    <xdr:col>2</xdr:col>
                    <xdr:colOff>7315</xdr:colOff>
                    <xdr:row>37</xdr:row>
                    <xdr:rowOff>0</xdr:rowOff>
                  </to>
                </anchor>
              </controlPr>
            </control>
          </mc:Choice>
        </mc:AlternateContent>
        <mc:AlternateContent xmlns:mc="http://schemas.openxmlformats.org/markup-compatibility/2006">
          <mc:Choice Requires="x14">
            <control shapeId="12645" r:id="rId16" name="Check Box 357">
              <controlPr defaultSize="0" autoFill="0" autoLine="0" autoPict="0" altText="">
                <anchor moveWithCells="1">
                  <from>
                    <xdr:col>1</xdr:col>
                    <xdr:colOff>0</xdr:colOff>
                    <xdr:row>49</xdr:row>
                    <xdr:rowOff>0</xdr:rowOff>
                  </from>
                  <to>
                    <xdr:col>2</xdr:col>
                    <xdr:colOff>7315</xdr:colOff>
                    <xdr:row>50</xdr:row>
                    <xdr:rowOff>7315</xdr:rowOff>
                  </to>
                </anchor>
              </controlPr>
            </control>
          </mc:Choice>
        </mc:AlternateContent>
        <mc:AlternateContent xmlns:mc="http://schemas.openxmlformats.org/markup-compatibility/2006">
          <mc:Choice Requires="x14">
            <control shapeId="12646" r:id="rId17" name="Check Box 358">
              <controlPr defaultSize="0" autoFill="0" autoLine="0" autoPict="0" altText="">
                <anchor moveWithCells="1">
                  <from>
                    <xdr:col>1</xdr:col>
                    <xdr:colOff>0</xdr:colOff>
                    <xdr:row>51</xdr:row>
                    <xdr:rowOff>21946</xdr:rowOff>
                  </from>
                  <to>
                    <xdr:col>2</xdr:col>
                    <xdr:colOff>7315</xdr:colOff>
                    <xdr:row>52</xdr:row>
                    <xdr:rowOff>7315</xdr:rowOff>
                  </to>
                </anchor>
              </controlPr>
            </control>
          </mc:Choice>
        </mc:AlternateContent>
        <mc:AlternateContent xmlns:mc="http://schemas.openxmlformats.org/markup-compatibility/2006">
          <mc:Choice Requires="x14">
            <control shapeId="12647" r:id="rId18" name="Check Box 359">
              <controlPr defaultSize="0" autoFill="0" autoLine="0" autoPict="0" altText="">
                <anchor moveWithCells="1">
                  <from>
                    <xdr:col>1</xdr:col>
                    <xdr:colOff>0</xdr:colOff>
                    <xdr:row>53</xdr:row>
                    <xdr:rowOff>0</xdr:rowOff>
                  </from>
                  <to>
                    <xdr:col>2</xdr:col>
                    <xdr:colOff>7315</xdr:colOff>
                    <xdr:row>54</xdr:row>
                    <xdr:rowOff>7315</xdr:rowOff>
                  </to>
                </anchor>
              </controlPr>
            </control>
          </mc:Choice>
        </mc:AlternateContent>
        <mc:AlternateContent xmlns:mc="http://schemas.openxmlformats.org/markup-compatibility/2006">
          <mc:Choice Requires="x14">
            <control shapeId="12648" r:id="rId19" name="Check Box 360">
              <controlPr defaultSize="0" autoFill="0" autoLine="0" autoPict="0" altText="">
                <anchor moveWithCells="1">
                  <from>
                    <xdr:col>1</xdr:col>
                    <xdr:colOff>0</xdr:colOff>
                    <xdr:row>55</xdr:row>
                    <xdr:rowOff>0</xdr:rowOff>
                  </from>
                  <to>
                    <xdr:col>2</xdr:col>
                    <xdr:colOff>21946</xdr:colOff>
                    <xdr:row>56</xdr:row>
                    <xdr:rowOff>7315</xdr:rowOff>
                  </to>
                </anchor>
              </controlPr>
            </control>
          </mc:Choice>
        </mc:AlternateContent>
        <mc:AlternateContent xmlns:mc="http://schemas.openxmlformats.org/markup-compatibility/2006">
          <mc:Choice Requires="x14">
            <control shapeId="12649" r:id="rId20" name="Check Box 361">
              <controlPr defaultSize="0" autoFill="0" autoLine="0" autoPict="0" altText="">
                <anchor moveWithCells="1">
                  <from>
                    <xdr:col>1</xdr:col>
                    <xdr:colOff>0</xdr:colOff>
                    <xdr:row>57</xdr:row>
                    <xdr:rowOff>0</xdr:rowOff>
                  </from>
                  <to>
                    <xdr:col>2</xdr:col>
                    <xdr:colOff>7315</xdr:colOff>
                    <xdr:row>58</xdr:row>
                    <xdr:rowOff>7315</xdr:rowOff>
                  </to>
                </anchor>
              </controlPr>
            </control>
          </mc:Choice>
        </mc:AlternateContent>
        <mc:AlternateContent xmlns:mc="http://schemas.openxmlformats.org/markup-compatibility/2006">
          <mc:Choice Requires="x14">
            <control shapeId="12653" r:id="rId21" name="Check Box 365">
              <controlPr defaultSize="0" autoFill="0" autoLine="0" autoPict="0" altText="">
                <anchor moveWithCells="1">
                  <from>
                    <xdr:col>1</xdr:col>
                    <xdr:colOff>0</xdr:colOff>
                    <xdr:row>73</xdr:row>
                    <xdr:rowOff>0</xdr:rowOff>
                  </from>
                  <to>
                    <xdr:col>2</xdr:col>
                    <xdr:colOff>7315</xdr:colOff>
                    <xdr:row>74</xdr:row>
                    <xdr:rowOff>0</xdr:rowOff>
                  </to>
                </anchor>
              </controlPr>
            </control>
          </mc:Choice>
        </mc:AlternateContent>
        <mc:AlternateContent xmlns:mc="http://schemas.openxmlformats.org/markup-compatibility/2006">
          <mc:Choice Requires="x14">
            <control shapeId="12657" r:id="rId22" name="Check Box 369">
              <controlPr defaultSize="0" autoFill="0" autoLine="0" autoPict="0" altText="">
                <anchor moveWithCells="1">
                  <from>
                    <xdr:col>1</xdr:col>
                    <xdr:colOff>0</xdr:colOff>
                    <xdr:row>71</xdr:row>
                    <xdr:rowOff>0</xdr:rowOff>
                  </from>
                  <to>
                    <xdr:col>2</xdr:col>
                    <xdr:colOff>7315</xdr:colOff>
                    <xdr:row>72</xdr:row>
                    <xdr:rowOff>0</xdr:rowOff>
                  </to>
                </anchor>
              </controlPr>
            </control>
          </mc:Choice>
        </mc:AlternateContent>
        <mc:AlternateContent xmlns:mc="http://schemas.openxmlformats.org/markup-compatibility/2006">
          <mc:Choice Requires="x14">
            <control shapeId="12658" r:id="rId23" name="Check Box 370">
              <controlPr defaultSize="0" autoFill="0" autoLine="0" autoPict="0" altText="">
                <anchor moveWithCells="1">
                  <from>
                    <xdr:col>1</xdr:col>
                    <xdr:colOff>0</xdr:colOff>
                    <xdr:row>59</xdr:row>
                    <xdr:rowOff>21946</xdr:rowOff>
                  </from>
                  <to>
                    <xdr:col>2</xdr:col>
                    <xdr:colOff>7315</xdr:colOff>
                    <xdr:row>60</xdr:row>
                    <xdr:rowOff>7315</xdr:rowOff>
                  </to>
                </anchor>
              </controlPr>
            </control>
          </mc:Choice>
        </mc:AlternateContent>
        <mc:AlternateContent xmlns:mc="http://schemas.openxmlformats.org/markup-compatibility/2006">
          <mc:Choice Requires="x14">
            <control shapeId="12659" r:id="rId24" name="Check Box 371">
              <controlPr defaultSize="0" autoFill="0" autoLine="0" autoPict="0" altText="">
                <anchor moveWithCells="1">
                  <from>
                    <xdr:col>1</xdr:col>
                    <xdr:colOff>0</xdr:colOff>
                    <xdr:row>82</xdr:row>
                    <xdr:rowOff>0</xdr:rowOff>
                  </from>
                  <to>
                    <xdr:col>2</xdr:col>
                    <xdr:colOff>7315</xdr:colOff>
                    <xdr:row>83</xdr:row>
                    <xdr:rowOff>7315</xdr:rowOff>
                  </to>
                </anchor>
              </controlPr>
            </control>
          </mc:Choice>
        </mc:AlternateContent>
        <mc:AlternateContent xmlns:mc="http://schemas.openxmlformats.org/markup-compatibility/2006">
          <mc:Choice Requires="x14">
            <control shapeId="12660" r:id="rId25" name="Check Box 372">
              <controlPr defaultSize="0" autoFill="0" autoLine="0" autoPict="0" altText="">
                <anchor moveWithCells="1">
                  <from>
                    <xdr:col>1</xdr:col>
                    <xdr:colOff>0</xdr:colOff>
                    <xdr:row>84</xdr:row>
                    <xdr:rowOff>21946</xdr:rowOff>
                  </from>
                  <to>
                    <xdr:col>2</xdr:col>
                    <xdr:colOff>7315</xdr:colOff>
                    <xdr:row>85</xdr:row>
                    <xdr:rowOff>0</xdr:rowOff>
                  </to>
                </anchor>
              </controlPr>
            </control>
          </mc:Choice>
        </mc:AlternateContent>
        <mc:AlternateContent xmlns:mc="http://schemas.openxmlformats.org/markup-compatibility/2006">
          <mc:Choice Requires="x14">
            <control shapeId="12661" r:id="rId26" name="Check Box 373">
              <controlPr defaultSize="0" autoFill="0" autoLine="0" autoPict="0" altText="">
                <anchor moveWithCells="1">
                  <from>
                    <xdr:col>1</xdr:col>
                    <xdr:colOff>0</xdr:colOff>
                    <xdr:row>90</xdr:row>
                    <xdr:rowOff>0</xdr:rowOff>
                  </from>
                  <to>
                    <xdr:col>2</xdr:col>
                    <xdr:colOff>7315</xdr:colOff>
                    <xdr:row>91</xdr:row>
                    <xdr:rowOff>7315</xdr:rowOff>
                  </to>
                </anchor>
              </controlPr>
            </control>
          </mc:Choice>
        </mc:AlternateContent>
        <mc:AlternateContent xmlns:mc="http://schemas.openxmlformats.org/markup-compatibility/2006">
          <mc:Choice Requires="x14">
            <control shapeId="12669" r:id="rId27" name="Check Box 381">
              <controlPr defaultSize="0" autoFill="0" autoLine="0" autoPict="0" altText="">
                <anchor moveWithCells="1">
                  <from>
                    <xdr:col>1</xdr:col>
                    <xdr:colOff>0</xdr:colOff>
                    <xdr:row>95</xdr:row>
                    <xdr:rowOff>0</xdr:rowOff>
                  </from>
                  <to>
                    <xdr:col>2</xdr:col>
                    <xdr:colOff>7315</xdr:colOff>
                    <xdr:row>96</xdr:row>
                    <xdr:rowOff>7315</xdr:rowOff>
                  </to>
                </anchor>
              </controlPr>
            </control>
          </mc:Choice>
        </mc:AlternateContent>
        <mc:AlternateContent xmlns:mc="http://schemas.openxmlformats.org/markup-compatibility/2006">
          <mc:Choice Requires="x14">
            <control shapeId="12670" r:id="rId28" name="Check Box 382">
              <controlPr defaultSize="0" autoFill="0" autoLine="0" autoPict="0" altText="">
                <anchor moveWithCells="1">
                  <from>
                    <xdr:col>1</xdr:col>
                    <xdr:colOff>0</xdr:colOff>
                    <xdr:row>97</xdr:row>
                    <xdr:rowOff>0</xdr:rowOff>
                  </from>
                  <to>
                    <xdr:col>2</xdr:col>
                    <xdr:colOff>7315</xdr:colOff>
                    <xdr:row>98</xdr:row>
                    <xdr:rowOff>7315</xdr:rowOff>
                  </to>
                </anchor>
              </controlPr>
            </control>
          </mc:Choice>
        </mc:AlternateContent>
        <mc:AlternateContent xmlns:mc="http://schemas.openxmlformats.org/markup-compatibility/2006">
          <mc:Choice Requires="x14">
            <control shapeId="12671" r:id="rId29" name="Check Box 383">
              <controlPr defaultSize="0" autoFill="0" autoLine="0" autoPict="0" altText="">
                <anchor moveWithCells="1">
                  <from>
                    <xdr:col>1</xdr:col>
                    <xdr:colOff>0</xdr:colOff>
                    <xdr:row>99</xdr:row>
                    <xdr:rowOff>0</xdr:rowOff>
                  </from>
                  <to>
                    <xdr:col>2</xdr:col>
                    <xdr:colOff>7315</xdr:colOff>
                    <xdr:row>100</xdr:row>
                    <xdr:rowOff>7315</xdr:rowOff>
                  </to>
                </anchor>
              </controlPr>
            </control>
          </mc:Choice>
        </mc:AlternateContent>
        <mc:AlternateContent xmlns:mc="http://schemas.openxmlformats.org/markup-compatibility/2006">
          <mc:Choice Requires="x14">
            <control shapeId="12678" r:id="rId30" name="Check Box 390">
              <controlPr defaultSize="0" autoFill="0" autoLine="0" autoPict="0" altText="">
                <anchor moveWithCells="1">
                  <from>
                    <xdr:col>1</xdr:col>
                    <xdr:colOff>0</xdr:colOff>
                    <xdr:row>101</xdr:row>
                    <xdr:rowOff>0</xdr:rowOff>
                  </from>
                  <to>
                    <xdr:col>2</xdr:col>
                    <xdr:colOff>7315</xdr:colOff>
                    <xdr:row>102</xdr:row>
                    <xdr:rowOff>0</xdr:rowOff>
                  </to>
                </anchor>
              </controlPr>
            </control>
          </mc:Choice>
        </mc:AlternateContent>
        <mc:AlternateContent xmlns:mc="http://schemas.openxmlformats.org/markup-compatibility/2006">
          <mc:Choice Requires="x14">
            <control shapeId="12679" r:id="rId31" name="Check Box 391">
              <controlPr defaultSize="0" autoFill="0" autoLine="0" autoPict="0" altText="">
                <anchor moveWithCells="1">
                  <from>
                    <xdr:col>1</xdr:col>
                    <xdr:colOff>0</xdr:colOff>
                    <xdr:row>103</xdr:row>
                    <xdr:rowOff>0</xdr:rowOff>
                  </from>
                  <to>
                    <xdr:col>2</xdr:col>
                    <xdr:colOff>7315</xdr:colOff>
                    <xdr:row>104</xdr:row>
                    <xdr:rowOff>7315</xdr:rowOff>
                  </to>
                </anchor>
              </controlPr>
            </control>
          </mc:Choice>
        </mc:AlternateContent>
        <mc:AlternateContent xmlns:mc="http://schemas.openxmlformats.org/markup-compatibility/2006">
          <mc:Choice Requires="x14">
            <control shapeId="12680" r:id="rId32" name="Check Box 392">
              <controlPr defaultSize="0" autoFill="0" autoLine="0" autoPict="0" altText="">
                <anchor moveWithCells="1">
                  <from>
                    <xdr:col>1</xdr:col>
                    <xdr:colOff>0</xdr:colOff>
                    <xdr:row>108</xdr:row>
                    <xdr:rowOff>0</xdr:rowOff>
                  </from>
                  <to>
                    <xdr:col>2</xdr:col>
                    <xdr:colOff>7315</xdr:colOff>
                    <xdr:row>109</xdr:row>
                    <xdr:rowOff>7315</xdr:rowOff>
                  </to>
                </anchor>
              </controlPr>
            </control>
          </mc:Choice>
        </mc:AlternateContent>
        <mc:AlternateContent xmlns:mc="http://schemas.openxmlformats.org/markup-compatibility/2006">
          <mc:Choice Requires="x14">
            <control shapeId="12681" r:id="rId33" name="Check Box 393">
              <controlPr defaultSize="0" autoFill="0" autoLine="0" autoPict="0" altText="">
                <anchor moveWithCells="1">
                  <from>
                    <xdr:col>1</xdr:col>
                    <xdr:colOff>0</xdr:colOff>
                    <xdr:row>110</xdr:row>
                    <xdr:rowOff>0</xdr:rowOff>
                  </from>
                  <to>
                    <xdr:col>2</xdr:col>
                    <xdr:colOff>7315</xdr:colOff>
                    <xdr:row>111</xdr:row>
                    <xdr:rowOff>0</xdr:rowOff>
                  </to>
                </anchor>
              </controlPr>
            </control>
          </mc:Choice>
        </mc:AlternateContent>
        <mc:AlternateContent xmlns:mc="http://schemas.openxmlformats.org/markup-compatibility/2006">
          <mc:Choice Requires="x14">
            <control shapeId="12682" r:id="rId34" name="Check Box 394">
              <controlPr defaultSize="0" autoFill="0" autoLine="0" autoPict="0" altText="">
                <anchor moveWithCells="1">
                  <from>
                    <xdr:col>1</xdr:col>
                    <xdr:colOff>0</xdr:colOff>
                    <xdr:row>112</xdr:row>
                    <xdr:rowOff>0</xdr:rowOff>
                  </from>
                  <to>
                    <xdr:col>2</xdr:col>
                    <xdr:colOff>7315</xdr:colOff>
                    <xdr:row>113</xdr:row>
                    <xdr:rowOff>7315</xdr:rowOff>
                  </to>
                </anchor>
              </controlPr>
            </control>
          </mc:Choice>
        </mc:AlternateContent>
        <mc:AlternateContent xmlns:mc="http://schemas.openxmlformats.org/markup-compatibility/2006">
          <mc:Choice Requires="x14">
            <control shapeId="12690" r:id="rId35" name="Check Box 402">
              <controlPr defaultSize="0" autoFill="0" autoLine="0" autoPict="0" altText="">
                <anchor moveWithCells="1">
                  <from>
                    <xdr:col>1</xdr:col>
                    <xdr:colOff>0</xdr:colOff>
                    <xdr:row>117</xdr:row>
                    <xdr:rowOff>0</xdr:rowOff>
                  </from>
                  <to>
                    <xdr:col>2</xdr:col>
                    <xdr:colOff>7315</xdr:colOff>
                    <xdr:row>118</xdr:row>
                    <xdr:rowOff>7315</xdr:rowOff>
                  </to>
                </anchor>
              </controlPr>
            </control>
          </mc:Choice>
        </mc:AlternateContent>
        <mc:AlternateContent xmlns:mc="http://schemas.openxmlformats.org/markup-compatibility/2006">
          <mc:Choice Requires="x14">
            <control shapeId="12691" r:id="rId36" name="Check Box 403">
              <controlPr defaultSize="0" autoFill="0" autoLine="0" autoPict="0" altText="">
                <anchor moveWithCells="1">
                  <from>
                    <xdr:col>1</xdr:col>
                    <xdr:colOff>0</xdr:colOff>
                    <xdr:row>119</xdr:row>
                    <xdr:rowOff>0</xdr:rowOff>
                  </from>
                  <to>
                    <xdr:col>2</xdr:col>
                    <xdr:colOff>7315</xdr:colOff>
                    <xdr:row>120</xdr:row>
                    <xdr:rowOff>0</xdr:rowOff>
                  </to>
                </anchor>
              </controlPr>
            </control>
          </mc:Choice>
        </mc:AlternateContent>
        <mc:AlternateContent xmlns:mc="http://schemas.openxmlformats.org/markup-compatibility/2006">
          <mc:Choice Requires="x14">
            <control shapeId="12692" r:id="rId37" name="Check Box 404">
              <controlPr defaultSize="0" autoFill="0" autoLine="0" autoPict="0" altText="">
                <anchor moveWithCells="1">
                  <from>
                    <xdr:col>1</xdr:col>
                    <xdr:colOff>0</xdr:colOff>
                    <xdr:row>121</xdr:row>
                    <xdr:rowOff>0</xdr:rowOff>
                  </from>
                  <to>
                    <xdr:col>2</xdr:col>
                    <xdr:colOff>7315</xdr:colOff>
                    <xdr:row>122</xdr:row>
                    <xdr:rowOff>7315</xdr:rowOff>
                  </to>
                </anchor>
              </controlPr>
            </control>
          </mc:Choice>
        </mc:AlternateContent>
        <mc:AlternateContent xmlns:mc="http://schemas.openxmlformats.org/markup-compatibility/2006">
          <mc:Choice Requires="x14">
            <control shapeId="12700" r:id="rId38" name="Check Box 412">
              <controlPr defaultSize="0" autoFill="0" autoLine="0" autoPict="0" altText="">
                <anchor moveWithCells="1">
                  <from>
                    <xdr:col>1</xdr:col>
                    <xdr:colOff>0</xdr:colOff>
                    <xdr:row>129</xdr:row>
                    <xdr:rowOff>0</xdr:rowOff>
                  </from>
                  <to>
                    <xdr:col>2</xdr:col>
                    <xdr:colOff>7315</xdr:colOff>
                    <xdr:row>130</xdr:row>
                    <xdr:rowOff>7315</xdr:rowOff>
                  </to>
                </anchor>
              </controlPr>
            </control>
          </mc:Choice>
        </mc:AlternateContent>
        <mc:AlternateContent xmlns:mc="http://schemas.openxmlformats.org/markup-compatibility/2006">
          <mc:Choice Requires="x14">
            <control shapeId="12703" r:id="rId39" name="Check Box 415">
              <controlPr defaultSize="0" autoFill="0" autoLine="0" autoPict="0" altText="">
                <anchor moveWithCells="1">
                  <from>
                    <xdr:col>1</xdr:col>
                    <xdr:colOff>0</xdr:colOff>
                    <xdr:row>126</xdr:row>
                    <xdr:rowOff>0</xdr:rowOff>
                  </from>
                  <to>
                    <xdr:col>2</xdr:col>
                    <xdr:colOff>7315</xdr:colOff>
                    <xdr:row>127</xdr:row>
                    <xdr:rowOff>7315</xdr:rowOff>
                  </to>
                </anchor>
              </controlPr>
            </control>
          </mc:Choice>
        </mc:AlternateContent>
        <mc:AlternateContent xmlns:mc="http://schemas.openxmlformats.org/markup-compatibility/2006">
          <mc:Choice Requires="x14">
            <control shapeId="12704" r:id="rId40" name="Check Box 416">
              <controlPr defaultSize="0" autoFill="0" autoLine="0" autoPict="0" altText="">
                <anchor moveWithCells="1">
                  <from>
                    <xdr:col>1</xdr:col>
                    <xdr:colOff>0</xdr:colOff>
                    <xdr:row>143</xdr:row>
                    <xdr:rowOff>190195</xdr:rowOff>
                  </from>
                  <to>
                    <xdr:col>2</xdr:col>
                    <xdr:colOff>7315</xdr:colOff>
                    <xdr:row>145</xdr:row>
                    <xdr:rowOff>7315</xdr:rowOff>
                  </to>
                </anchor>
              </controlPr>
            </control>
          </mc:Choice>
        </mc:AlternateContent>
        <mc:AlternateContent xmlns:mc="http://schemas.openxmlformats.org/markup-compatibility/2006">
          <mc:Choice Requires="x14">
            <control shapeId="12706" r:id="rId41" name="Check Box 418">
              <controlPr defaultSize="0" autoFill="0" autoLine="0" autoPict="0" altText="">
                <anchor moveWithCells="1">
                  <from>
                    <xdr:col>1</xdr:col>
                    <xdr:colOff>0</xdr:colOff>
                    <xdr:row>146</xdr:row>
                    <xdr:rowOff>0</xdr:rowOff>
                  </from>
                  <to>
                    <xdr:col>2</xdr:col>
                    <xdr:colOff>7315</xdr:colOff>
                    <xdr:row>147</xdr:row>
                    <xdr:rowOff>7315</xdr:rowOff>
                  </to>
                </anchor>
              </controlPr>
            </control>
          </mc:Choice>
        </mc:AlternateContent>
        <mc:AlternateContent xmlns:mc="http://schemas.openxmlformats.org/markup-compatibility/2006">
          <mc:Choice Requires="x14">
            <control shapeId="12716" r:id="rId42" name="Check Box 428">
              <controlPr defaultSize="0" autoFill="0" autoLine="0" autoPict="0" altText="3 Fahrstreifen">
                <anchor moveWithCells="1">
                  <from>
                    <xdr:col>1</xdr:col>
                    <xdr:colOff>0</xdr:colOff>
                    <xdr:row>203</xdr:row>
                    <xdr:rowOff>190195</xdr:rowOff>
                  </from>
                  <to>
                    <xdr:col>2</xdr:col>
                    <xdr:colOff>7315</xdr:colOff>
                    <xdr:row>204</xdr:row>
                    <xdr:rowOff>190195</xdr:rowOff>
                  </to>
                </anchor>
              </controlPr>
            </control>
          </mc:Choice>
        </mc:AlternateContent>
        <mc:AlternateContent xmlns:mc="http://schemas.openxmlformats.org/markup-compatibility/2006">
          <mc:Choice Requires="x14">
            <control shapeId="12773" r:id="rId43" name="Check Box 485">
              <controlPr defaultSize="0" autoFill="0" autoLine="0" autoPict="0" altText="3 Fahrstreifen">
                <anchor moveWithCells="1">
                  <from>
                    <xdr:col>1</xdr:col>
                    <xdr:colOff>0</xdr:colOff>
                    <xdr:row>207</xdr:row>
                    <xdr:rowOff>0</xdr:rowOff>
                  </from>
                  <to>
                    <xdr:col>2</xdr:col>
                    <xdr:colOff>7315</xdr:colOff>
                    <xdr:row>208</xdr:row>
                    <xdr:rowOff>7315</xdr:rowOff>
                  </to>
                </anchor>
              </controlPr>
            </control>
          </mc:Choice>
        </mc:AlternateContent>
        <mc:AlternateContent xmlns:mc="http://schemas.openxmlformats.org/markup-compatibility/2006">
          <mc:Choice Requires="x14">
            <control shapeId="12774" r:id="rId44" name="Check Box 486">
              <controlPr defaultSize="0" autoFill="0" autoLine="0" autoPict="0" altText="3 Fahrstreifen">
                <anchor moveWithCells="1">
                  <from>
                    <xdr:col>1</xdr:col>
                    <xdr:colOff>0</xdr:colOff>
                    <xdr:row>209</xdr:row>
                    <xdr:rowOff>0</xdr:rowOff>
                  </from>
                  <to>
                    <xdr:col>2</xdr:col>
                    <xdr:colOff>7315</xdr:colOff>
                    <xdr:row>210</xdr:row>
                    <xdr:rowOff>21946</xdr:rowOff>
                  </to>
                </anchor>
              </controlPr>
            </control>
          </mc:Choice>
        </mc:AlternateContent>
        <mc:AlternateContent xmlns:mc="http://schemas.openxmlformats.org/markup-compatibility/2006">
          <mc:Choice Requires="x14">
            <control shapeId="12775" r:id="rId45" name="Check Box 487">
              <controlPr defaultSize="0" autoFill="0" autoLine="0" autoPict="0" altText="">
                <anchor moveWithCells="1">
                  <from>
                    <xdr:col>1</xdr:col>
                    <xdr:colOff>0</xdr:colOff>
                    <xdr:row>151</xdr:row>
                    <xdr:rowOff>0</xdr:rowOff>
                  </from>
                  <to>
                    <xdr:col>2</xdr:col>
                    <xdr:colOff>7315</xdr:colOff>
                    <xdr:row>152</xdr:row>
                    <xdr:rowOff>7315</xdr:rowOff>
                  </to>
                </anchor>
              </controlPr>
            </control>
          </mc:Choice>
        </mc:AlternateContent>
        <mc:AlternateContent xmlns:mc="http://schemas.openxmlformats.org/markup-compatibility/2006">
          <mc:Choice Requires="x14">
            <control shapeId="12776" r:id="rId46" name="Check Box 488">
              <controlPr defaultSize="0" autoFill="0" autoLine="0" autoPict="0" altText="">
                <anchor moveWithCells="1">
                  <from>
                    <xdr:col>3</xdr:col>
                    <xdr:colOff>0</xdr:colOff>
                    <xdr:row>131</xdr:row>
                    <xdr:rowOff>0</xdr:rowOff>
                  </from>
                  <to>
                    <xdr:col>4</xdr:col>
                    <xdr:colOff>0</xdr:colOff>
                    <xdr:row>132</xdr:row>
                    <xdr:rowOff>21946</xdr:rowOff>
                  </to>
                </anchor>
              </controlPr>
            </control>
          </mc:Choice>
        </mc:AlternateContent>
        <mc:AlternateContent xmlns:mc="http://schemas.openxmlformats.org/markup-compatibility/2006">
          <mc:Choice Requires="x14">
            <control shapeId="12779" r:id="rId47" name="Check Box 491">
              <controlPr defaultSize="0" autoFill="0" autoLine="0" autoPict="0">
                <anchor moveWithCells="1">
                  <from>
                    <xdr:col>3</xdr:col>
                    <xdr:colOff>0</xdr:colOff>
                    <xdr:row>153</xdr:row>
                    <xdr:rowOff>0</xdr:rowOff>
                  </from>
                  <to>
                    <xdr:col>4</xdr:col>
                    <xdr:colOff>0</xdr:colOff>
                    <xdr:row>154</xdr:row>
                    <xdr:rowOff>0</xdr:rowOff>
                  </to>
                </anchor>
              </controlPr>
            </control>
          </mc:Choice>
        </mc:AlternateContent>
        <mc:AlternateContent xmlns:mc="http://schemas.openxmlformats.org/markup-compatibility/2006">
          <mc:Choice Requires="x14">
            <control shapeId="12780" r:id="rId48" name="Check Box 492">
              <controlPr defaultSize="0" autoFill="0" autoLine="0" autoPict="0">
                <anchor moveWithCells="1">
                  <from>
                    <xdr:col>3</xdr:col>
                    <xdr:colOff>0</xdr:colOff>
                    <xdr:row>155</xdr:row>
                    <xdr:rowOff>0</xdr:rowOff>
                  </from>
                  <to>
                    <xdr:col>4</xdr:col>
                    <xdr:colOff>0</xdr:colOff>
                    <xdr:row>156</xdr:row>
                    <xdr:rowOff>0</xdr:rowOff>
                  </to>
                </anchor>
              </controlPr>
            </control>
          </mc:Choice>
        </mc:AlternateContent>
        <mc:AlternateContent xmlns:mc="http://schemas.openxmlformats.org/markup-compatibility/2006">
          <mc:Choice Requires="x14">
            <control shapeId="12695" r:id="rId49" name="Check Box 407">
              <controlPr defaultSize="0" autoFill="0" autoLine="0" autoPict="0" altText="3 Fahrstreifen">
                <anchor moveWithCells="1">
                  <from>
                    <xdr:col>1</xdr:col>
                    <xdr:colOff>0</xdr:colOff>
                    <xdr:row>214</xdr:row>
                    <xdr:rowOff>0</xdr:rowOff>
                  </from>
                  <to>
                    <xdr:col>2</xdr:col>
                    <xdr:colOff>7315</xdr:colOff>
                    <xdr:row>215</xdr:row>
                    <xdr:rowOff>0</xdr:rowOff>
                  </to>
                </anchor>
              </controlPr>
            </control>
          </mc:Choice>
        </mc:AlternateContent>
        <mc:AlternateContent xmlns:mc="http://schemas.openxmlformats.org/markup-compatibility/2006">
          <mc:Choice Requires="x14">
            <control shapeId="12696" r:id="rId50" name="Check Box 408">
              <controlPr defaultSize="0" autoFill="0" autoLine="0" autoPict="0" altText="3 Fahrstreifen">
                <anchor moveWithCells="1">
                  <from>
                    <xdr:col>1</xdr:col>
                    <xdr:colOff>0</xdr:colOff>
                    <xdr:row>216</xdr:row>
                    <xdr:rowOff>0</xdr:rowOff>
                  </from>
                  <to>
                    <xdr:col>2</xdr:col>
                    <xdr:colOff>7315</xdr:colOff>
                    <xdr:row>217</xdr:row>
                    <xdr:rowOff>7315</xdr:rowOff>
                  </to>
                </anchor>
              </controlPr>
            </control>
          </mc:Choice>
        </mc:AlternateContent>
        <mc:AlternateContent xmlns:mc="http://schemas.openxmlformats.org/markup-compatibility/2006">
          <mc:Choice Requires="x14">
            <control shapeId="12781" r:id="rId51" name="Check Box 493">
              <controlPr defaultSize="0" autoFill="0" autoLine="0" autoPict="0" altText="">
                <anchor moveWithCells="1">
                  <from>
                    <xdr:col>1</xdr:col>
                    <xdr:colOff>0</xdr:colOff>
                    <xdr:row>77</xdr:row>
                    <xdr:rowOff>0</xdr:rowOff>
                  </from>
                  <to>
                    <xdr:col>2</xdr:col>
                    <xdr:colOff>7315</xdr:colOff>
                    <xdr:row>78</xdr:row>
                    <xdr:rowOff>7315</xdr:rowOff>
                  </to>
                </anchor>
              </controlPr>
            </control>
          </mc:Choice>
        </mc:AlternateContent>
        <mc:AlternateContent xmlns:mc="http://schemas.openxmlformats.org/markup-compatibility/2006">
          <mc:Choice Requires="x14">
            <control shapeId="12782" r:id="rId52" name="Check Box 494">
              <controlPr defaultSize="0" autoFill="0" autoLine="0" autoPict="0">
                <anchor moveWithCells="1">
                  <from>
                    <xdr:col>1</xdr:col>
                    <xdr:colOff>0</xdr:colOff>
                    <xdr:row>201</xdr:row>
                    <xdr:rowOff>0</xdr:rowOff>
                  </from>
                  <to>
                    <xdr:col>2</xdr:col>
                    <xdr:colOff>7315</xdr:colOff>
                    <xdr:row>202</xdr:row>
                    <xdr:rowOff>7315</xdr:rowOff>
                  </to>
                </anchor>
              </controlPr>
            </control>
          </mc:Choice>
        </mc:AlternateContent>
        <mc:AlternateContent xmlns:mc="http://schemas.openxmlformats.org/markup-compatibility/2006">
          <mc:Choice Requires="x14">
            <control shapeId="12783" r:id="rId53" name="Check Box 495">
              <controlPr defaultSize="0" autoFill="0" autoLine="0" autoPict="0">
                <anchor moveWithCells="1">
                  <from>
                    <xdr:col>1</xdr:col>
                    <xdr:colOff>0</xdr:colOff>
                    <xdr:row>185</xdr:row>
                    <xdr:rowOff>0</xdr:rowOff>
                  </from>
                  <to>
                    <xdr:col>2</xdr:col>
                    <xdr:colOff>7315</xdr:colOff>
                    <xdr:row>186</xdr:row>
                    <xdr:rowOff>7315</xdr:rowOff>
                  </to>
                </anchor>
              </controlPr>
            </control>
          </mc:Choice>
        </mc:AlternateContent>
        <mc:AlternateContent xmlns:mc="http://schemas.openxmlformats.org/markup-compatibility/2006">
          <mc:Choice Requires="x14">
            <control shapeId="12784" r:id="rId54" name="Check Box 496">
              <controlPr defaultSize="0" autoFill="0" autoLine="0" autoPict="0" altText="">
                <anchor moveWithCells="1">
                  <from>
                    <xdr:col>1</xdr:col>
                    <xdr:colOff>0</xdr:colOff>
                    <xdr:row>69</xdr:row>
                    <xdr:rowOff>0</xdr:rowOff>
                  </from>
                  <to>
                    <xdr:col>2</xdr:col>
                    <xdr:colOff>7315</xdr:colOff>
                    <xdr:row>70</xdr:row>
                    <xdr:rowOff>0</xdr:rowOff>
                  </to>
                </anchor>
              </controlPr>
            </control>
          </mc:Choice>
        </mc:AlternateContent>
        <mc:AlternateContent xmlns:mc="http://schemas.openxmlformats.org/markup-compatibility/2006">
          <mc:Choice Requires="x14">
            <control shapeId="12785" r:id="rId55" name="Check Box 497">
              <controlPr defaultSize="0" autoFill="0" autoLine="0" autoPict="0" altText="">
                <anchor moveWithCells="1">
                  <from>
                    <xdr:col>1</xdr:col>
                    <xdr:colOff>0</xdr:colOff>
                    <xdr:row>67</xdr:row>
                    <xdr:rowOff>0</xdr:rowOff>
                  </from>
                  <to>
                    <xdr:col>2</xdr:col>
                    <xdr:colOff>7315</xdr:colOff>
                    <xdr:row>68</xdr:row>
                    <xdr:rowOff>0</xdr:rowOff>
                  </to>
                </anchor>
              </controlPr>
            </control>
          </mc:Choice>
        </mc:AlternateContent>
        <mc:AlternateContent xmlns:mc="http://schemas.openxmlformats.org/markup-compatibility/2006">
          <mc:Choice Requires="x14">
            <control shapeId="12786" r:id="rId56" name="Check Box 498">
              <controlPr defaultSize="0" autoFill="0" autoLine="0" autoPict="0" altText="">
                <anchor moveWithCells="1">
                  <from>
                    <xdr:col>1</xdr:col>
                    <xdr:colOff>0</xdr:colOff>
                    <xdr:row>65</xdr:row>
                    <xdr:rowOff>0</xdr:rowOff>
                  </from>
                  <to>
                    <xdr:col>2</xdr:col>
                    <xdr:colOff>7315</xdr:colOff>
                    <xdr:row>66</xdr:row>
                    <xdr:rowOff>0</xdr:rowOff>
                  </to>
                </anchor>
              </controlPr>
            </control>
          </mc:Choice>
        </mc:AlternateContent>
        <mc:AlternateContent xmlns:mc="http://schemas.openxmlformats.org/markup-compatibility/2006">
          <mc:Choice Requires="x14">
            <control shapeId="12787" r:id="rId57" name="Check Box 499">
              <controlPr defaultSize="0" autoFill="0" autoLine="0" autoPict="0" altText="">
                <anchor moveWithCells="1">
                  <from>
                    <xdr:col>1</xdr:col>
                    <xdr:colOff>0</xdr:colOff>
                    <xdr:row>63</xdr:row>
                    <xdr:rowOff>0</xdr:rowOff>
                  </from>
                  <to>
                    <xdr:col>2</xdr:col>
                    <xdr:colOff>7315</xdr:colOff>
                    <xdr:row>64</xdr:row>
                    <xdr:rowOff>0</xdr:rowOff>
                  </to>
                </anchor>
              </controlPr>
            </control>
          </mc:Choice>
        </mc:AlternateContent>
        <mc:AlternateContent xmlns:mc="http://schemas.openxmlformats.org/markup-compatibility/2006">
          <mc:Choice Requires="x14">
            <control shapeId="12788" r:id="rId58" name="Check Box 500">
              <controlPr defaultSize="0" autoFill="0" autoLine="0" autoPict="0" altText="">
                <anchor moveWithCells="1">
                  <from>
                    <xdr:col>1</xdr:col>
                    <xdr:colOff>0</xdr:colOff>
                    <xdr:row>61</xdr:row>
                    <xdr:rowOff>0</xdr:rowOff>
                  </from>
                  <to>
                    <xdr:col>2</xdr:col>
                    <xdr:colOff>7315</xdr:colOff>
                    <xdr:row>62</xdr:row>
                    <xdr:rowOff>0</xdr:rowOff>
                  </to>
                </anchor>
              </controlPr>
            </control>
          </mc:Choice>
        </mc:AlternateContent>
        <mc:AlternateContent xmlns:mc="http://schemas.openxmlformats.org/markup-compatibility/2006">
          <mc:Choice Requires="x14">
            <control shapeId="12789" r:id="rId59" name="Check Box 501">
              <controlPr defaultSize="0" autoFill="0" autoLine="0" autoPict="0" altText="">
                <anchor moveWithCells="1">
                  <from>
                    <xdr:col>1</xdr:col>
                    <xdr:colOff>0</xdr:colOff>
                    <xdr:row>75</xdr:row>
                    <xdr:rowOff>0</xdr:rowOff>
                  </from>
                  <to>
                    <xdr:col>2</xdr:col>
                    <xdr:colOff>7315</xdr:colOff>
                    <xdr:row>76</xdr:row>
                    <xdr:rowOff>0</xdr:rowOff>
                  </to>
                </anchor>
              </controlPr>
            </control>
          </mc:Choice>
        </mc:AlternateContent>
        <mc:AlternateContent xmlns:mc="http://schemas.openxmlformats.org/markup-compatibility/2006">
          <mc:Choice Requires="x14">
            <control shapeId="12790" r:id="rId60" name="Check Box 502">
              <controlPr defaultSize="0" autoFill="0" autoLine="0" autoPict="0" altText="">
                <anchor moveWithCells="1">
                  <from>
                    <xdr:col>1</xdr:col>
                    <xdr:colOff>0</xdr:colOff>
                    <xdr:row>40</xdr:row>
                    <xdr:rowOff>0</xdr:rowOff>
                  </from>
                  <to>
                    <xdr:col>2</xdr:col>
                    <xdr:colOff>7315</xdr:colOff>
                    <xdr:row>41</xdr:row>
                    <xdr:rowOff>0</xdr:rowOff>
                  </to>
                </anchor>
              </controlPr>
            </control>
          </mc:Choice>
        </mc:AlternateContent>
        <mc:AlternateContent xmlns:mc="http://schemas.openxmlformats.org/markup-compatibility/2006">
          <mc:Choice Requires="x14">
            <control shapeId="12791" r:id="rId61" name="Check Box 503">
              <controlPr defaultSize="0" autoFill="0" autoLine="0" autoPict="0" altText="">
                <anchor moveWithCells="1">
                  <from>
                    <xdr:col>1</xdr:col>
                    <xdr:colOff>0</xdr:colOff>
                    <xdr:row>38</xdr:row>
                    <xdr:rowOff>0</xdr:rowOff>
                  </from>
                  <to>
                    <xdr:col>2</xdr:col>
                    <xdr:colOff>7315</xdr:colOff>
                    <xdr:row>39</xdr:row>
                    <xdr:rowOff>0</xdr:rowOff>
                  </to>
                </anchor>
              </controlPr>
            </control>
          </mc:Choice>
        </mc:AlternateContent>
        <mc:AlternateContent xmlns:mc="http://schemas.openxmlformats.org/markup-compatibility/2006">
          <mc:Choice Requires="x14">
            <control shapeId="12792" r:id="rId62" name="Check Box 504">
              <controlPr defaultSize="0" autoFill="0" autoLine="0" autoPict="0" altText="">
                <anchor moveWithCells="1">
                  <from>
                    <xdr:col>1</xdr:col>
                    <xdr:colOff>0</xdr:colOff>
                    <xdr:row>42</xdr:row>
                    <xdr:rowOff>0</xdr:rowOff>
                  </from>
                  <to>
                    <xdr:col>2</xdr:col>
                    <xdr:colOff>7315</xdr:colOff>
                    <xdr:row>43</xdr:row>
                    <xdr:rowOff>0</xdr:rowOff>
                  </to>
                </anchor>
              </controlPr>
            </control>
          </mc:Choice>
        </mc:AlternateContent>
        <mc:AlternateContent xmlns:mc="http://schemas.openxmlformats.org/markup-compatibility/2006">
          <mc:Choice Requires="x14">
            <control shapeId="12793" r:id="rId63" name="Check Box 505">
              <controlPr defaultSize="0" autoFill="0" autoLine="0" autoPict="0" altText="">
                <anchor moveWithCells="1">
                  <from>
                    <xdr:col>1</xdr:col>
                    <xdr:colOff>0</xdr:colOff>
                    <xdr:row>88</xdr:row>
                    <xdr:rowOff>0</xdr:rowOff>
                  </from>
                  <to>
                    <xdr:col>2</xdr:col>
                    <xdr:colOff>7315</xdr:colOff>
                    <xdr:row>89</xdr:row>
                    <xdr:rowOff>7315</xdr:rowOff>
                  </to>
                </anchor>
              </controlPr>
            </control>
          </mc:Choice>
        </mc:AlternateContent>
        <mc:AlternateContent xmlns:mc="http://schemas.openxmlformats.org/markup-compatibility/2006">
          <mc:Choice Requires="x14">
            <control shapeId="12794" r:id="rId64" name="Check Box 506">
              <controlPr defaultSize="0" autoFill="0" autoLine="0" autoPict="0" altText="">
                <anchor moveWithCells="1">
                  <from>
                    <xdr:col>1</xdr:col>
                    <xdr:colOff>0</xdr:colOff>
                    <xdr:row>86</xdr:row>
                    <xdr:rowOff>0</xdr:rowOff>
                  </from>
                  <to>
                    <xdr:col>2</xdr:col>
                    <xdr:colOff>7315</xdr:colOff>
                    <xdr:row>87</xdr:row>
                    <xdr:rowOff>7315</xdr:rowOff>
                  </to>
                </anchor>
              </controlPr>
            </control>
          </mc:Choice>
        </mc:AlternateContent>
        <mc:AlternateContent xmlns:mc="http://schemas.openxmlformats.org/markup-compatibility/2006">
          <mc:Choice Requires="x14">
            <control shapeId="12798" r:id="rId65" name="Check Box 510">
              <controlPr defaultSize="0" autoFill="0" autoLine="0" autoPict="0" altText="">
                <anchor moveWithCells="1">
                  <from>
                    <xdr:col>1</xdr:col>
                    <xdr:colOff>0</xdr:colOff>
                    <xdr:row>84</xdr:row>
                    <xdr:rowOff>0</xdr:rowOff>
                  </from>
                  <to>
                    <xdr:col>2</xdr:col>
                    <xdr:colOff>21946</xdr:colOff>
                    <xdr:row>85</xdr:row>
                    <xdr:rowOff>7315</xdr:rowOff>
                  </to>
                </anchor>
              </controlPr>
            </control>
          </mc:Choice>
        </mc:AlternateContent>
        <mc:AlternateContent xmlns:mc="http://schemas.openxmlformats.org/markup-compatibility/2006">
          <mc:Choice Requires="x14">
            <control shapeId="12799" r:id="rId66" name="Check Box 511">
              <controlPr defaultSize="0" autoFill="0" autoLine="0" autoPict="0" altText="">
                <anchor moveWithCells="1">
                  <from>
                    <xdr:col>1</xdr:col>
                    <xdr:colOff>0</xdr:colOff>
                    <xdr:row>86</xdr:row>
                    <xdr:rowOff>0</xdr:rowOff>
                  </from>
                  <to>
                    <xdr:col>2</xdr:col>
                    <xdr:colOff>21946</xdr:colOff>
                    <xdr:row>87</xdr:row>
                    <xdr:rowOff>7315</xdr:rowOff>
                  </to>
                </anchor>
              </controlPr>
            </control>
          </mc:Choice>
        </mc:AlternateContent>
        <mc:AlternateContent xmlns:mc="http://schemas.openxmlformats.org/markup-compatibility/2006">
          <mc:Choice Requires="x14">
            <control shapeId="12800" r:id="rId67" name="Check Box 512">
              <controlPr defaultSize="0" autoFill="0" autoLine="0" autoPict="0" altText="">
                <anchor moveWithCells="1">
                  <from>
                    <xdr:col>1</xdr:col>
                    <xdr:colOff>0</xdr:colOff>
                    <xdr:row>88</xdr:row>
                    <xdr:rowOff>0</xdr:rowOff>
                  </from>
                  <to>
                    <xdr:col>2</xdr:col>
                    <xdr:colOff>7315</xdr:colOff>
                    <xdr:row>89</xdr:row>
                    <xdr:rowOff>7315</xdr:rowOff>
                  </to>
                </anchor>
              </controlPr>
            </control>
          </mc:Choice>
        </mc:AlternateContent>
        <mc:AlternateContent xmlns:mc="http://schemas.openxmlformats.org/markup-compatibility/2006">
          <mc:Choice Requires="x14">
            <control shapeId="12801" r:id="rId68" name="Check Box 513">
              <controlPr defaultSize="0" autoFill="0" autoLine="0" autoPict="0" altText="">
                <anchor moveWithCells="1">
                  <from>
                    <xdr:col>1</xdr:col>
                    <xdr:colOff>0</xdr:colOff>
                    <xdr:row>88</xdr:row>
                    <xdr:rowOff>0</xdr:rowOff>
                  </from>
                  <to>
                    <xdr:col>2</xdr:col>
                    <xdr:colOff>21946</xdr:colOff>
                    <xdr:row>89</xdr:row>
                    <xdr:rowOff>7315</xdr:rowOff>
                  </to>
                </anchor>
              </controlPr>
            </control>
          </mc:Choice>
        </mc:AlternateContent>
        <mc:AlternateContent xmlns:mc="http://schemas.openxmlformats.org/markup-compatibility/2006">
          <mc:Choice Requires="x14">
            <control shapeId="12802" r:id="rId69" name="Check Box 514">
              <controlPr defaultSize="0" autoFill="0" autoLine="0" autoPict="0" altText="">
                <anchor moveWithCells="1">
                  <from>
                    <xdr:col>1</xdr:col>
                    <xdr:colOff>0</xdr:colOff>
                    <xdr:row>90</xdr:row>
                    <xdr:rowOff>0</xdr:rowOff>
                  </from>
                  <to>
                    <xdr:col>2</xdr:col>
                    <xdr:colOff>7315</xdr:colOff>
                    <xdr:row>91</xdr:row>
                    <xdr:rowOff>7315</xdr:rowOff>
                  </to>
                </anchor>
              </controlPr>
            </control>
          </mc:Choice>
        </mc:AlternateContent>
        <mc:AlternateContent xmlns:mc="http://schemas.openxmlformats.org/markup-compatibility/2006">
          <mc:Choice Requires="x14">
            <control shapeId="12803" r:id="rId70" name="Check Box 515">
              <controlPr defaultSize="0" autoFill="0" autoLine="0" autoPict="0" altText="">
                <anchor moveWithCells="1">
                  <from>
                    <xdr:col>1</xdr:col>
                    <xdr:colOff>0</xdr:colOff>
                    <xdr:row>90</xdr:row>
                    <xdr:rowOff>0</xdr:rowOff>
                  </from>
                  <to>
                    <xdr:col>2</xdr:col>
                    <xdr:colOff>7315</xdr:colOff>
                    <xdr:row>91</xdr:row>
                    <xdr:rowOff>7315</xdr:rowOff>
                  </to>
                </anchor>
              </controlPr>
            </control>
          </mc:Choice>
        </mc:AlternateContent>
        <mc:AlternateContent xmlns:mc="http://schemas.openxmlformats.org/markup-compatibility/2006">
          <mc:Choice Requires="x14">
            <control shapeId="12804" r:id="rId71" name="Check Box 516">
              <controlPr defaultSize="0" autoFill="0" autoLine="0" autoPict="0" altText="">
                <anchor moveWithCells="1">
                  <from>
                    <xdr:col>1</xdr:col>
                    <xdr:colOff>0</xdr:colOff>
                    <xdr:row>90</xdr:row>
                    <xdr:rowOff>0</xdr:rowOff>
                  </from>
                  <to>
                    <xdr:col>2</xdr:col>
                    <xdr:colOff>21946</xdr:colOff>
                    <xdr:row>91</xdr:row>
                    <xdr:rowOff>7315</xdr:rowOff>
                  </to>
                </anchor>
              </controlPr>
            </control>
          </mc:Choice>
        </mc:AlternateContent>
        <mc:AlternateContent xmlns:mc="http://schemas.openxmlformats.org/markup-compatibility/2006">
          <mc:Choice Requires="x14">
            <control shapeId="12807" r:id="rId72" name="Check Box 519">
              <controlPr defaultSize="0" autoFill="0" autoLine="0" autoPict="0" altText="">
                <anchor moveWithCells="1">
                  <from>
                    <xdr:col>1</xdr:col>
                    <xdr:colOff>0</xdr:colOff>
                    <xdr:row>103</xdr:row>
                    <xdr:rowOff>0</xdr:rowOff>
                  </from>
                  <to>
                    <xdr:col>2</xdr:col>
                    <xdr:colOff>7315</xdr:colOff>
                    <xdr:row>104</xdr:row>
                    <xdr:rowOff>7315</xdr:rowOff>
                  </to>
                </anchor>
              </controlPr>
            </control>
          </mc:Choice>
        </mc:AlternateContent>
        <mc:AlternateContent xmlns:mc="http://schemas.openxmlformats.org/markup-compatibility/2006">
          <mc:Choice Requires="x14">
            <control shapeId="12808" r:id="rId73" name="Check Box 520">
              <controlPr defaultSize="0" autoFill="0" autoLine="0" autoPict="0" altText="">
                <anchor moveWithCells="1">
                  <from>
                    <xdr:col>1</xdr:col>
                    <xdr:colOff>0</xdr:colOff>
                    <xdr:row>103</xdr:row>
                    <xdr:rowOff>0</xdr:rowOff>
                  </from>
                  <to>
                    <xdr:col>2</xdr:col>
                    <xdr:colOff>21946</xdr:colOff>
                    <xdr:row>104</xdr:row>
                    <xdr:rowOff>7315</xdr:rowOff>
                  </to>
                </anchor>
              </controlPr>
            </control>
          </mc:Choice>
        </mc:AlternateContent>
        <mc:AlternateContent xmlns:mc="http://schemas.openxmlformats.org/markup-compatibility/2006">
          <mc:Choice Requires="x14">
            <control shapeId="12809" r:id="rId74" name="Check Box 521">
              <controlPr defaultSize="0" autoFill="0" autoLine="0" autoPict="0" altText="">
                <anchor moveWithCells="1">
                  <from>
                    <xdr:col>1</xdr:col>
                    <xdr:colOff>0</xdr:colOff>
                    <xdr:row>121</xdr:row>
                    <xdr:rowOff>0</xdr:rowOff>
                  </from>
                  <to>
                    <xdr:col>2</xdr:col>
                    <xdr:colOff>7315</xdr:colOff>
                    <xdr:row>122</xdr:row>
                    <xdr:rowOff>7315</xdr:rowOff>
                  </to>
                </anchor>
              </controlPr>
            </control>
          </mc:Choice>
        </mc:AlternateContent>
        <mc:AlternateContent xmlns:mc="http://schemas.openxmlformats.org/markup-compatibility/2006">
          <mc:Choice Requires="x14">
            <control shapeId="12816" r:id="rId75" name="Check Box 528">
              <controlPr defaultSize="0" autoFill="0" autoLine="0" autoPict="0" altText="3 Fahrstreifen">
                <anchor moveWithCells="1">
                  <from>
                    <xdr:col>1</xdr:col>
                    <xdr:colOff>0</xdr:colOff>
                    <xdr:row>216</xdr:row>
                    <xdr:rowOff>0</xdr:rowOff>
                  </from>
                  <to>
                    <xdr:col>2</xdr:col>
                    <xdr:colOff>7315</xdr:colOff>
                    <xdr:row>217</xdr:row>
                    <xdr:rowOff>7315</xdr:rowOff>
                  </to>
                </anchor>
              </controlPr>
            </control>
          </mc:Choice>
        </mc:AlternateContent>
        <mc:AlternateContent xmlns:mc="http://schemas.openxmlformats.org/markup-compatibility/2006">
          <mc:Choice Requires="x14">
            <control shapeId="12817" r:id="rId76" name="Check Box 529">
              <controlPr defaultSize="0" autoFill="0" autoLine="0" autoPict="0">
                <anchor moveWithCells="1">
                  <from>
                    <xdr:col>3</xdr:col>
                    <xdr:colOff>0</xdr:colOff>
                    <xdr:row>132</xdr:row>
                    <xdr:rowOff>321869</xdr:rowOff>
                  </from>
                  <to>
                    <xdr:col>4</xdr:col>
                    <xdr:colOff>0</xdr:colOff>
                    <xdr:row>134</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theme="9" tint="0.79998168889431442"/>
    <pageSetUpPr fitToPage="1"/>
  </sheetPr>
  <dimension ref="A1:Q262"/>
  <sheetViews>
    <sheetView showGridLines="0" zoomScaleNormal="100" zoomScaleSheetLayoutView="100" workbookViewId="0">
      <pane ySplit="12" topLeftCell="A13" activePane="bottomLeft" state="frozen"/>
      <selection activeCell="F5" sqref="F5:G5"/>
      <selection pane="bottomLeft" activeCell="F5" sqref="F5:G5"/>
    </sheetView>
  </sheetViews>
  <sheetFormatPr baseColWidth="10" defaultColWidth="0" defaultRowHeight="0" customHeight="1" zeroHeight="1"/>
  <cols>
    <col min="1" max="1" width="5.6640625" style="1046" customWidth="1"/>
    <col min="2" max="2" width="3.33203125" style="172" customWidth="1"/>
    <col min="3" max="3" width="4.109375" style="468" customWidth="1"/>
    <col min="4" max="4" width="3.33203125" style="172" customWidth="1"/>
    <col min="5" max="5" width="2.6640625" style="172" customWidth="1"/>
    <col min="6" max="6" width="44.44140625" style="172" customWidth="1"/>
    <col min="7" max="7" width="12.33203125" style="172" customWidth="1"/>
    <col min="8" max="9" width="7.33203125" style="172" customWidth="1"/>
    <col min="10" max="10" width="12.33203125" style="172" customWidth="1"/>
    <col min="11" max="11" width="12.6640625" style="171" customWidth="1"/>
    <col min="12" max="12" width="2.6640625" style="166" customWidth="1"/>
    <col min="13" max="13" width="11.44140625" style="146" hidden="1" customWidth="1"/>
    <col min="14" max="16384" width="11.44140625" style="166" hidden="1"/>
  </cols>
  <sheetData>
    <row r="1" spans="1:17" s="450" customFormat="1" ht="16.7">
      <c r="A1" s="435"/>
      <c r="B1" s="435"/>
      <c r="C1" s="463"/>
      <c r="D1" s="360"/>
      <c r="E1" s="360"/>
      <c r="F1" s="360"/>
      <c r="H1" s="360"/>
      <c r="I1" s="360"/>
      <c r="J1" s="360"/>
      <c r="K1" s="360"/>
      <c r="L1" s="436"/>
      <c r="M1" s="449"/>
    </row>
    <row r="2" spans="1:17" s="136" customFormat="1" ht="16.600000000000001" customHeight="1">
      <c r="A2" s="1045"/>
      <c r="B2" s="1285" t="str">
        <f>IF(Projektgrundlagen!B2="","",Projektgrundlagen!B2)</f>
        <v>Objektplanung Verkehrsanlagen</v>
      </c>
      <c r="C2" s="1285"/>
      <c r="D2" s="1285"/>
      <c r="E2" s="1285"/>
      <c r="F2" s="1285"/>
      <c r="G2" s="1285"/>
      <c r="H2" s="1521" t="str">
        <f>IF(Projektgrundlagen!F2="","",Projektgrundlagen!F2)</f>
        <v>VII.15.4</v>
      </c>
      <c r="I2" s="1398"/>
      <c r="J2" s="257" t="s">
        <v>690</v>
      </c>
      <c r="K2" s="268"/>
      <c r="L2" s="1520" t="s">
        <v>1034</v>
      </c>
      <c r="M2" s="451" t="s">
        <v>159</v>
      </c>
      <c r="N2" s="570" t="s">
        <v>693</v>
      </c>
      <c r="O2" s="221"/>
      <c r="P2" s="221" t="s">
        <v>502</v>
      </c>
      <c r="Q2" s="221"/>
    </row>
    <row r="3" spans="1:17" s="136" customFormat="1" ht="16.7">
      <c r="A3" s="1045"/>
      <c r="B3" s="1496" t="s">
        <v>1043</v>
      </c>
      <c r="C3" s="1496"/>
      <c r="D3" s="1496"/>
      <c r="E3" s="1496"/>
      <c r="F3" s="1496"/>
      <c r="G3" s="1496"/>
      <c r="H3" s="1300" t="str">
        <f>IF(Projektgrundlagen!F3="","",Projektgrundlagen!F3)</f>
        <v>Vertragsnr.:</v>
      </c>
      <c r="I3" s="1301"/>
      <c r="J3" s="571" t="str">
        <f>IF(Projektgrundlagen!G3="","",Projektgrundlagen!G3)</f>
        <v/>
      </c>
      <c r="K3" s="572"/>
      <c r="L3" s="1520"/>
      <c r="N3" s="7" t="b">
        <f>Projektgrundlagen!$I$22</f>
        <v>0</v>
      </c>
      <c r="O3" s="7"/>
      <c r="P3" s="136" t="str">
        <f ca="1">MID(CELL("dateiname",A2),FIND("]",CELL("dateiname",A2))+1,255)</f>
        <v>HB-D1 Besondere Lstg Land</v>
      </c>
    </row>
    <row r="4" spans="1:17" s="136" customFormat="1" ht="7.5" customHeight="1">
      <c r="A4" s="1045"/>
      <c r="B4" s="216"/>
      <c r="C4" s="216"/>
      <c r="D4" s="216"/>
      <c r="E4" s="216"/>
      <c r="F4" s="458"/>
      <c r="I4" s="101"/>
      <c r="J4" s="418"/>
      <c r="K4" s="418"/>
      <c r="L4" s="1520"/>
    </row>
    <row r="5" spans="1:17" s="136" customFormat="1" ht="16.7">
      <c r="A5" s="1045"/>
      <c r="B5" s="405" t="str">
        <f>IF(Projektgrundlagen!B5="","",Projektgrundlagen!B5)</f>
        <v>Maßnahmennr:</v>
      </c>
      <c r="C5" s="406"/>
      <c r="D5" s="406"/>
      <c r="E5" s="473"/>
      <c r="F5" s="1502" t="str">
        <f>IF(Projektgrundlagen!E5="","",Projektgrundlagen!E5)</f>
        <v>B11S.ALSR0138.00</v>
      </c>
      <c r="G5" s="1502"/>
      <c r="H5" s="1291" t="str">
        <f>IF(Projektgrundlagen!F5="","",Projektgrundlagen!F5)</f>
        <v>Vergabenr.:</v>
      </c>
      <c r="I5" s="1291"/>
      <c r="J5" s="454" t="str">
        <f>IF(Projektgrundlagen!G5="","",Projektgrundlagen!G5)</f>
        <v>25-131201</v>
      </c>
      <c r="K5" s="455"/>
      <c r="L5" s="1520"/>
    </row>
    <row r="6" spans="1:17" s="136" customFormat="1" ht="16.7">
      <c r="A6" s="1045"/>
      <c r="B6" s="407" t="str">
        <f>IF(Projektgrundlagen!B6="","",Projektgrundlagen!B6)</f>
        <v>Maßnahme:</v>
      </c>
      <c r="C6" s="408"/>
      <c r="D6" s="408"/>
      <c r="E6" s="474"/>
      <c r="F6" s="1503" t="str">
        <f>IF(Projektgrundlagen!E6="","",Projektgrundlagen!E6)</f>
        <v>St2054 Geh- und Radweg westl. Babenried - Jesenwang</v>
      </c>
      <c r="G6" s="1503"/>
      <c r="H6" s="456"/>
      <c r="I6" s="456"/>
      <c r="J6" s="456"/>
      <c r="K6" s="457"/>
      <c r="L6" s="1520"/>
    </row>
    <row r="7" spans="1:17" s="136" customFormat="1" ht="16.7">
      <c r="A7" s="1045"/>
      <c r="B7" s="407" t="str">
        <f>IF(Projektgrundlagen!B7="","",Projektgrundlagen!B7)</f>
        <v/>
      </c>
      <c r="C7" s="408"/>
      <c r="D7" s="408"/>
      <c r="E7" s="474"/>
      <c r="F7" s="1503" t="str">
        <f>IF(Projektgrundlagen!E7="","",Projektgrundlagen!E7)</f>
        <v/>
      </c>
      <c r="G7" s="1503"/>
      <c r="H7" s="1503"/>
      <c r="I7" s="1503"/>
      <c r="J7" s="1503"/>
      <c r="K7" s="1504"/>
      <c r="L7" s="1520"/>
      <c r="M7" s="221"/>
    </row>
    <row r="8" spans="1:17" s="136" customFormat="1" ht="16.7">
      <c r="A8" s="1045"/>
      <c r="B8" s="409" t="str">
        <f>IF(Projektgrundlagen!B8="","",Projektgrundlagen!B8)</f>
        <v>Bieter:</v>
      </c>
      <c r="C8" s="410"/>
      <c r="D8" s="410"/>
      <c r="E8" s="475"/>
      <c r="F8" s="1509" t="str">
        <f>IF(Projektgrundlagen!E8="","",Projektgrundlagen!E8)</f>
        <v/>
      </c>
      <c r="G8" s="1509"/>
      <c r="H8" s="1509"/>
      <c r="I8" s="1509"/>
      <c r="J8" s="1509"/>
      <c r="K8" s="1510"/>
      <c r="L8" s="1520"/>
    </row>
    <row r="9" spans="1:17" s="450" customFormat="1" ht="16.7">
      <c r="A9" s="435"/>
      <c r="B9" s="436"/>
      <c r="C9" s="464"/>
      <c r="D9" s="459"/>
      <c r="E9" s="460"/>
      <c r="F9" s="461"/>
      <c r="I9" s="460"/>
      <c r="J9" s="460"/>
      <c r="K9" s="462"/>
      <c r="N9" s="587" t="s">
        <v>700</v>
      </c>
      <c r="P9" s="200" t="s">
        <v>473</v>
      </c>
    </row>
    <row r="10" spans="1:17" s="136" customFormat="1" ht="27.1" customHeight="1">
      <c r="A10" s="1045"/>
      <c r="B10" s="1522" t="s">
        <v>1153</v>
      </c>
      <c r="C10" s="1522"/>
      <c r="D10" s="1522"/>
      <c r="E10" s="1522"/>
      <c r="F10" s="1523"/>
      <c r="G10" s="1031" t="s">
        <v>696</v>
      </c>
      <c r="H10" s="1524" t="s">
        <v>1156</v>
      </c>
      <c r="I10" s="1525"/>
      <c r="J10" s="1032" t="s">
        <v>695</v>
      </c>
      <c r="K10" s="1033" t="s">
        <v>679</v>
      </c>
      <c r="N10" s="221" t="s">
        <v>977</v>
      </c>
      <c r="O10" s="573">
        <f>IF(P10,'E Honorarberechnung'!P41,'E Honorarberechnung'!P41)</f>
        <v>155864.79999999999</v>
      </c>
      <c r="P10" s="136" t="b">
        <f>'E Honorarberechnung'!L14</f>
        <v>1</v>
      </c>
    </row>
    <row r="11" spans="1:17" s="136" customFormat="1" ht="27.1" customHeight="1">
      <c r="A11" s="1045"/>
      <c r="B11" s="1034"/>
      <c r="C11" s="1035"/>
      <c r="D11" s="1036"/>
      <c r="E11" s="1036"/>
      <c r="F11" s="1102" t="str">
        <f>IF($N$3,"","Besondere Lstg. Hochbau Land sind nicht Teil dieser Honorarermittlung!")</f>
        <v>Besondere Lstg. Hochbau Land sind nicht Teil dieser Honorarermittlung!</v>
      </c>
      <c r="G11" s="1084"/>
      <c r="H11" s="1513" t="str">
        <f>IF(AND(N3,P10,OR(O10=0,O11=0)),"Fehlende Angabe des Basishonorarsatzes",IF(AND(N3,NOT(P10),OR(O10=0,O11=0)),"Fehlende Angabe des Honorarsatzes",""))</f>
        <v/>
      </c>
      <c r="I11" s="1514"/>
      <c r="J11" s="1037"/>
      <c r="K11" s="1033"/>
      <c r="N11" s="221" t="s">
        <v>699</v>
      </c>
      <c r="O11" s="573">
        <f>IF(P10,'E Honorarberechnung'!P42,'E Honorarberechnung'!P42)</f>
        <v>155864.79999999999</v>
      </c>
    </row>
    <row r="12" spans="1:17" s="450" customFormat="1" ht="7.5" customHeight="1">
      <c r="A12" s="435"/>
      <c r="B12" s="435"/>
      <c r="C12" s="466"/>
      <c r="D12" s="444"/>
      <c r="E12" s="444"/>
      <c r="F12" s="445"/>
      <c r="G12" s="446"/>
      <c r="H12" s="445"/>
      <c r="I12" s="445"/>
      <c r="J12" s="447"/>
      <c r="K12" s="448"/>
      <c r="L12" s="437"/>
      <c r="M12" s="449"/>
    </row>
    <row r="13" spans="1:17" ht="19.45" customHeight="1">
      <c r="B13" s="42" t="s">
        <v>698</v>
      </c>
      <c r="C13" s="43"/>
      <c r="D13" s="43"/>
      <c r="E13" s="43"/>
      <c r="F13" s="43"/>
      <c r="G13" s="43"/>
      <c r="H13" s="400"/>
      <c r="I13" s="400"/>
      <c r="J13" s="497"/>
      <c r="K13" s="498"/>
      <c r="O13" s="576" t="s">
        <v>697</v>
      </c>
      <c r="P13" s="576" t="s">
        <v>684</v>
      </c>
      <c r="Q13" s="576"/>
    </row>
    <row r="14" spans="1:17" ht="16.7">
      <c r="B14" s="97"/>
      <c r="C14" s="1213" t="s">
        <v>83</v>
      </c>
      <c r="D14" s="1217"/>
      <c r="E14" s="1217"/>
      <c r="F14" s="1236"/>
      <c r="G14" s="1057"/>
      <c r="H14" s="1511"/>
      <c r="I14" s="1512"/>
      <c r="J14" s="1063"/>
      <c r="K14" s="1073" t="str">
        <f>IF(M14,IF(O14,$O$10*H14%,IF(P14,J14,"")),"")</f>
        <v/>
      </c>
      <c r="M14" s="146" t="b">
        <v>0</v>
      </c>
      <c r="O14" s="169" t="b">
        <f>AND(M14,OR(AND(G14="",J14=""),G14="v.H.-Satz"))</f>
        <v>0</v>
      </c>
      <c r="P14" s="169" t="b">
        <f>AND(M14,OR(G14="",G14="pauschal"))</f>
        <v>0</v>
      </c>
    </row>
    <row r="15" spans="1:17" ht="16.7">
      <c r="B15" s="349"/>
      <c r="C15" s="1216"/>
      <c r="D15" s="1092"/>
      <c r="E15" s="469"/>
      <c r="F15" s="1076"/>
      <c r="G15" s="1059"/>
      <c r="H15" s="1064"/>
      <c r="I15" s="1065"/>
      <c r="J15" s="1059"/>
      <c r="K15" s="1075"/>
      <c r="O15" s="575"/>
      <c r="P15" s="575"/>
    </row>
    <row r="16" spans="1:17" ht="16.7">
      <c r="B16" s="97"/>
      <c r="C16" s="1213" t="s">
        <v>82</v>
      </c>
      <c r="D16" s="1217"/>
      <c r="E16" s="1217"/>
      <c r="F16" s="1236"/>
      <c r="G16" s="1057"/>
      <c r="H16" s="1511"/>
      <c r="I16" s="1512"/>
      <c r="J16" s="1063"/>
      <c r="K16" s="1073" t="str">
        <f>IF(M16,IF(O16,$O$10*H16%,IF(P16,J16,"")),"")</f>
        <v/>
      </c>
      <c r="M16" s="146" t="b">
        <v>0</v>
      </c>
      <c r="O16" s="169" t="b">
        <f>AND(M16,OR(AND(G16="",J16=""),G16="v.H.-Satz"))</f>
        <v>0</v>
      </c>
      <c r="P16" s="169" t="b">
        <f>AND(M16,OR(G16="",G16="pauschal"))</f>
        <v>0</v>
      </c>
    </row>
    <row r="17" spans="2:16" ht="16.7">
      <c r="B17" s="349"/>
      <c r="C17" s="1216"/>
      <c r="D17" s="1092"/>
      <c r="E17" s="469"/>
      <c r="F17" s="1076"/>
      <c r="G17" s="1059"/>
      <c r="H17" s="1064"/>
      <c r="I17" s="1065"/>
      <c r="J17" s="1059"/>
      <c r="K17" s="1075"/>
      <c r="O17" s="575"/>
      <c r="P17" s="575"/>
    </row>
    <row r="18" spans="2:16" ht="16.7">
      <c r="B18" s="175"/>
      <c r="C18" s="1213" t="s">
        <v>81</v>
      </c>
      <c r="D18" s="1217"/>
      <c r="E18" s="1217"/>
      <c r="F18" s="1236"/>
      <c r="G18" s="1057"/>
      <c r="H18" s="1511"/>
      <c r="I18" s="1512"/>
      <c r="J18" s="1063"/>
      <c r="K18" s="1073" t="str">
        <f>IF(M18,IF(O18,$O$10*H18%,IF(P18,J18,"")),"")</f>
        <v/>
      </c>
      <c r="M18" s="146" t="b">
        <v>0</v>
      </c>
      <c r="O18" s="169" t="b">
        <f>AND(M18,OR(AND(G18="",J18=""),G18="v.H.-Satz"))</f>
        <v>0</v>
      </c>
      <c r="P18" s="169" t="b">
        <f>AND(M18,OR(G18="",G18="pauschal"))</f>
        <v>0</v>
      </c>
    </row>
    <row r="19" spans="2:16" ht="17.3" thickBot="1">
      <c r="B19" s="349"/>
      <c r="C19" s="1216"/>
      <c r="D19" s="1092"/>
      <c r="E19" s="469"/>
      <c r="F19" s="1076"/>
      <c r="G19" s="1059"/>
      <c r="H19" s="1064"/>
      <c r="I19" s="1065"/>
      <c r="J19" s="1059"/>
      <c r="K19" s="1075"/>
    </row>
    <row r="20" spans="2:16" ht="17.3" thickBot="1">
      <c r="B20" s="489"/>
      <c r="C20" s="490" t="s">
        <v>11</v>
      </c>
      <c r="D20" s="490"/>
      <c r="E20" s="490"/>
      <c r="F20" s="491"/>
      <c r="G20" s="492"/>
      <c r="H20" s="491"/>
      <c r="I20" s="491"/>
      <c r="J20" s="356" t="s">
        <v>1065</v>
      </c>
      <c r="K20" s="493">
        <f>IF($N$3,IF(COUNT(K14:K19)&gt;0,SUM(K14:K19),""),0)</f>
        <v>0</v>
      </c>
    </row>
    <row r="21" spans="2:16" ht="16.7">
      <c r="B21" s="494"/>
      <c r="C21" s="485"/>
      <c r="D21" s="485"/>
      <c r="E21" s="485"/>
      <c r="F21" s="486"/>
      <c r="G21" s="487"/>
      <c r="H21" s="486"/>
      <c r="I21" s="486"/>
      <c r="J21" s="382"/>
      <c r="K21" s="495"/>
    </row>
    <row r="22" spans="2:16" ht="19.45" customHeight="1">
      <c r="B22" s="42" t="s">
        <v>701</v>
      </c>
      <c r="C22" s="43"/>
      <c r="D22" s="43"/>
      <c r="E22" s="43"/>
      <c r="F22" s="43"/>
      <c r="G22" s="43"/>
      <c r="H22" s="400"/>
      <c r="I22" s="400"/>
      <c r="J22" s="497"/>
      <c r="K22" s="498"/>
    </row>
    <row r="23" spans="2:16" ht="16.7">
      <c r="B23" s="97"/>
      <c r="C23" s="1213" t="s">
        <v>80</v>
      </c>
      <c r="D23" s="1217"/>
      <c r="E23" s="1217"/>
      <c r="F23" s="1236"/>
      <c r="G23" s="1057"/>
      <c r="H23" s="1511"/>
      <c r="I23" s="1512"/>
      <c r="J23" s="1063"/>
      <c r="K23" s="1073" t="str">
        <f>IF(M23,IF(O23,$O$10*H23%,IF(P23,J23,"")),"")</f>
        <v/>
      </c>
      <c r="M23" s="146" t="b">
        <v>0</v>
      </c>
      <c r="O23" s="169" t="b">
        <f>AND(M23,OR(AND(G23="",J23=""),G23="v.H.-Satz"))</f>
        <v>0</v>
      </c>
      <c r="P23" s="169" t="b">
        <f>AND(M23,OR(G23="",G23="pauschal"))</f>
        <v>0</v>
      </c>
    </row>
    <row r="24" spans="2:16" ht="16.7">
      <c r="B24" s="349"/>
      <c r="C24" s="1216"/>
      <c r="D24" s="1092"/>
      <c r="E24" s="469"/>
      <c r="F24" s="1076"/>
      <c r="G24" s="1059"/>
      <c r="H24" s="1064"/>
      <c r="I24" s="1065"/>
      <c r="J24" s="1059"/>
      <c r="K24" s="1075"/>
      <c r="O24" s="575"/>
      <c r="P24" s="575"/>
    </row>
    <row r="25" spans="2:16" ht="16.7">
      <c r="B25" s="97"/>
      <c r="C25" s="1213" t="s">
        <v>78</v>
      </c>
      <c r="D25" s="1217"/>
      <c r="E25" s="1217"/>
      <c r="F25" s="1236"/>
      <c r="G25" s="1057"/>
      <c r="H25" s="1511"/>
      <c r="I25" s="1512"/>
      <c r="J25" s="1063"/>
      <c r="K25" s="1073" t="str">
        <f>IF(M25,IF(O25,$O$10*H25%,IF(P25,J25,"")),"")</f>
        <v/>
      </c>
      <c r="M25" s="146" t="b">
        <v>0</v>
      </c>
      <c r="O25" s="169" t="b">
        <f>AND(M25,OR(AND(G25="",J25=""),G25="v.H.-Satz"))</f>
        <v>0</v>
      </c>
      <c r="P25" s="169" t="b">
        <f>AND(M25,OR(G25="",G25="pauschal"))</f>
        <v>0</v>
      </c>
    </row>
    <row r="26" spans="2:16" ht="16.7">
      <c r="B26" s="349"/>
      <c r="C26" s="1216"/>
      <c r="D26" s="1092"/>
      <c r="E26" s="469"/>
      <c r="F26" s="1076"/>
      <c r="G26" s="1059"/>
      <c r="H26" s="1064"/>
      <c r="I26" s="1065"/>
      <c r="J26" s="1059"/>
      <c r="K26" s="1075"/>
      <c r="O26" s="575"/>
      <c r="P26" s="575"/>
    </row>
    <row r="27" spans="2:16" ht="16.7">
      <c r="B27" s="97"/>
      <c r="C27" s="1213" t="s">
        <v>76</v>
      </c>
      <c r="D27" s="1217"/>
      <c r="E27" s="1217"/>
      <c r="F27" s="1236"/>
      <c r="G27" s="1057"/>
      <c r="H27" s="1511"/>
      <c r="I27" s="1512"/>
      <c r="J27" s="1063"/>
      <c r="K27" s="1073" t="str">
        <f>IF(M27,IF(O27,$O$10*H27%,IF(P27,J27,"")),"")</f>
        <v/>
      </c>
      <c r="M27" s="146" t="b">
        <v>0</v>
      </c>
      <c r="O27" s="169" t="b">
        <f>AND(M27,OR(AND(G27="",J27=""),G27="v.H.-Satz"))</f>
        <v>0</v>
      </c>
      <c r="P27" s="169" t="b">
        <f>AND(M27,OR(G27="",G27="pauschal"))</f>
        <v>0</v>
      </c>
    </row>
    <row r="28" spans="2:16" ht="17.3" thickBot="1">
      <c r="B28" s="349"/>
      <c r="C28" s="1216"/>
      <c r="D28" s="1092"/>
      <c r="E28" s="469"/>
      <c r="F28" s="1076"/>
      <c r="G28" s="1059"/>
      <c r="H28" s="1064"/>
      <c r="I28" s="1065"/>
      <c r="J28" s="1059"/>
      <c r="K28" s="1075"/>
    </row>
    <row r="29" spans="2:16" ht="17.3" thickBot="1">
      <c r="B29" s="489"/>
      <c r="C29" s="490" t="s">
        <v>11</v>
      </c>
      <c r="D29" s="490"/>
      <c r="E29" s="490"/>
      <c r="F29" s="491"/>
      <c r="G29" s="492"/>
      <c r="H29" s="491"/>
      <c r="I29" s="491"/>
      <c r="J29" s="356" t="s">
        <v>1064</v>
      </c>
      <c r="K29" s="493">
        <f>IF($N$3,IF(COUNT(K23:K28)&gt;0,SUM(K23:K28),""),0)</f>
        <v>0</v>
      </c>
    </row>
    <row r="30" spans="2:16" ht="16.7">
      <c r="B30" s="494"/>
      <c r="C30" s="485"/>
      <c r="D30" s="485"/>
      <c r="E30" s="485"/>
      <c r="F30" s="486"/>
      <c r="G30" s="487"/>
      <c r="H30" s="486"/>
      <c r="I30" s="486"/>
      <c r="J30" s="382"/>
      <c r="K30" s="495"/>
    </row>
    <row r="31" spans="2:16" ht="19.45" customHeight="1">
      <c r="B31" s="42" t="s">
        <v>702</v>
      </c>
      <c r="C31" s="43"/>
      <c r="D31" s="43"/>
      <c r="E31" s="43"/>
      <c r="F31" s="43"/>
      <c r="G31" s="43"/>
      <c r="H31" s="400"/>
      <c r="I31" s="400"/>
      <c r="J31" s="497"/>
      <c r="K31" s="498"/>
    </row>
    <row r="32" spans="2:16" ht="16.7">
      <c r="B32" s="97"/>
      <c r="C32" s="1213" t="s">
        <v>70</v>
      </c>
      <c r="D32" s="1217"/>
      <c r="E32" s="1217"/>
      <c r="F32" s="1236"/>
      <c r="G32" s="1057"/>
      <c r="H32" s="1511"/>
      <c r="I32" s="1512"/>
      <c r="J32" s="1063"/>
      <c r="K32" s="1073" t="str">
        <f>IF(M32,IF(O32,$O$10*H32%,IF(P32,J32,"")),"")</f>
        <v/>
      </c>
      <c r="M32" s="146" t="b">
        <v>0</v>
      </c>
      <c r="O32" s="169" t="b">
        <f>AND(M32,OR(AND(G32="",J32=""),G32="v.H.-Satz"))</f>
        <v>0</v>
      </c>
      <c r="P32" s="169" t="b">
        <f>AND(M32,OR(G32="",G32="pauschal"))</f>
        <v>0</v>
      </c>
    </row>
    <row r="33" spans="2:16" ht="16.7">
      <c r="B33" s="349"/>
      <c r="C33" s="1216"/>
      <c r="D33" s="1092"/>
      <c r="E33" s="469"/>
      <c r="F33" s="1076"/>
      <c r="G33" s="1059"/>
      <c r="H33" s="1064"/>
      <c r="I33" s="1065"/>
      <c r="J33" s="1059"/>
      <c r="K33" s="1075"/>
      <c r="O33" s="575"/>
      <c r="P33" s="575"/>
    </row>
    <row r="34" spans="2:16" ht="16.7">
      <c r="B34" s="97"/>
      <c r="C34" s="1213" t="s">
        <v>68</v>
      </c>
      <c r="D34" s="1217"/>
      <c r="E34" s="1217"/>
      <c r="F34" s="1236"/>
      <c r="G34" s="1057"/>
      <c r="H34" s="1511"/>
      <c r="I34" s="1512"/>
      <c r="J34" s="1063"/>
      <c r="K34" s="1073" t="str">
        <f>IF(M34,IF(O34,$O$10*H34%,IF(P34,J34,"")),"")</f>
        <v/>
      </c>
      <c r="M34" s="146" t="b">
        <v>0</v>
      </c>
      <c r="O34" s="169" t="b">
        <f>AND(M34,OR(AND(G34="",J34=""),G34="v.H.-Satz"))</f>
        <v>0</v>
      </c>
      <c r="P34" s="169" t="b">
        <f>AND(M34,OR(G34="",G34="pauschal"))</f>
        <v>0</v>
      </c>
    </row>
    <row r="35" spans="2:16" ht="16.7">
      <c r="B35" s="349"/>
      <c r="C35" s="1216"/>
      <c r="D35" s="1092"/>
      <c r="E35" s="469"/>
      <c r="F35" s="1076"/>
      <c r="G35" s="1059"/>
      <c r="H35" s="1064"/>
      <c r="I35" s="1065"/>
      <c r="J35" s="1059"/>
      <c r="K35" s="1075"/>
      <c r="O35" s="575"/>
      <c r="P35" s="575"/>
    </row>
    <row r="36" spans="2:16" ht="16.7">
      <c r="B36" s="97"/>
      <c r="C36" s="1213" t="s">
        <v>66</v>
      </c>
      <c r="D36" s="1217"/>
      <c r="E36" s="1217"/>
      <c r="F36" s="1236"/>
      <c r="G36" s="1057"/>
      <c r="H36" s="1511"/>
      <c r="I36" s="1512"/>
      <c r="J36" s="1063"/>
      <c r="K36" s="1073" t="str">
        <f>IF(M36,IF(O36,$O$10*H36%,IF(P36,J36,"")),"")</f>
        <v/>
      </c>
      <c r="M36" s="146" t="b">
        <v>0</v>
      </c>
      <c r="O36" s="169" t="b">
        <f>AND(M36,OR(AND(G36="",J36=""),G36="v.H.-Satz"))</f>
        <v>0</v>
      </c>
      <c r="P36" s="169" t="b">
        <f>AND(M36,OR(G36="",G36="pauschal"))</f>
        <v>0</v>
      </c>
    </row>
    <row r="37" spans="2:16" ht="17.3" thickBot="1">
      <c r="B37" s="349"/>
      <c r="C37" s="1216"/>
      <c r="D37" s="1092"/>
      <c r="E37" s="469"/>
      <c r="F37" s="1076"/>
      <c r="G37" s="1059"/>
      <c r="H37" s="1064"/>
      <c r="I37" s="1065"/>
      <c r="J37" s="1059"/>
      <c r="K37" s="1075"/>
    </row>
    <row r="38" spans="2:16" ht="17.3" thickBot="1">
      <c r="B38" s="489"/>
      <c r="C38" s="490" t="s">
        <v>11</v>
      </c>
      <c r="D38" s="490"/>
      <c r="E38" s="490"/>
      <c r="F38" s="491"/>
      <c r="G38" s="492"/>
      <c r="H38" s="491"/>
      <c r="I38" s="491"/>
      <c r="J38" s="356" t="s">
        <v>1066</v>
      </c>
      <c r="K38" s="493">
        <f>IF($N$3,IF(COUNT(K32:K37)&gt;0,SUM(K32:K37),""),0)</f>
        <v>0</v>
      </c>
    </row>
    <row r="39" spans="2:16" ht="16.7">
      <c r="B39" s="494"/>
      <c r="C39" s="485"/>
      <c r="D39" s="485"/>
      <c r="E39" s="485"/>
      <c r="F39" s="486"/>
      <c r="G39" s="487"/>
      <c r="H39" s="486"/>
      <c r="I39" s="486"/>
      <c r="J39" s="382"/>
      <c r="K39" s="495"/>
    </row>
    <row r="40" spans="2:16" ht="19.45" customHeight="1">
      <c r="B40" s="42" t="s">
        <v>703</v>
      </c>
      <c r="C40" s="43"/>
      <c r="D40" s="43"/>
      <c r="E40" s="43"/>
      <c r="F40" s="43"/>
      <c r="G40" s="43"/>
      <c r="H40" s="400"/>
      <c r="I40" s="400"/>
      <c r="J40" s="497"/>
      <c r="K40" s="498"/>
    </row>
    <row r="41" spans="2:16" ht="16.7">
      <c r="B41" s="97"/>
      <c r="C41" s="1213" t="s">
        <v>59</v>
      </c>
      <c r="D41" s="1217"/>
      <c r="E41" s="1217"/>
      <c r="F41" s="1236"/>
      <c r="G41" s="1057"/>
      <c r="H41" s="1511"/>
      <c r="I41" s="1512"/>
      <c r="J41" s="1063"/>
      <c r="K41" s="1073" t="str">
        <f>IF(M41,IF(O41,$O$10*H41%,IF(P41,J41,"")),"")</f>
        <v/>
      </c>
      <c r="M41" s="146" t="b">
        <v>0</v>
      </c>
      <c r="O41" s="169" t="b">
        <f>AND(M41,OR(AND(G41="",J41=""),G41="v.H.-Satz"))</f>
        <v>0</v>
      </c>
      <c r="P41" s="169" t="b">
        <f>AND(M41,OR(G41="",G41="pauschal"))</f>
        <v>0</v>
      </c>
    </row>
    <row r="42" spans="2:16" ht="16.7">
      <c r="B42" s="349"/>
      <c r="C42" s="1216"/>
      <c r="D42" s="1092"/>
      <c r="E42" s="469"/>
      <c r="F42" s="1076"/>
      <c r="G42" s="1059"/>
      <c r="H42" s="1064"/>
      <c r="I42" s="1065"/>
      <c r="J42" s="1059"/>
      <c r="K42" s="1075"/>
      <c r="O42" s="575"/>
      <c r="P42" s="575"/>
    </row>
    <row r="43" spans="2:16" ht="16.7">
      <c r="B43" s="175"/>
      <c r="C43" s="1213" t="s">
        <v>58</v>
      </c>
      <c r="D43" s="1217"/>
      <c r="E43" s="1217"/>
      <c r="F43" s="1236"/>
      <c r="G43" s="1057"/>
      <c r="H43" s="1511"/>
      <c r="I43" s="1512"/>
      <c r="J43" s="1063"/>
      <c r="K43" s="1073" t="str">
        <f>IF(M43,IF(O43,$O$10*H43%,IF(P43,J43,"")),"")</f>
        <v/>
      </c>
      <c r="M43" s="146" t="b">
        <v>0</v>
      </c>
      <c r="O43" s="169" t="b">
        <f>AND(M43,OR(AND(G43="",J43=""),G43="v.H.-Satz"))</f>
        <v>0</v>
      </c>
      <c r="P43" s="169" t="b">
        <f>AND(M43,OR(G43="",G43="pauschal"))</f>
        <v>0</v>
      </c>
    </row>
    <row r="44" spans="2:16" ht="16.7">
      <c r="B44" s="349"/>
      <c r="C44" s="1216"/>
      <c r="D44" s="1092"/>
      <c r="E44" s="469"/>
      <c r="F44" s="1076"/>
      <c r="G44" s="1059"/>
      <c r="H44" s="1064"/>
      <c r="I44" s="1065"/>
      <c r="J44" s="1059"/>
      <c r="K44" s="1075"/>
      <c r="O44" s="575"/>
      <c r="P44" s="575"/>
    </row>
    <row r="45" spans="2:16" ht="16.7">
      <c r="B45" s="175"/>
      <c r="C45" s="1213" t="s">
        <v>137</v>
      </c>
      <c r="D45" s="1217"/>
      <c r="E45" s="1217"/>
      <c r="F45" s="1236"/>
      <c r="G45" s="1057"/>
      <c r="H45" s="1511"/>
      <c r="I45" s="1512"/>
      <c r="J45" s="1063"/>
      <c r="K45" s="1073" t="str">
        <f>IF(M45,IF(O45,$O$10*H45%,IF(P45,J45,"")),"")</f>
        <v/>
      </c>
      <c r="M45" s="146" t="b">
        <v>0</v>
      </c>
      <c r="O45" s="169" t="b">
        <f>AND(M45,OR(AND(G45="",J45=""),G45="v.H.-Satz"))</f>
        <v>0</v>
      </c>
      <c r="P45" s="169" t="b">
        <f>AND(M45,OR(G45="",G45="pauschal"))</f>
        <v>0</v>
      </c>
    </row>
    <row r="46" spans="2:16" ht="17.3" thickBot="1">
      <c r="B46" s="349"/>
      <c r="C46" s="1216"/>
      <c r="D46" s="1092"/>
      <c r="E46" s="469"/>
      <c r="F46" s="1076"/>
      <c r="G46" s="1059"/>
      <c r="H46" s="1064"/>
      <c r="I46" s="1065"/>
      <c r="J46" s="1059"/>
      <c r="K46" s="1075"/>
    </row>
    <row r="47" spans="2:16" ht="17.3" thickBot="1">
      <c r="B47" s="489"/>
      <c r="C47" s="490" t="s">
        <v>11</v>
      </c>
      <c r="D47" s="490"/>
      <c r="E47" s="490"/>
      <c r="F47" s="491"/>
      <c r="G47" s="492"/>
      <c r="H47" s="491"/>
      <c r="I47" s="491"/>
      <c r="J47" s="356" t="s">
        <v>1063</v>
      </c>
      <c r="K47" s="493">
        <f>IF($N$3,IF(COUNT(K41:K46)&gt;0,SUM(K41:K46),""),0)</f>
        <v>0</v>
      </c>
    </row>
    <row r="48" spans="2:16" ht="16.7">
      <c r="B48" s="494"/>
      <c r="C48" s="485"/>
      <c r="D48" s="485"/>
      <c r="E48" s="485"/>
      <c r="F48" s="486"/>
      <c r="G48" s="487"/>
      <c r="H48" s="486"/>
      <c r="I48" s="486"/>
      <c r="J48" s="382"/>
      <c r="K48" s="495"/>
    </row>
    <row r="49" spans="2:16" ht="19.45" customHeight="1">
      <c r="B49" s="42" t="s">
        <v>704</v>
      </c>
      <c r="C49" s="43"/>
      <c r="D49" s="43"/>
      <c r="E49" s="43"/>
      <c r="F49" s="43"/>
      <c r="G49" s="43"/>
      <c r="H49" s="400"/>
      <c r="I49" s="400"/>
      <c r="J49" s="497"/>
      <c r="K49" s="498"/>
    </row>
    <row r="50" spans="2:16" ht="16.7">
      <c r="B50" s="97"/>
      <c r="C50" s="1213" t="s">
        <v>57</v>
      </c>
      <c r="D50" s="1217"/>
      <c r="E50" s="1217"/>
      <c r="F50" s="1236"/>
      <c r="G50" s="1057"/>
      <c r="H50" s="1511"/>
      <c r="I50" s="1512"/>
      <c r="J50" s="1063"/>
      <c r="K50" s="1073" t="str">
        <f>IF(M50,IF(O50,$O$10*H50%,IF(P50,J50,"")),"")</f>
        <v/>
      </c>
      <c r="M50" s="146" t="b">
        <v>0</v>
      </c>
      <c r="O50" s="169" t="b">
        <f>AND(M50,OR(AND(G50="",J50=""),G50="v.H.-Satz"))</f>
        <v>0</v>
      </c>
      <c r="P50" s="169" t="b">
        <f>AND(M50,OR(G50="",G50="pauschal"))</f>
        <v>0</v>
      </c>
    </row>
    <row r="51" spans="2:16" ht="16.7">
      <c r="B51" s="499"/>
      <c r="C51" s="1216"/>
      <c r="D51" s="1092"/>
      <c r="E51" s="469"/>
      <c r="F51" s="1076"/>
      <c r="G51" s="1059"/>
      <c r="H51" s="1064"/>
      <c r="I51" s="1065"/>
      <c r="J51" s="1059"/>
      <c r="K51" s="1075"/>
      <c r="O51" s="575"/>
      <c r="P51" s="575"/>
    </row>
    <row r="52" spans="2:16" ht="16.7">
      <c r="B52" s="500"/>
      <c r="C52" s="1213" t="s">
        <v>55</v>
      </c>
      <c r="D52" s="1217"/>
      <c r="E52" s="1217"/>
      <c r="F52" s="1236"/>
      <c r="G52" s="1057"/>
      <c r="H52" s="1511"/>
      <c r="I52" s="1512"/>
      <c r="J52" s="1063"/>
      <c r="K52" s="1073" t="str">
        <f>IF(M52,IF(O52,$O$10*H52%,IF(P52,J52,"")),"")</f>
        <v/>
      </c>
      <c r="M52" s="146" t="b">
        <v>0</v>
      </c>
      <c r="O52" s="169" t="b">
        <f>AND(M52,OR(AND(G52="",J52=""),G52="v.H.-Satz"))</f>
        <v>0</v>
      </c>
      <c r="P52" s="169" t="b">
        <f>AND(M52,OR(G52="",G52="pauschal"))</f>
        <v>0</v>
      </c>
    </row>
    <row r="53" spans="2:16" ht="16.7">
      <c r="B53" s="499"/>
      <c r="C53" s="1216"/>
      <c r="D53" s="1092"/>
      <c r="E53" s="469"/>
      <c r="F53" s="1076"/>
      <c r="G53" s="1059"/>
      <c r="H53" s="1064"/>
      <c r="I53" s="1065"/>
      <c r="J53" s="1059"/>
      <c r="K53" s="1075"/>
      <c r="O53" s="575"/>
      <c r="P53" s="575"/>
    </row>
    <row r="54" spans="2:16" ht="16.7">
      <c r="B54" s="500"/>
      <c r="C54" s="1213" t="s">
        <v>53</v>
      </c>
      <c r="D54" s="1217"/>
      <c r="E54" s="1217"/>
      <c r="F54" s="1236"/>
      <c r="G54" s="1057"/>
      <c r="H54" s="1511"/>
      <c r="I54" s="1512"/>
      <c r="J54" s="1063"/>
      <c r="K54" s="1073" t="str">
        <f>IF(M54,IF(O54,$O$10*H54%,IF(P54,J54,"")),"")</f>
        <v/>
      </c>
      <c r="M54" s="146" t="b">
        <v>0</v>
      </c>
      <c r="O54" s="169" t="b">
        <f>AND(M54,OR(AND(G54="",J54=""),G54="v.H.-Satz"))</f>
        <v>0</v>
      </c>
      <c r="P54" s="169" t="b">
        <f>AND(M54,OR(G54="",G54="pauschal"))</f>
        <v>0</v>
      </c>
    </row>
    <row r="55" spans="2:16" ht="17.3" thickBot="1">
      <c r="B55" s="349"/>
      <c r="C55" s="1216"/>
      <c r="D55" s="1092"/>
      <c r="E55" s="469"/>
      <c r="F55" s="1076"/>
      <c r="G55" s="1059"/>
      <c r="H55" s="1064"/>
      <c r="I55" s="1065"/>
      <c r="J55" s="1059"/>
      <c r="K55" s="1075"/>
    </row>
    <row r="56" spans="2:16" ht="17.3" thickBot="1">
      <c r="B56" s="489"/>
      <c r="C56" s="490" t="s">
        <v>11</v>
      </c>
      <c r="D56" s="490"/>
      <c r="E56" s="490"/>
      <c r="F56" s="491"/>
      <c r="G56" s="492"/>
      <c r="H56" s="491"/>
      <c r="I56" s="491"/>
      <c r="J56" s="356" t="s">
        <v>1048</v>
      </c>
      <c r="K56" s="493">
        <f>IF($N$3,IF(COUNT(K50:K55)&gt;0,SUM(K50:K55),""),0)</f>
        <v>0</v>
      </c>
    </row>
    <row r="57" spans="2:16" ht="16.7">
      <c r="B57" s="494"/>
      <c r="C57" s="485"/>
      <c r="D57" s="485"/>
      <c r="E57" s="485"/>
      <c r="F57" s="486"/>
      <c r="G57" s="487"/>
      <c r="H57" s="486"/>
      <c r="I57" s="486"/>
      <c r="J57" s="382"/>
      <c r="K57" s="495"/>
    </row>
    <row r="58" spans="2:16" ht="19.45" customHeight="1">
      <c r="B58" s="42" t="s">
        <v>803</v>
      </c>
      <c r="C58" s="43"/>
      <c r="D58" s="43"/>
      <c r="E58" s="43"/>
      <c r="F58" s="43"/>
      <c r="G58" s="43"/>
      <c r="H58" s="400"/>
      <c r="I58" s="400"/>
      <c r="J58" s="497"/>
      <c r="K58" s="498"/>
    </row>
    <row r="59" spans="2:16" ht="16.7">
      <c r="B59" s="97"/>
      <c r="C59" s="1213" t="s">
        <v>50</v>
      </c>
      <c r="D59" s="1217"/>
      <c r="E59" s="1217"/>
      <c r="F59" s="1236"/>
      <c r="G59" s="1057"/>
      <c r="H59" s="1511"/>
      <c r="I59" s="1512"/>
      <c r="J59" s="1063"/>
      <c r="K59" s="1073" t="str">
        <f>IF(M59,IF(O59,$O$10*H59%,IF(P59,J59,"")),"")</f>
        <v/>
      </c>
      <c r="M59" s="146" t="b">
        <v>0</v>
      </c>
      <c r="O59" s="169" t="b">
        <f>AND(M59,OR(AND(G59="",J59=""),G59="v.H.-Satz"))</f>
        <v>0</v>
      </c>
      <c r="P59" s="169" t="b">
        <f>AND(M59,OR(G59="",G59="pauschal"))</f>
        <v>0</v>
      </c>
    </row>
    <row r="60" spans="2:16" ht="16.7">
      <c r="B60" s="499"/>
      <c r="C60" s="1216"/>
      <c r="D60" s="1092"/>
      <c r="E60" s="469"/>
      <c r="F60" s="1076"/>
      <c r="G60" s="1059"/>
      <c r="H60" s="1064"/>
      <c r="I60" s="1065"/>
      <c r="J60" s="1059"/>
      <c r="K60" s="1075"/>
      <c r="O60" s="575"/>
      <c r="P60" s="575"/>
    </row>
    <row r="61" spans="2:16" ht="16.7">
      <c r="B61" s="175"/>
      <c r="C61" s="1213" t="s">
        <v>49</v>
      </c>
      <c r="D61" s="1217"/>
      <c r="E61" s="1217"/>
      <c r="F61" s="1236"/>
      <c r="G61" s="1057"/>
      <c r="H61" s="1511"/>
      <c r="I61" s="1512"/>
      <c r="J61" s="1063"/>
      <c r="K61" s="1073" t="str">
        <f>IF(M61,IF(O61,$O$10*H61%,IF(P61,J61,"")),"")</f>
        <v/>
      </c>
      <c r="M61" s="146" t="b">
        <v>0</v>
      </c>
      <c r="O61" s="169" t="b">
        <f>AND(M61,OR(AND(G61="",J61=""),G61="v.H.-Satz"))</f>
        <v>0</v>
      </c>
      <c r="P61" s="169" t="b">
        <f>AND(M61,OR(G61="",G61="pauschal"))</f>
        <v>0</v>
      </c>
    </row>
    <row r="62" spans="2:16" ht="16.7">
      <c r="B62" s="349"/>
      <c r="C62" s="1216"/>
      <c r="D62" s="1092"/>
      <c r="E62" s="469"/>
      <c r="F62" s="1076"/>
      <c r="G62" s="1059"/>
      <c r="H62" s="1064"/>
      <c r="I62" s="1065"/>
      <c r="J62" s="1059"/>
      <c r="K62" s="1075"/>
      <c r="O62" s="575"/>
      <c r="P62" s="575"/>
    </row>
    <row r="63" spans="2:16" ht="16.7">
      <c r="B63" s="175"/>
      <c r="C63" s="1213" t="s">
        <v>139</v>
      </c>
      <c r="D63" s="1217"/>
      <c r="E63" s="1217"/>
      <c r="F63" s="1236"/>
      <c r="G63" s="1057"/>
      <c r="H63" s="1511"/>
      <c r="I63" s="1512"/>
      <c r="J63" s="1063"/>
      <c r="K63" s="1073" t="str">
        <f>IF(M63,IF(O63,$O$10*H63%,IF(P63,J63,"")),"")</f>
        <v/>
      </c>
      <c r="M63" s="146" t="b">
        <v>0</v>
      </c>
      <c r="O63" s="169" t="b">
        <f>AND(M63,OR(AND(G63="",J63=""),G63="v.H.-Satz"))</f>
        <v>0</v>
      </c>
      <c r="P63" s="169" t="b">
        <f>AND(M63,OR(G63="",G63="pauschal"))</f>
        <v>0</v>
      </c>
    </row>
    <row r="64" spans="2:16" ht="17.3" thickBot="1">
      <c r="B64" s="349"/>
      <c r="C64" s="1216"/>
      <c r="D64" s="1092"/>
      <c r="E64" s="469"/>
      <c r="F64" s="1076"/>
      <c r="G64" s="1059"/>
      <c r="H64" s="1064"/>
      <c r="I64" s="1065"/>
      <c r="J64" s="1059"/>
      <c r="K64" s="1075"/>
    </row>
    <row r="65" spans="1:16" ht="17.3" thickBot="1">
      <c r="B65" s="489"/>
      <c r="C65" s="490" t="s">
        <v>11</v>
      </c>
      <c r="D65" s="490"/>
      <c r="E65" s="490"/>
      <c r="F65" s="491"/>
      <c r="G65" s="492"/>
      <c r="H65" s="491"/>
      <c r="I65" s="491"/>
      <c r="J65" s="356" t="s">
        <v>1062</v>
      </c>
      <c r="K65" s="493">
        <f>IF($N$3,IF(COUNT(K59:K63)&gt;0,SUM(K59:K63),""),0)</f>
        <v>0</v>
      </c>
    </row>
    <row r="66" spans="1:16" ht="16.7">
      <c r="B66" s="494"/>
      <c r="C66" s="485"/>
      <c r="D66" s="485"/>
      <c r="E66" s="485"/>
      <c r="F66" s="486"/>
      <c r="G66" s="487"/>
      <c r="H66" s="486"/>
      <c r="I66" s="486"/>
      <c r="J66" s="382"/>
      <c r="K66" s="495"/>
    </row>
    <row r="67" spans="1:16" ht="19.45" customHeight="1">
      <c r="B67" s="42" t="s">
        <v>804</v>
      </c>
      <c r="C67" s="43"/>
      <c r="D67" s="43"/>
      <c r="E67" s="43"/>
      <c r="F67" s="43"/>
      <c r="G67" s="43"/>
      <c r="H67" s="400"/>
      <c r="I67" s="400"/>
      <c r="J67" s="497"/>
      <c r="K67" s="498"/>
    </row>
    <row r="68" spans="1:16" ht="16.7">
      <c r="B68" s="97"/>
      <c r="C68" s="1213" t="s">
        <v>48</v>
      </c>
      <c r="D68" s="1217"/>
      <c r="E68" s="1217"/>
      <c r="F68" s="1236"/>
      <c r="G68" s="1057"/>
      <c r="H68" s="1511"/>
      <c r="I68" s="1512"/>
      <c r="J68" s="1063"/>
      <c r="K68" s="1073" t="str">
        <f>IF(M68,IF(O68,$O$10*H68%,IF(P68,J68,"")),"")</f>
        <v/>
      </c>
      <c r="M68" s="146" t="b">
        <v>0</v>
      </c>
      <c r="O68" s="169" t="b">
        <f>AND(M68,OR(AND(G68="",J68=""),G68="v.H.-Satz"))</f>
        <v>0</v>
      </c>
      <c r="P68" s="169" t="b">
        <f>AND(M68,OR(G68="",G68="pauschal"))</f>
        <v>0</v>
      </c>
    </row>
    <row r="69" spans="1:16" ht="16.7">
      <c r="B69" s="499"/>
      <c r="C69" s="1216"/>
      <c r="D69" s="1092"/>
      <c r="E69" s="469"/>
      <c r="F69" s="1076"/>
      <c r="G69" s="1059"/>
      <c r="H69" s="1064"/>
      <c r="I69" s="1065"/>
      <c r="J69" s="1059"/>
      <c r="K69" s="1075"/>
      <c r="O69" s="575"/>
      <c r="P69" s="575"/>
    </row>
    <row r="70" spans="1:16" ht="16.7">
      <c r="B70" s="175"/>
      <c r="C70" s="1213" t="s">
        <v>46</v>
      </c>
      <c r="D70" s="1217"/>
      <c r="E70" s="1217"/>
      <c r="F70" s="1236"/>
      <c r="G70" s="1057"/>
      <c r="H70" s="1511"/>
      <c r="I70" s="1512"/>
      <c r="J70" s="1063"/>
      <c r="K70" s="1073" t="str">
        <f>IF(M70,IF(O70,$O$10*H70%,IF(P70,J70,"")),"")</f>
        <v/>
      </c>
      <c r="M70" s="146" t="b">
        <v>0</v>
      </c>
      <c r="O70" s="169" t="b">
        <f>AND(M70,OR(AND(G70="",J70=""),G70="v.H.-Satz"))</f>
        <v>0</v>
      </c>
      <c r="P70" s="169" t="b">
        <f>AND(M70,OR(G70="",G70="pauschal"))</f>
        <v>0</v>
      </c>
    </row>
    <row r="71" spans="1:16" ht="16.7">
      <c r="B71" s="349"/>
      <c r="C71" s="1216"/>
      <c r="D71" s="1092"/>
      <c r="E71" s="469"/>
      <c r="F71" s="1076"/>
      <c r="G71" s="1059"/>
      <c r="H71" s="1064"/>
      <c r="I71" s="1065"/>
      <c r="J71" s="1059"/>
      <c r="K71" s="1075"/>
      <c r="O71" s="575"/>
      <c r="P71" s="575"/>
    </row>
    <row r="72" spans="1:16" ht="16.7">
      <c r="B72" s="175"/>
      <c r="C72" s="1213" t="s">
        <v>140</v>
      </c>
      <c r="D72" s="1217"/>
      <c r="E72" s="1217"/>
      <c r="F72" s="1236"/>
      <c r="G72" s="1057"/>
      <c r="H72" s="1511"/>
      <c r="I72" s="1512"/>
      <c r="J72" s="1063"/>
      <c r="K72" s="1073" t="str">
        <f>IF(M72,IF(O72,$O$10*H72%,IF(P72,J72,"")),"")</f>
        <v/>
      </c>
      <c r="M72" s="146" t="b">
        <v>0</v>
      </c>
      <c r="O72" s="169" t="b">
        <f>AND(M72,OR(AND(G72="",J72=""),G72="v.H.-Satz"))</f>
        <v>0</v>
      </c>
      <c r="P72" s="169" t="b">
        <f>AND(M72,OR(G72="",G72="pauschal"))</f>
        <v>0</v>
      </c>
    </row>
    <row r="73" spans="1:16" ht="17.3" thickBot="1">
      <c r="B73" s="349"/>
      <c r="C73" s="1216"/>
      <c r="D73" s="1092"/>
      <c r="E73" s="469"/>
      <c r="F73" s="1076"/>
      <c r="G73" s="1059"/>
      <c r="H73" s="1064"/>
      <c r="I73" s="1065"/>
      <c r="J73" s="1059"/>
      <c r="K73" s="1075"/>
    </row>
    <row r="74" spans="1:16" ht="17.3" thickBot="1">
      <c r="B74" s="489"/>
      <c r="C74" s="490" t="s">
        <v>11</v>
      </c>
      <c r="D74" s="490"/>
      <c r="E74" s="490"/>
      <c r="F74" s="491"/>
      <c r="G74" s="492"/>
      <c r="H74" s="491"/>
      <c r="I74" s="491"/>
      <c r="J74" s="356" t="s">
        <v>1061</v>
      </c>
      <c r="K74" s="493">
        <f>IF($N$3,IF(COUNT(K68:K72),SUM(K68:K72),""),0)</f>
        <v>0</v>
      </c>
    </row>
    <row r="75" spans="1:16" ht="16.7">
      <c r="B75" s="494"/>
      <c r="C75" s="485"/>
      <c r="D75" s="485"/>
      <c r="E75" s="485"/>
      <c r="F75" s="486"/>
      <c r="G75" s="487"/>
      <c r="H75" s="486"/>
      <c r="I75" s="486"/>
      <c r="J75" s="382"/>
      <c r="K75" s="495"/>
    </row>
    <row r="76" spans="1:16" ht="19.45" customHeight="1">
      <c r="B76" s="42" t="s">
        <v>705</v>
      </c>
      <c r="C76" s="43"/>
      <c r="D76" s="43"/>
      <c r="E76" s="43"/>
      <c r="F76" s="43"/>
      <c r="G76" s="43"/>
      <c r="H76" s="400"/>
      <c r="I76" s="400"/>
      <c r="J76" s="497"/>
      <c r="K76" s="498"/>
    </row>
    <row r="77" spans="1:16" ht="16.7">
      <c r="B77" s="97"/>
      <c r="C77" s="1208" t="s">
        <v>45</v>
      </c>
      <c r="D77" s="1184"/>
      <c r="E77" s="1184"/>
      <c r="F77" s="1233" t="s">
        <v>723</v>
      </c>
      <c r="G77" s="1057"/>
      <c r="H77" s="1511"/>
      <c r="I77" s="1512"/>
      <c r="J77" s="1063"/>
      <c r="K77" s="1073" t="str">
        <f>IF(M77,IF(O77,$O$11*H77%,IF(P77,J77,"")),"")</f>
        <v/>
      </c>
      <c r="M77" s="146" t="b">
        <v>0</v>
      </c>
      <c r="O77" s="169" t="b">
        <f>AND(M77,OR(AND(G77="",J77=""),G77="v.H.-Satz"))</f>
        <v>0</v>
      </c>
      <c r="P77" s="169" t="b">
        <f>AND(M77,OR(G77="",G77="pauschal"))</f>
        <v>0</v>
      </c>
    </row>
    <row r="78" spans="1:16" s="152" customFormat="1" ht="16.7">
      <c r="A78" s="1047"/>
      <c r="B78" s="349"/>
      <c r="C78" s="1216"/>
      <c r="D78" s="1092"/>
      <c r="E78" s="1092"/>
      <c r="F78" s="1076"/>
      <c r="G78" s="1059"/>
      <c r="H78" s="1064"/>
      <c r="I78" s="1065"/>
      <c r="J78" s="1059"/>
      <c r="K78" s="1075"/>
      <c r="M78" s="153"/>
    </row>
    <row r="79" spans="1:16" ht="16.600000000000001" customHeight="1">
      <c r="B79" s="97"/>
      <c r="C79" s="1220" t="s">
        <v>131</v>
      </c>
      <c r="D79" s="1221"/>
      <c r="E79" s="1235" t="s">
        <v>924</v>
      </c>
      <c r="F79" s="1232" t="s">
        <v>1071</v>
      </c>
      <c r="G79" s="1057"/>
      <c r="H79" s="1511"/>
      <c r="I79" s="1512"/>
      <c r="J79" s="1063"/>
      <c r="K79" s="1073" t="str">
        <f>IF(M79,IF(O79,$G$80*H79%,IF(P79,J79,"")),"")</f>
        <v/>
      </c>
      <c r="M79" s="146" t="b">
        <v>0</v>
      </c>
      <c r="O79" s="169" t="b">
        <f>AND(M79,OR(AND(G79="",J79=""),G79="v.H.-Satz"))</f>
        <v>0</v>
      </c>
      <c r="P79" s="169" t="b">
        <f>AND(M79,OR(G79="",G79="pauschal"))</f>
        <v>0</v>
      </c>
    </row>
    <row r="80" spans="1:16" ht="16.7">
      <c r="B80" s="501"/>
      <c r="C80" s="191"/>
      <c r="D80" s="512"/>
      <c r="E80" s="1093"/>
      <c r="F80" s="1056" t="s">
        <v>1072</v>
      </c>
      <c r="G80" s="1094">
        <f>'A anrechb Kosten'!G77</f>
        <v>2400000</v>
      </c>
      <c r="H80" s="1526"/>
      <c r="I80" s="1527"/>
      <c r="J80" s="1089"/>
      <c r="K80" s="1090"/>
      <c r="O80" s="450"/>
      <c r="P80" s="450"/>
    </row>
    <row r="81" spans="1:16" ht="16.7">
      <c r="B81" s="97"/>
      <c r="C81" s="1213" t="s">
        <v>44</v>
      </c>
      <c r="D81" s="1184"/>
      <c r="E81" s="1184"/>
      <c r="F81" s="1232" t="s">
        <v>43</v>
      </c>
      <c r="G81" s="1057"/>
      <c r="H81" s="1511"/>
      <c r="I81" s="1512"/>
      <c r="J81" s="1063"/>
      <c r="K81" s="1073" t="str">
        <f>IF(M81,IF(O81,$O$11*H81%,IF(P81,J81,"")),"")</f>
        <v/>
      </c>
      <c r="M81" s="146" t="b">
        <v>0</v>
      </c>
      <c r="O81" s="169" t="b">
        <f>AND(M81,OR(AND(G81="",J81=""),G81="v.H.-Satz"))</f>
        <v>0</v>
      </c>
      <c r="P81" s="169" t="b">
        <f>AND(M81,OR(G81="",G81="pauschal"))</f>
        <v>0</v>
      </c>
    </row>
    <row r="82" spans="1:16" ht="16.7">
      <c r="B82" s="349"/>
      <c r="C82" s="1216"/>
      <c r="D82" s="1092"/>
      <c r="E82" s="1092"/>
      <c r="F82" s="1076"/>
      <c r="G82" s="1059"/>
      <c r="H82" s="1064"/>
      <c r="I82" s="1065"/>
      <c r="J82" s="1059"/>
      <c r="K82" s="1075"/>
    </row>
    <row r="83" spans="1:16" ht="16.600000000000001" customHeight="1">
      <c r="B83" s="97"/>
      <c r="C83" s="1213" t="s">
        <v>42</v>
      </c>
      <c r="D83" s="1184"/>
      <c r="E83" s="1235" t="s">
        <v>924</v>
      </c>
      <c r="F83" s="1232" t="s">
        <v>1073</v>
      </c>
      <c r="G83" s="1057"/>
      <c r="H83" s="1511"/>
      <c r="I83" s="1512"/>
      <c r="J83" s="1063"/>
      <c r="K83" s="1073" t="str">
        <f>IF(M83,IF(O83,$O$11*H83%,IF(P83,J83,"")),"")</f>
        <v/>
      </c>
      <c r="M83" s="146" t="b">
        <v>0</v>
      </c>
      <c r="O83" s="169" t="b">
        <f>AND(M83,OR(AND(G83="",J83=""),G83="v.H.-Satz"))</f>
        <v>0</v>
      </c>
      <c r="P83" s="169" t="b">
        <f>AND(M83,OR(G83="",G83="pauschal"))</f>
        <v>0</v>
      </c>
    </row>
    <row r="84" spans="1:16" ht="16.7">
      <c r="B84" s="349"/>
      <c r="C84" s="1216"/>
      <c r="D84" s="1092"/>
      <c r="E84" s="1092"/>
      <c r="F84" s="1076"/>
      <c r="G84" s="1059"/>
      <c r="H84" s="1064"/>
      <c r="I84" s="1065"/>
      <c r="J84" s="1059"/>
      <c r="K84" s="1075"/>
      <c r="L84" s="179"/>
    </row>
    <row r="85" spans="1:16" ht="16.600000000000001" customHeight="1">
      <c r="B85" s="97"/>
      <c r="C85" s="1220" t="s">
        <v>130</v>
      </c>
      <c r="D85" s="1221"/>
      <c r="E85" s="1235" t="s">
        <v>924</v>
      </c>
      <c r="F85" s="1237" t="s">
        <v>1074</v>
      </c>
      <c r="G85" s="1057"/>
      <c r="H85" s="1511"/>
      <c r="I85" s="1512"/>
      <c r="J85" s="1063"/>
      <c r="K85" s="1073" t="str">
        <f>IF(M85,IF(O85,$G$86*H85%,IF(P85,J85,"")),"")</f>
        <v/>
      </c>
      <c r="M85" s="146" t="b">
        <v>0</v>
      </c>
      <c r="O85" s="169" t="b">
        <f>AND(M85,OR(AND(G85="",J85=""),G85="v.H.-Satz"))</f>
        <v>0</v>
      </c>
      <c r="P85" s="169" t="b">
        <f>AND(M85,OR(G85="",G85="pauschal"))</f>
        <v>0</v>
      </c>
    </row>
    <row r="86" spans="1:16" ht="16.7">
      <c r="B86" s="501"/>
      <c r="C86" s="1212"/>
      <c r="D86" s="404"/>
      <c r="E86" s="191"/>
      <c r="F86" s="1056" t="s">
        <v>1072</v>
      </c>
      <c r="G86" s="1094">
        <f>'A anrechb Kosten'!G77</f>
        <v>2400000</v>
      </c>
      <c r="H86" s="1526"/>
      <c r="I86" s="1527"/>
      <c r="J86" s="510"/>
      <c r="K86" s="502"/>
    </row>
    <row r="87" spans="1:16" ht="16.7">
      <c r="A87" s="228"/>
      <c r="B87" s="508"/>
      <c r="C87" s="496"/>
      <c r="D87" s="1095"/>
      <c r="E87" s="1099"/>
      <c r="F87" s="1538" t="s">
        <v>427</v>
      </c>
      <c r="G87" s="1539"/>
      <c r="H87" s="1528"/>
      <c r="I87" s="1529"/>
      <c r="J87" s="510"/>
      <c r="K87" s="513"/>
      <c r="L87" s="179"/>
      <c r="M87" s="146" t="b">
        <v>0</v>
      </c>
    </row>
    <row r="88" spans="1:16" ht="16.7">
      <c r="B88" s="501"/>
      <c r="C88" s="496"/>
      <c r="D88" s="169"/>
      <c r="E88" s="579"/>
      <c r="F88" s="1538" t="s">
        <v>706</v>
      </c>
      <c r="G88" s="1539"/>
      <c r="H88" s="1530"/>
      <c r="I88" s="1531"/>
      <c r="J88" s="510"/>
      <c r="K88" s="513"/>
      <c r="L88" s="179"/>
      <c r="M88" s="146" t="b">
        <v>0</v>
      </c>
    </row>
    <row r="89" spans="1:16" ht="29.95" customHeight="1">
      <c r="A89" s="228"/>
      <c r="B89" s="509"/>
      <c r="C89" s="496"/>
      <c r="D89" s="582"/>
      <c r="E89" s="191"/>
      <c r="F89" s="1540" t="s">
        <v>1054</v>
      </c>
      <c r="G89" s="1541"/>
      <c r="H89" s="1532"/>
      <c r="I89" s="1533"/>
      <c r="J89" s="481"/>
      <c r="K89" s="518"/>
      <c r="L89" s="179"/>
    </row>
    <row r="90" spans="1:16" ht="45.8" customHeight="1">
      <c r="B90" s="501"/>
      <c r="C90" s="496"/>
      <c r="D90" s="583"/>
      <c r="F90" s="1540" t="s">
        <v>1060</v>
      </c>
      <c r="G90" s="1541"/>
      <c r="H90" s="1528"/>
      <c r="I90" s="1529"/>
      <c r="J90" s="510"/>
      <c r="K90" s="519"/>
      <c r="L90" s="179"/>
    </row>
    <row r="91" spans="1:16" ht="15" customHeight="1">
      <c r="B91" s="501"/>
      <c r="C91" s="496"/>
      <c r="D91" s="583"/>
      <c r="F91" s="1542" t="s">
        <v>1055</v>
      </c>
      <c r="G91" s="1543"/>
      <c r="H91" s="1528"/>
      <c r="I91" s="1529"/>
      <c r="J91" s="510"/>
      <c r="K91" s="519"/>
      <c r="L91" s="179"/>
    </row>
    <row r="92" spans="1:16" ht="15" customHeight="1">
      <c r="B92" s="501"/>
      <c r="C92" s="496"/>
      <c r="D92" s="583"/>
      <c r="F92" s="1542" t="s">
        <v>1056</v>
      </c>
      <c r="G92" s="1543"/>
      <c r="H92" s="1528"/>
      <c r="I92" s="1529"/>
      <c r="J92" s="510"/>
      <c r="K92" s="519"/>
      <c r="L92" s="179"/>
    </row>
    <row r="93" spans="1:16" ht="29.95" customHeight="1">
      <c r="A93" s="228"/>
      <c r="B93" s="509"/>
      <c r="C93" s="496"/>
      <c r="D93" s="582"/>
      <c r="E93" s="191"/>
      <c r="F93" s="1540" t="s">
        <v>1057</v>
      </c>
      <c r="G93" s="1541"/>
      <c r="H93" s="1532"/>
      <c r="I93" s="1533"/>
      <c r="J93" s="481"/>
      <c r="K93" s="518"/>
      <c r="L93" s="179"/>
    </row>
    <row r="94" spans="1:16" ht="15" customHeight="1">
      <c r="B94" s="501"/>
      <c r="C94" s="496"/>
      <c r="D94" s="583"/>
      <c r="F94" s="1542" t="s">
        <v>1058</v>
      </c>
      <c r="G94" s="1543"/>
      <c r="H94" s="1528"/>
      <c r="I94" s="1529"/>
      <c r="J94" s="510"/>
      <c r="K94" s="519"/>
      <c r="L94" s="179"/>
    </row>
    <row r="95" spans="1:16" ht="16.7">
      <c r="A95" s="228"/>
      <c r="B95" s="508"/>
      <c r="C95" s="496"/>
      <c r="D95" s="1095"/>
      <c r="E95" s="1098"/>
      <c r="F95" s="1538" t="s">
        <v>708</v>
      </c>
      <c r="G95" s="1539"/>
      <c r="H95" s="1528"/>
      <c r="I95" s="1529"/>
      <c r="J95" s="510"/>
      <c r="K95" s="513"/>
      <c r="L95" s="179"/>
      <c r="M95" s="146" t="b">
        <v>0</v>
      </c>
    </row>
    <row r="96" spans="1:16" ht="15" customHeight="1">
      <c r="B96" s="501"/>
      <c r="C96" s="496"/>
      <c r="D96" s="1096"/>
      <c r="F96" s="1544" t="s">
        <v>709</v>
      </c>
      <c r="G96" s="1545"/>
      <c r="H96" s="1528"/>
      <c r="I96" s="1529"/>
      <c r="J96" s="510"/>
      <c r="K96" s="519"/>
      <c r="L96" s="179"/>
    </row>
    <row r="97" spans="1:17" ht="16.7">
      <c r="A97" s="228"/>
      <c r="B97" s="508"/>
      <c r="C97" s="496"/>
      <c r="D97" s="1095"/>
      <c r="E97" s="1099"/>
      <c r="F97" s="1517" t="s">
        <v>710</v>
      </c>
      <c r="G97" s="1518"/>
      <c r="H97" s="1528"/>
      <c r="I97" s="1529"/>
      <c r="J97" s="510"/>
      <c r="K97" s="513"/>
      <c r="L97" s="179"/>
      <c r="M97" s="146" t="b">
        <v>0</v>
      </c>
    </row>
    <row r="98" spans="1:17" ht="16.7">
      <c r="A98" s="228"/>
      <c r="B98" s="508"/>
      <c r="C98" s="496"/>
      <c r="D98" s="1095"/>
      <c r="E98" s="1099"/>
      <c r="F98" s="1517" t="s">
        <v>711</v>
      </c>
      <c r="G98" s="1518"/>
      <c r="H98" s="1528"/>
      <c r="I98" s="1529"/>
      <c r="J98" s="510"/>
      <c r="K98" s="513"/>
      <c r="L98" s="179"/>
      <c r="M98" s="146" t="b">
        <v>0</v>
      </c>
    </row>
    <row r="99" spans="1:17" ht="16.7">
      <c r="A99" s="228"/>
      <c r="B99" s="508"/>
      <c r="C99" s="496"/>
      <c r="D99" s="1095"/>
      <c r="E99" s="579"/>
      <c r="F99" s="1517" t="s">
        <v>712</v>
      </c>
      <c r="G99" s="1518"/>
      <c r="H99" s="1528"/>
      <c r="I99" s="1529"/>
      <c r="J99" s="510"/>
      <c r="K99" s="513"/>
      <c r="L99" s="179"/>
      <c r="M99" s="146" t="b">
        <v>0</v>
      </c>
    </row>
    <row r="100" spans="1:17" ht="29.95" customHeight="1">
      <c r="B100" s="501"/>
      <c r="C100" s="496"/>
      <c r="D100" s="1097"/>
      <c r="F100" s="1515" t="s">
        <v>713</v>
      </c>
      <c r="G100" s="1519"/>
      <c r="H100" s="1528"/>
      <c r="I100" s="1529"/>
      <c r="J100" s="510"/>
      <c r="K100" s="519"/>
      <c r="L100" s="179"/>
    </row>
    <row r="101" spans="1:17" ht="16.7">
      <c r="A101" s="228"/>
      <c r="B101" s="508"/>
      <c r="C101" s="496"/>
      <c r="D101" s="1095"/>
      <c r="E101" s="1098"/>
      <c r="F101" s="1517" t="s">
        <v>714</v>
      </c>
      <c r="G101" s="1518"/>
      <c r="H101" s="1528"/>
      <c r="I101" s="1529"/>
      <c r="J101" s="510"/>
      <c r="K101" s="513"/>
      <c r="L101" s="179"/>
      <c r="M101" s="146" t="b">
        <v>0</v>
      </c>
    </row>
    <row r="102" spans="1:17" ht="15" customHeight="1">
      <c r="B102" s="501"/>
      <c r="C102" s="496"/>
      <c r="D102" s="1097"/>
      <c r="F102" s="1515" t="s">
        <v>715</v>
      </c>
      <c r="G102" s="1519"/>
      <c r="H102" s="1528"/>
      <c r="I102" s="1529"/>
      <c r="J102" s="510"/>
      <c r="K102" s="519"/>
      <c r="L102" s="179"/>
    </row>
    <row r="103" spans="1:17" ht="16.7">
      <c r="A103" s="228"/>
      <c r="B103" s="508"/>
      <c r="C103" s="496"/>
      <c r="D103" s="1095"/>
      <c r="E103" s="1098"/>
      <c r="F103" s="1517" t="s">
        <v>716</v>
      </c>
      <c r="G103" s="1518"/>
      <c r="H103" s="1528"/>
      <c r="I103" s="1529"/>
      <c r="J103" s="510"/>
      <c r="K103" s="513"/>
      <c r="L103" s="179"/>
      <c r="M103" s="146" t="b">
        <v>0</v>
      </c>
    </row>
    <row r="104" spans="1:17" ht="45.1" customHeight="1">
      <c r="B104" s="501"/>
      <c r="C104" s="1018"/>
      <c r="D104" s="1097"/>
      <c r="F104" s="1515" t="s">
        <v>717</v>
      </c>
      <c r="G104" s="1516"/>
      <c r="H104" s="1536"/>
      <c r="I104" s="1537"/>
      <c r="J104" s="510"/>
      <c r="K104" s="519"/>
      <c r="L104" s="179"/>
    </row>
    <row r="105" spans="1:17" ht="16.7">
      <c r="B105" s="536"/>
      <c r="C105" s="1229" t="s">
        <v>41</v>
      </c>
      <c r="D105" s="1217"/>
      <c r="E105" s="1217"/>
      <c r="F105" s="1236"/>
      <c r="G105" s="1057"/>
      <c r="H105" s="1511"/>
      <c r="I105" s="1512"/>
      <c r="J105" s="1063"/>
      <c r="K105" s="1073" t="str">
        <f>IF(M105,IF(O105,$O$11*H105%,IF(P105,J105,"")),"")</f>
        <v/>
      </c>
      <c r="M105" s="146" t="b">
        <v>0</v>
      </c>
      <c r="O105" s="169" t="b">
        <f>AND(M105,OR(AND(G105="",J105=""),G105="v.H.-Satz"))</f>
        <v>0</v>
      </c>
      <c r="P105" s="169" t="b">
        <f>AND(M105,OR(G105="",G105="pauschal"))</f>
        <v>0</v>
      </c>
    </row>
    <row r="106" spans="1:17" ht="16.7">
      <c r="B106" s="359"/>
      <c r="C106" s="1216"/>
      <c r="D106" s="1092"/>
      <c r="E106" s="469"/>
      <c r="F106" s="1076"/>
      <c r="G106" s="1059"/>
      <c r="H106" s="1064"/>
      <c r="I106" s="1065"/>
      <c r="J106" s="1059"/>
      <c r="K106" s="1075"/>
      <c r="O106" s="575"/>
      <c r="P106" s="575"/>
    </row>
    <row r="107" spans="1:17" s="152" customFormat="1" ht="16.7">
      <c r="A107" s="1046"/>
      <c r="B107" s="536"/>
      <c r="C107" s="1229" t="s">
        <v>40</v>
      </c>
      <c r="D107" s="1217"/>
      <c r="E107" s="1217"/>
      <c r="F107" s="1236"/>
      <c r="G107" s="1057"/>
      <c r="H107" s="1511"/>
      <c r="I107" s="1512"/>
      <c r="J107" s="1063"/>
      <c r="K107" s="1073" t="str">
        <f>IF(M107,IF(O107,$O$11*H107%,IF(P107,J107,"")),"")</f>
        <v/>
      </c>
      <c r="L107" s="166"/>
      <c r="M107" s="146" t="b">
        <v>0</v>
      </c>
      <c r="N107" s="166"/>
      <c r="O107" s="169" t="b">
        <f>AND(M107,OR(AND(G107="",J107=""),G107="v.H.-Satz"))</f>
        <v>0</v>
      </c>
      <c r="P107" s="169" t="b">
        <f>AND(M107,OR(G107="",G107="pauschal"))</f>
        <v>0</v>
      </c>
      <c r="Q107" s="166"/>
    </row>
    <row r="108" spans="1:17" s="152" customFormat="1" ht="16.7">
      <c r="A108" s="1047"/>
      <c r="B108" s="359"/>
      <c r="C108" s="1216"/>
      <c r="D108" s="1092"/>
      <c r="E108" s="469"/>
      <c r="F108" s="1076"/>
      <c r="G108" s="1059"/>
      <c r="H108" s="1064"/>
      <c r="I108" s="1065"/>
      <c r="J108" s="1059"/>
      <c r="K108" s="1075"/>
      <c r="L108" s="166"/>
      <c r="M108" s="146"/>
      <c r="N108" s="166"/>
      <c r="O108" s="575"/>
      <c r="P108" s="575"/>
      <c r="Q108" s="166"/>
    </row>
    <row r="109" spans="1:17" ht="16.7">
      <c r="B109" s="97"/>
      <c r="C109" s="1213" t="s">
        <v>462</v>
      </c>
      <c r="D109" s="1217"/>
      <c r="E109" s="1217"/>
      <c r="F109" s="1236"/>
      <c r="G109" s="1057"/>
      <c r="H109" s="1511"/>
      <c r="I109" s="1512"/>
      <c r="J109" s="1063"/>
      <c r="K109" s="1073" t="str">
        <f>IF(M109,IF(O109,$O$11*H109%,IF(P109,J109,"")),"")</f>
        <v/>
      </c>
      <c r="M109" s="146" t="b">
        <v>0</v>
      </c>
      <c r="O109" s="169" t="b">
        <f>AND(M109,OR(AND(G109="",J109=""),G109="v.H.-Satz"))</f>
        <v>0</v>
      </c>
      <c r="P109" s="169" t="b">
        <f>AND(M109,OR(G109="",G109="pauschal"))</f>
        <v>0</v>
      </c>
    </row>
    <row r="110" spans="1:17" ht="17.3" thickBot="1">
      <c r="B110" s="349"/>
      <c r="C110" s="1216"/>
      <c r="D110" s="1092"/>
      <c r="E110" s="469"/>
      <c r="F110" s="1076"/>
      <c r="G110" s="1059"/>
      <c r="H110" s="1064"/>
      <c r="I110" s="1065"/>
      <c r="J110" s="1059"/>
      <c r="K110" s="1075"/>
    </row>
    <row r="111" spans="1:17" ht="17.3" thickBot="1">
      <c r="B111" s="489"/>
      <c r="C111" s="490"/>
      <c r="D111" s="490"/>
      <c r="E111" s="490"/>
      <c r="F111" s="491"/>
      <c r="G111" s="492"/>
      <c r="H111" s="491"/>
      <c r="I111" s="491"/>
      <c r="J111" s="356" t="s">
        <v>1046</v>
      </c>
      <c r="K111" s="493">
        <f>IF($N$3,IF(COUNT(K77:K109)&gt;0,SUM(K77:K109),""),0)</f>
        <v>0</v>
      </c>
    </row>
    <row r="112" spans="1:17" ht="16.7">
      <c r="B112" s="494"/>
      <c r="C112" s="485"/>
      <c r="D112" s="485"/>
      <c r="E112" s="485"/>
      <c r="F112" s="486"/>
      <c r="G112" s="487"/>
      <c r="H112" s="486"/>
      <c r="I112" s="486"/>
      <c r="J112" s="382"/>
      <c r="K112" s="495"/>
    </row>
    <row r="113" spans="1:17" ht="19.45" customHeight="1">
      <c r="B113" s="42" t="s">
        <v>718</v>
      </c>
      <c r="C113" s="43"/>
      <c r="D113" s="43"/>
      <c r="E113" s="43"/>
      <c r="F113" s="43"/>
      <c r="G113" s="43"/>
      <c r="H113" s="400"/>
      <c r="I113" s="400"/>
      <c r="J113" s="497"/>
      <c r="K113" s="498"/>
    </row>
    <row r="114" spans="1:17" ht="16.7">
      <c r="B114" s="97"/>
      <c r="C114" s="1213" t="s">
        <v>39</v>
      </c>
      <c r="D114" s="1217"/>
      <c r="E114" s="1217"/>
      <c r="F114" s="1232" t="s">
        <v>721</v>
      </c>
      <c r="G114" s="1057"/>
      <c r="H114" s="1511"/>
      <c r="I114" s="1512"/>
      <c r="J114" s="1063"/>
      <c r="K114" s="1073" t="str">
        <f>IF(M114,IF(O114,$O$10*H114%,IF(P114,J114,"")),"")</f>
        <v/>
      </c>
      <c r="M114" s="146" t="b">
        <v>0</v>
      </c>
      <c r="O114" s="169" t="b">
        <f>AND(M114,OR(AND(G114="",J114=""),G114="v.H.-Satz"))</f>
        <v>0</v>
      </c>
      <c r="P114" s="169" t="b">
        <f>AND(M114,OR(G114="",G114="pauschal"))</f>
        <v>0</v>
      </c>
    </row>
    <row r="115" spans="1:17" ht="16.7">
      <c r="B115" s="349"/>
      <c r="C115" s="1216"/>
      <c r="D115" s="1092"/>
      <c r="E115" s="469"/>
      <c r="F115" s="1085" t="s">
        <v>720</v>
      </c>
      <c r="G115" s="1059"/>
      <c r="H115" s="1064"/>
      <c r="I115" s="1065"/>
      <c r="J115" s="1059"/>
      <c r="K115" s="1075"/>
      <c r="L115" s="152"/>
      <c r="M115" s="153"/>
      <c r="N115" s="152"/>
      <c r="O115" s="152"/>
      <c r="P115" s="152"/>
      <c r="Q115" s="152"/>
    </row>
    <row r="116" spans="1:17" ht="16.7">
      <c r="B116" s="97"/>
      <c r="C116" s="1213" t="s">
        <v>38</v>
      </c>
      <c r="D116" s="1217"/>
      <c r="E116" s="1217"/>
      <c r="F116" s="1232" t="s">
        <v>1068</v>
      </c>
      <c r="G116" s="1057"/>
      <c r="H116" s="1511"/>
      <c r="I116" s="1512"/>
      <c r="J116" s="1063"/>
      <c r="K116" s="1073" t="str">
        <f>IF(M116,IF(O116,$O$10*H116%,IF(P116,J116,"")),"")</f>
        <v/>
      </c>
      <c r="M116" s="146" t="b">
        <v>0</v>
      </c>
      <c r="O116" s="169" t="b">
        <f>AND(M116,OR(AND(G116="",J116=""),G116="v.H.-Satz"))</f>
        <v>0</v>
      </c>
      <c r="P116" s="169" t="b">
        <f>AND(M116,OR(G116="",G116="pauschal"))</f>
        <v>0</v>
      </c>
    </row>
    <row r="117" spans="1:17" ht="16.7">
      <c r="B117" s="349"/>
      <c r="C117" s="1216"/>
      <c r="D117" s="1092"/>
      <c r="E117" s="469"/>
      <c r="F117" s="1085" t="s">
        <v>1067</v>
      </c>
      <c r="G117" s="1059"/>
      <c r="H117" s="1064"/>
      <c r="I117" s="1065"/>
      <c r="J117" s="1059"/>
      <c r="K117" s="1075"/>
    </row>
    <row r="118" spans="1:17" ht="16.7">
      <c r="B118" s="527"/>
      <c r="C118" s="1213" t="s">
        <v>719</v>
      </c>
      <c r="D118" s="1217"/>
      <c r="E118" s="1217"/>
      <c r="F118" s="1232" t="s">
        <v>722</v>
      </c>
      <c r="G118" s="1057"/>
      <c r="H118" s="1511"/>
      <c r="I118" s="1512"/>
      <c r="J118" s="1063"/>
      <c r="K118" s="1073" t="str">
        <f>IF(M118,IF(O118,$O$10*H118%,IF(P118,J118,"")),"")</f>
        <v/>
      </c>
      <c r="M118" s="146" t="b">
        <v>0</v>
      </c>
      <c r="O118" s="169" t="b">
        <f>AND(M118,OR(AND(G118="",J118=""),G118="v.H.-Satz"))</f>
        <v>0</v>
      </c>
      <c r="P118" s="169" t="b">
        <f>AND(M118,OR(G118="",G118="pauschal"))</f>
        <v>0</v>
      </c>
    </row>
    <row r="119" spans="1:17" ht="16.7">
      <c r="B119" s="349"/>
      <c r="C119" s="1212"/>
      <c r="D119" s="171"/>
      <c r="E119" s="37"/>
      <c r="F119" s="1086" t="s">
        <v>1069</v>
      </c>
      <c r="G119" s="1062"/>
      <c r="H119" s="1060"/>
      <c r="I119" s="1061"/>
      <c r="J119" s="1062"/>
      <c r="K119" s="1072"/>
    </row>
    <row r="120" spans="1:17" ht="16.7">
      <c r="B120" s="349"/>
      <c r="C120" s="1216"/>
      <c r="D120" s="1092"/>
      <c r="E120" s="469"/>
      <c r="F120" s="1076"/>
      <c r="G120" s="1087"/>
      <c r="H120" s="1534"/>
      <c r="I120" s="1535"/>
      <c r="J120" s="558"/>
      <c r="K120" s="471"/>
    </row>
    <row r="121" spans="1:17" ht="16.7">
      <c r="B121" s="536"/>
      <c r="C121" s="1229" t="s">
        <v>724</v>
      </c>
      <c r="D121" s="1217"/>
      <c r="E121" s="1217"/>
      <c r="F121" s="1236"/>
      <c r="G121" s="1057"/>
      <c r="H121" s="1511"/>
      <c r="I121" s="1512"/>
      <c r="J121" s="1063"/>
      <c r="K121" s="1073" t="str">
        <f>IF(M121,IF(O121,$O$10*H121%,IF(P121,J121,"")),"")</f>
        <v/>
      </c>
      <c r="M121" s="146" t="b">
        <v>0</v>
      </c>
      <c r="O121" s="169" t="b">
        <f>AND(M121,OR(AND(G121="",J121=""),G121="v.H.-Satz"))</f>
        <v>0</v>
      </c>
      <c r="P121" s="169" t="b">
        <f>AND(M121,OR(G121="",G121="pauschal"))</f>
        <v>0</v>
      </c>
    </row>
    <row r="122" spans="1:17" ht="16.7">
      <c r="B122" s="359"/>
      <c r="C122" s="1216"/>
      <c r="D122" s="1092"/>
      <c r="E122" s="469"/>
      <c r="F122" s="1076"/>
      <c r="G122" s="1059"/>
      <c r="H122" s="1064"/>
      <c r="I122" s="1065"/>
      <c r="J122" s="1059"/>
      <c r="K122" s="1075"/>
      <c r="O122" s="575"/>
      <c r="P122" s="575"/>
    </row>
    <row r="123" spans="1:17" s="152" customFormat="1" ht="16.7">
      <c r="A123" s="1046"/>
      <c r="B123" s="536"/>
      <c r="C123" s="1229" t="s">
        <v>725</v>
      </c>
      <c r="D123" s="1217"/>
      <c r="E123" s="1217"/>
      <c r="F123" s="1236"/>
      <c r="G123" s="1057"/>
      <c r="H123" s="1511"/>
      <c r="I123" s="1512"/>
      <c r="J123" s="1063"/>
      <c r="K123" s="1073" t="str">
        <f>IF(M123,IF(O123,$O$10*H123%,IF(P123,J123,"")),"")</f>
        <v/>
      </c>
      <c r="L123" s="166"/>
      <c r="M123" s="146" t="b">
        <v>0</v>
      </c>
      <c r="N123" s="166"/>
      <c r="O123" s="169" t="b">
        <f>AND(M123,OR(AND(G123="",J123=""),G123="v.H.-Satz"))</f>
        <v>0</v>
      </c>
      <c r="P123" s="169" t="b">
        <f>AND(M123,OR(G123="",G123="pauschal"))</f>
        <v>0</v>
      </c>
      <c r="Q123" s="166"/>
    </row>
    <row r="124" spans="1:17" s="152" customFormat="1" ht="16.7">
      <c r="A124" s="1047"/>
      <c r="B124" s="359"/>
      <c r="C124" s="1216"/>
      <c r="D124" s="1092"/>
      <c r="E124" s="469"/>
      <c r="F124" s="1076"/>
      <c r="G124" s="1059"/>
      <c r="H124" s="1064"/>
      <c r="I124" s="1065"/>
      <c r="J124" s="1059"/>
      <c r="K124" s="1075"/>
      <c r="L124" s="166"/>
      <c r="M124" s="146"/>
      <c r="N124" s="166"/>
      <c r="O124" s="575"/>
      <c r="P124" s="575"/>
      <c r="Q124" s="166"/>
    </row>
    <row r="125" spans="1:17" ht="16.7">
      <c r="B125" s="97"/>
      <c r="C125" s="1213" t="s">
        <v>726</v>
      </c>
      <c r="D125" s="1217"/>
      <c r="E125" s="1217"/>
      <c r="F125" s="1236"/>
      <c r="G125" s="1057"/>
      <c r="H125" s="1511"/>
      <c r="I125" s="1512"/>
      <c r="J125" s="1063"/>
      <c r="K125" s="1073" t="str">
        <f>IF(M125,IF(O125,$O$10*H125%,IF(P125,J125,"")),"")</f>
        <v/>
      </c>
      <c r="M125" s="146" t="b">
        <v>0</v>
      </c>
      <c r="O125" s="169" t="b">
        <f>AND(M125,OR(AND(G125="",J125=""),G125="v.H.-Satz"))</f>
        <v>0</v>
      </c>
      <c r="P125" s="169" t="b">
        <f>AND(M125,OR(G125="",G125="pauschal"))</f>
        <v>0</v>
      </c>
    </row>
    <row r="126" spans="1:17" ht="17.3" thickBot="1">
      <c r="B126" s="349"/>
      <c r="C126" s="1216"/>
      <c r="D126" s="1092"/>
      <c r="E126" s="469"/>
      <c r="F126" s="1076"/>
      <c r="G126" s="1059"/>
      <c r="H126" s="1064"/>
      <c r="I126" s="1065"/>
      <c r="J126" s="1059"/>
      <c r="K126" s="1075"/>
    </row>
    <row r="127" spans="1:17" ht="17.3" thickBot="1">
      <c r="B127" s="489"/>
      <c r="C127" s="490" t="s">
        <v>11</v>
      </c>
      <c r="D127" s="490"/>
      <c r="E127" s="490"/>
      <c r="F127" s="491"/>
      <c r="G127" s="492"/>
      <c r="H127" s="491"/>
      <c r="I127" s="491"/>
      <c r="J127" s="356" t="s">
        <v>1045</v>
      </c>
      <c r="K127" s="493">
        <f>IF($N$3,IF(COUNT(K114:K126)&gt;0,SUM(K114:K126),""),0)</f>
        <v>0</v>
      </c>
    </row>
    <row r="128" spans="1:17" ht="12.85" customHeight="1" thickBot="1">
      <c r="B128" s="166"/>
      <c r="C128" s="170"/>
      <c r="D128" s="166"/>
      <c r="E128" s="166"/>
      <c r="F128" s="166"/>
      <c r="G128" s="166"/>
      <c r="H128" s="166"/>
      <c r="I128" s="166"/>
      <c r="J128" s="166"/>
      <c r="K128" s="177"/>
    </row>
    <row r="129" spans="2:11" ht="29.95" customHeight="1" thickBot="1">
      <c r="B129" s="534"/>
      <c r="C129" s="528" t="s">
        <v>11</v>
      </c>
      <c r="D129" s="529"/>
      <c r="E129" s="529"/>
      <c r="F129" s="530"/>
      <c r="G129" s="531"/>
      <c r="H129" s="530"/>
      <c r="I129" s="530"/>
      <c r="J129" s="532" t="s">
        <v>1070</v>
      </c>
      <c r="K129" s="533">
        <f>IF(COUNT(K20,K29,K38,K47,K56,K65,K74,K111,K127)&gt;0,SUM(K20,K29,K38,K47,K56,K65,K74,K111,K127),"")</f>
        <v>0</v>
      </c>
    </row>
    <row r="130" spans="2:11" ht="12.85" customHeight="1">
      <c r="B130" s="176"/>
      <c r="C130" s="467"/>
      <c r="D130" s="176"/>
      <c r="E130" s="176"/>
      <c r="F130" s="176"/>
      <c r="G130" s="176"/>
      <c r="H130" s="176"/>
      <c r="I130" s="176"/>
      <c r="J130" s="176"/>
      <c r="K130" s="178"/>
    </row>
    <row r="131" spans="2:11" ht="16.7" hidden="1"/>
    <row r="132" spans="2:11" ht="16.7" hidden="1"/>
    <row r="133" spans="2:11" ht="16.7" hidden="1"/>
    <row r="134" spans="2:11" ht="16.7" hidden="1"/>
    <row r="135" spans="2:11" ht="16.7" hidden="1"/>
    <row r="136" spans="2:11" ht="16.7" hidden="1"/>
    <row r="137" spans="2:11" ht="16.7" hidden="1"/>
    <row r="138" spans="2:11" ht="16.7" hidden="1"/>
    <row r="139" spans="2:11" ht="16.7" hidden="1"/>
    <row r="140" spans="2:11" ht="16.7" hidden="1"/>
    <row r="141" spans="2:11" ht="16.7" hidden="1"/>
    <row r="142" spans="2:11" ht="16.7" hidden="1"/>
    <row r="143" spans="2:11" ht="16.7" hidden="1"/>
    <row r="144" spans="2:11" ht="16.7" hidden="1"/>
    <row r="145" ht="16.7" hidden="1"/>
    <row r="146" ht="16.7" hidden="1"/>
    <row r="147" ht="16.7" hidden="1"/>
    <row r="148" ht="16.7" hidden="1"/>
    <row r="149" ht="16.7" hidden="1"/>
    <row r="150" ht="16.7" hidden="1"/>
    <row r="151" ht="16.7" hidden="1"/>
    <row r="152" ht="16.7" hidden="1"/>
    <row r="153" ht="16.7" hidden="1"/>
    <row r="154" ht="13.1" hidden="1" customHeight="1"/>
    <row r="155" ht="13.1" hidden="1" customHeight="1"/>
    <row r="156" ht="13.1" hidden="1" customHeight="1"/>
    <row r="157" ht="13.1" hidden="1" customHeight="1"/>
    <row r="158" ht="13.1" hidden="1" customHeight="1"/>
    <row r="159" ht="13.1" hidden="1" customHeight="1"/>
    <row r="160" ht="13.1" hidden="1" customHeight="1"/>
    <row r="161" ht="13.1" hidden="1" customHeight="1"/>
    <row r="162" ht="13.1" hidden="1" customHeight="1"/>
    <row r="163" ht="13.1" hidden="1" customHeight="1"/>
    <row r="164" ht="13.1" hidden="1" customHeight="1"/>
    <row r="165" ht="13.1" hidden="1" customHeight="1"/>
    <row r="166" ht="13.1" hidden="1" customHeight="1"/>
    <row r="167" ht="13.1" hidden="1" customHeight="1"/>
    <row r="168" ht="13.1" hidden="1" customHeight="1"/>
    <row r="169" ht="13.1" hidden="1" customHeight="1"/>
    <row r="170" ht="13.1" hidden="1" customHeight="1"/>
    <row r="171" ht="13.1" hidden="1" customHeight="1"/>
    <row r="172" ht="13.1" hidden="1" customHeight="1"/>
    <row r="173" ht="13.1" hidden="1" customHeight="1"/>
    <row r="174" ht="13.1" hidden="1" customHeight="1"/>
    <row r="175" ht="13.1" hidden="1" customHeight="1"/>
    <row r="176" ht="13.1" hidden="1" customHeight="1"/>
    <row r="177" ht="13.1" hidden="1" customHeight="1"/>
    <row r="178" ht="13.1" hidden="1" customHeight="1"/>
    <row r="179" ht="13.1" hidden="1" customHeight="1"/>
    <row r="180" ht="13.1" hidden="1" customHeight="1"/>
    <row r="181" ht="13.1" hidden="1" customHeight="1"/>
    <row r="182" ht="13.1" hidden="1" customHeight="1"/>
    <row r="183" ht="13.1" hidden="1" customHeight="1"/>
    <row r="184" ht="13.1" hidden="1" customHeight="1"/>
    <row r="185" ht="13.1" hidden="1" customHeight="1"/>
    <row r="186" ht="13.1" hidden="1" customHeight="1"/>
    <row r="187" ht="13.1" hidden="1" customHeight="1"/>
    <row r="188" ht="13.1" hidden="1" customHeight="1"/>
    <row r="189" ht="13.1" hidden="1" customHeight="1"/>
    <row r="190" ht="13.1" hidden="1" customHeight="1"/>
    <row r="191" ht="13.1" hidden="1" customHeight="1"/>
    <row r="192" ht="13.1" hidden="1" customHeight="1"/>
    <row r="193" ht="13.1" hidden="1" customHeight="1"/>
    <row r="194" ht="13.1" hidden="1" customHeight="1"/>
    <row r="195" ht="13.1" hidden="1" customHeight="1"/>
    <row r="196" ht="13.1" hidden="1" customHeight="1"/>
    <row r="197" ht="13.1" hidden="1" customHeight="1"/>
    <row r="198" ht="13.1" hidden="1" customHeight="1"/>
    <row r="199" ht="13.1" hidden="1" customHeight="1"/>
    <row r="200" ht="13.1" hidden="1" customHeight="1"/>
    <row r="201" ht="13.1" hidden="1" customHeight="1"/>
    <row r="202" ht="13.1" hidden="1" customHeight="1"/>
    <row r="203" ht="13.1" hidden="1" customHeight="1"/>
    <row r="204" ht="13.1" hidden="1" customHeight="1"/>
    <row r="205" ht="13.1" hidden="1" customHeight="1"/>
    <row r="206" ht="13.1" hidden="1" customHeight="1"/>
    <row r="207" ht="13.1" hidden="1" customHeight="1"/>
    <row r="208" ht="13.1" hidden="1" customHeight="1"/>
    <row r="209" ht="13.1" hidden="1" customHeight="1"/>
    <row r="210" ht="13.1" hidden="1" customHeight="1"/>
    <row r="211" ht="13.1" hidden="1" customHeight="1"/>
    <row r="212" ht="13.1" hidden="1" customHeight="1"/>
    <row r="213" ht="13.1" hidden="1" customHeight="1"/>
    <row r="214" ht="13.1" hidden="1" customHeight="1"/>
    <row r="215" ht="13.1" hidden="1" customHeight="1"/>
    <row r="216" ht="13.1" hidden="1" customHeight="1"/>
    <row r="217" ht="13.1" hidden="1" customHeight="1"/>
    <row r="218" ht="13.1" hidden="1" customHeight="1"/>
    <row r="219" ht="13.1" hidden="1" customHeight="1"/>
    <row r="220" ht="13.1" hidden="1" customHeight="1"/>
    <row r="221" ht="13.1" hidden="1" customHeight="1"/>
    <row r="222" ht="13.1" hidden="1" customHeight="1"/>
    <row r="223" ht="13.1" hidden="1" customHeight="1"/>
    <row r="224" ht="13.1" hidden="1" customHeight="1"/>
    <row r="225" ht="13.1" hidden="1" customHeight="1"/>
    <row r="226" ht="13.1" hidden="1" customHeight="1"/>
    <row r="227" ht="13.1" hidden="1" customHeight="1"/>
    <row r="228" ht="13.1" hidden="1" customHeight="1"/>
    <row r="229" ht="13.1" hidden="1" customHeight="1"/>
    <row r="230" ht="13.1" hidden="1" customHeight="1"/>
    <row r="231" ht="13.1" hidden="1" customHeight="1"/>
    <row r="232" ht="13.1" hidden="1" customHeight="1"/>
    <row r="233" ht="13.1" hidden="1" customHeight="1"/>
    <row r="234" ht="13.1" hidden="1" customHeight="1"/>
    <row r="235" ht="13.1" hidden="1" customHeight="1"/>
    <row r="236" ht="13.1" hidden="1" customHeight="1"/>
    <row r="237" ht="13.1" hidden="1" customHeight="1"/>
    <row r="238" ht="13.1" hidden="1" customHeight="1"/>
    <row r="239" ht="13.1" hidden="1" customHeight="1"/>
    <row r="240" ht="13.1" hidden="1" customHeight="1"/>
    <row r="241" ht="13.1" hidden="1" customHeight="1"/>
    <row r="242" ht="13.1" hidden="1" customHeight="1"/>
    <row r="243" ht="13.1" hidden="1" customHeight="1"/>
    <row r="244" ht="13.1" hidden="1" customHeight="1"/>
    <row r="245" ht="13.1" hidden="1" customHeight="1"/>
    <row r="246" ht="13.1" hidden="1" customHeight="1"/>
    <row r="247" ht="13.1" hidden="1" customHeight="1"/>
    <row r="248" ht="13.1" hidden="1" customHeight="1"/>
    <row r="249" ht="13.1" hidden="1" customHeight="1"/>
    <row r="250" ht="13.1" hidden="1" customHeight="1"/>
    <row r="251" ht="13.1" hidden="1" customHeight="1"/>
    <row r="252" ht="13.1" hidden="1" customHeight="1"/>
    <row r="253" ht="13.1" hidden="1" customHeight="1"/>
    <row r="254" ht="13.1" hidden="1" customHeight="1"/>
    <row r="255" ht="13.1" hidden="1" customHeight="1"/>
    <row r="256" ht="13.1" hidden="1" customHeight="1"/>
    <row r="257" ht="13.1" hidden="1" customHeight="1"/>
    <row r="258" ht="13.1" hidden="1" customHeight="1"/>
    <row r="259" ht="13.1" hidden="1" customHeight="1"/>
    <row r="260" ht="13.1" hidden="1" customHeight="1"/>
    <row r="261" ht="13.1" hidden="1" customHeight="1"/>
    <row r="262" ht="13.1" hidden="1" customHeight="1"/>
  </sheetData>
  <sheetProtection sheet="1" formatRows="0"/>
  <dataConsolidate/>
  <mergeCells count="87">
    <mergeCell ref="H91:I91"/>
    <mergeCell ref="H92:I92"/>
    <mergeCell ref="H93:I93"/>
    <mergeCell ref="H94:I94"/>
    <mergeCell ref="H95:I95"/>
    <mergeCell ref="H101:I101"/>
    <mergeCell ref="H102:I102"/>
    <mergeCell ref="H103:I103"/>
    <mergeCell ref="H99:I99"/>
    <mergeCell ref="H100:I100"/>
    <mergeCell ref="H104:I104"/>
    <mergeCell ref="F87:G87"/>
    <mergeCell ref="F88:G88"/>
    <mergeCell ref="F89:G89"/>
    <mergeCell ref="F90:G90"/>
    <mergeCell ref="F91:G91"/>
    <mergeCell ref="F92:G92"/>
    <mergeCell ref="F93:G93"/>
    <mergeCell ref="F94:G94"/>
    <mergeCell ref="F95:G95"/>
    <mergeCell ref="F96:G96"/>
    <mergeCell ref="F97:G97"/>
    <mergeCell ref="F98:G98"/>
    <mergeCell ref="H96:I96"/>
    <mergeCell ref="H97:I97"/>
    <mergeCell ref="H98:I98"/>
    <mergeCell ref="H105:I105"/>
    <mergeCell ref="H107:I107"/>
    <mergeCell ref="H109:I109"/>
    <mergeCell ref="H114:I114"/>
    <mergeCell ref="H116:I116"/>
    <mergeCell ref="H118:I118"/>
    <mergeCell ref="H121:I121"/>
    <mergeCell ref="H123:I123"/>
    <mergeCell ref="H125:I125"/>
    <mergeCell ref="H120:I120"/>
    <mergeCell ref="H83:I83"/>
    <mergeCell ref="H85:I85"/>
    <mergeCell ref="H80:I80"/>
    <mergeCell ref="H90:I90"/>
    <mergeCell ref="H86:I86"/>
    <mergeCell ref="H87:I87"/>
    <mergeCell ref="H88:I88"/>
    <mergeCell ref="H89:I89"/>
    <mergeCell ref="H70:I70"/>
    <mergeCell ref="H72:I72"/>
    <mergeCell ref="H77:I77"/>
    <mergeCell ref="H79:I79"/>
    <mergeCell ref="H81:I81"/>
    <mergeCell ref="H54:I54"/>
    <mergeCell ref="H59:I59"/>
    <mergeCell ref="H61:I61"/>
    <mergeCell ref="H63:I63"/>
    <mergeCell ref="H68:I68"/>
    <mergeCell ref="L2:L8"/>
    <mergeCell ref="B3:G3"/>
    <mergeCell ref="H2:I2"/>
    <mergeCell ref="H3:I3"/>
    <mergeCell ref="B10:F10"/>
    <mergeCell ref="H10:I10"/>
    <mergeCell ref="B2:G2"/>
    <mergeCell ref="F5:G5"/>
    <mergeCell ref="F6:G6"/>
    <mergeCell ref="F7:K7"/>
    <mergeCell ref="F8:K8"/>
    <mergeCell ref="H5:I5"/>
    <mergeCell ref="H11:I11"/>
    <mergeCell ref="H14:I14"/>
    <mergeCell ref="H16:I16"/>
    <mergeCell ref="H18:I18"/>
    <mergeCell ref="F104:G104"/>
    <mergeCell ref="F99:G99"/>
    <mergeCell ref="F100:G100"/>
    <mergeCell ref="F101:G101"/>
    <mergeCell ref="F102:G102"/>
    <mergeCell ref="F103:G103"/>
    <mergeCell ref="H36:I36"/>
    <mergeCell ref="H41:I41"/>
    <mergeCell ref="H43:I43"/>
    <mergeCell ref="H45:I45"/>
    <mergeCell ref="H50:I50"/>
    <mergeCell ref="H52:I52"/>
    <mergeCell ref="H32:I32"/>
    <mergeCell ref="H34:I34"/>
    <mergeCell ref="H23:I23"/>
    <mergeCell ref="H25:I25"/>
    <mergeCell ref="H27:I27"/>
  </mergeCells>
  <conditionalFormatting sqref="B14:B19">
    <cfRule type="expression" dxfId="1083" priority="3251">
      <formula>NOT($N$3)</formula>
    </cfRule>
  </conditionalFormatting>
  <conditionalFormatting sqref="B23:B28">
    <cfRule type="expression" dxfId="1082" priority="2552">
      <formula>NOT($N$3)</formula>
    </cfRule>
  </conditionalFormatting>
  <conditionalFormatting sqref="B32:B37">
    <cfRule type="expression" dxfId="1081" priority="3131">
      <formula>NOT($N$3)</formula>
    </cfRule>
  </conditionalFormatting>
  <conditionalFormatting sqref="B41:B46">
    <cfRule type="expression" dxfId="1080" priority="2940">
      <formula>NOT($N$3)</formula>
    </cfRule>
  </conditionalFormatting>
  <conditionalFormatting sqref="B50:B55">
    <cfRule type="expression" dxfId="1079" priority="2869">
      <formula>NOT($N$3)</formula>
    </cfRule>
  </conditionalFormatting>
  <conditionalFormatting sqref="B59:B64">
    <cfRule type="expression" dxfId="1078" priority="2785">
      <formula>NOT($N$3)</formula>
    </cfRule>
  </conditionalFormatting>
  <conditionalFormatting sqref="B68:B73">
    <cfRule type="expression" dxfId="1077" priority="2744">
      <formula>NOT($N$3)</formula>
    </cfRule>
  </conditionalFormatting>
  <conditionalFormatting sqref="B77:B110">
    <cfRule type="expression" dxfId="1076" priority="1328">
      <formula>NOT($N$3)</formula>
    </cfRule>
  </conditionalFormatting>
  <conditionalFormatting sqref="B114:B126">
    <cfRule type="expression" dxfId="1075" priority="1128">
      <formula>NOT($N$3)</formula>
    </cfRule>
  </conditionalFormatting>
  <conditionalFormatting sqref="C14:E19">
    <cfRule type="expression" dxfId="1074" priority="954">
      <formula>NOT($N$3)</formula>
    </cfRule>
  </conditionalFormatting>
  <conditionalFormatting sqref="C23:E28">
    <cfRule type="expression" dxfId="1073" priority="908">
      <formula>NOT($N$3)</formula>
    </cfRule>
  </conditionalFormatting>
  <conditionalFormatting sqref="C32:E37">
    <cfRule type="expression" dxfId="1072" priority="691">
      <formula>NOT($N$3)</formula>
    </cfRule>
  </conditionalFormatting>
  <conditionalFormatting sqref="C41:E46">
    <cfRule type="expression" dxfId="1071" priority="646">
      <formula>NOT($N$3)</formula>
    </cfRule>
  </conditionalFormatting>
  <conditionalFormatting sqref="C50:E55">
    <cfRule type="expression" dxfId="1070" priority="601">
      <formula>NOT($N$3)</formula>
    </cfRule>
  </conditionalFormatting>
  <conditionalFormatting sqref="C59:E64">
    <cfRule type="expression" dxfId="1069" priority="556">
      <formula>NOT($N$3)</formula>
    </cfRule>
  </conditionalFormatting>
  <conditionalFormatting sqref="C68:E73">
    <cfRule type="expression" dxfId="1068" priority="511">
      <formula>NOT($N$3)</formula>
    </cfRule>
  </conditionalFormatting>
  <conditionalFormatting sqref="C105:E110">
    <cfRule type="expression" dxfId="1067" priority="466">
      <formula>NOT($N$3)</formula>
    </cfRule>
  </conditionalFormatting>
  <conditionalFormatting sqref="C114:E119">
    <cfRule type="expression" dxfId="1066" priority="376">
      <formula>NOT($N$3)</formula>
    </cfRule>
  </conditionalFormatting>
  <conditionalFormatting sqref="C120:E120 G120:H120 J120:K120">
    <cfRule type="expression" dxfId="1065" priority="1067">
      <formula>NOT($N$3)</formula>
    </cfRule>
  </conditionalFormatting>
  <conditionalFormatting sqref="C121:E126">
    <cfRule type="expression" dxfId="1064" priority="421">
      <formula>NOT($N$3)</formula>
    </cfRule>
  </conditionalFormatting>
  <conditionalFormatting sqref="C77:F77 C78:E78 C79:F81 H80 J80:K80 C82:E82 C83:F83 C84:E84 C85:F104 H86:H104 J86:K104">
    <cfRule type="expression" dxfId="1063" priority="1171">
      <formula>NOT($N$3)</formula>
    </cfRule>
  </conditionalFormatting>
  <conditionalFormatting sqref="F14">
    <cfRule type="expression" dxfId="1062" priority="131">
      <formula>AND($M14,F14="")</formula>
    </cfRule>
    <cfRule type="expression" dxfId="1061" priority="130">
      <formula>NOT($M14)</formula>
    </cfRule>
  </conditionalFormatting>
  <conditionalFormatting sqref="F14:F19">
    <cfRule type="expression" dxfId="1060" priority="124">
      <formula>NOT($N$3)</formula>
    </cfRule>
  </conditionalFormatting>
  <conditionalFormatting sqref="F15">
    <cfRule type="expression" dxfId="1059" priority="129">
      <formula>NOT($M14)</formula>
    </cfRule>
  </conditionalFormatting>
  <conditionalFormatting sqref="F16">
    <cfRule type="expression" dxfId="1058" priority="350">
      <formula>NOT($M16)</formula>
    </cfRule>
    <cfRule type="expression" dxfId="1057" priority="351">
      <formula>AND($M16,F16="")</formula>
    </cfRule>
  </conditionalFormatting>
  <conditionalFormatting sqref="F17">
    <cfRule type="expression" dxfId="1056" priority="349">
      <formula>NOT($M16)</formula>
    </cfRule>
  </conditionalFormatting>
  <conditionalFormatting sqref="F18">
    <cfRule type="expression" dxfId="1055" priority="126">
      <formula>NOT($M18)</formula>
    </cfRule>
    <cfRule type="expression" dxfId="1054" priority="127">
      <formula>AND($M18,F18="")</formula>
    </cfRule>
  </conditionalFormatting>
  <conditionalFormatting sqref="F19">
    <cfRule type="expression" dxfId="1053" priority="125">
      <formula>NOT($M18)</formula>
    </cfRule>
  </conditionalFormatting>
  <conditionalFormatting sqref="F23">
    <cfRule type="expression" dxfId="1052" priority="123">
      <formula>AND($M23,F23="")</formula>
    </cfRule>
    <cfRule type="expression" dxfId="1051" priority="122">
      <formula>NOT($M23)</formula>
    </cfRule>
  </conditionalFormatting>
  <conditionalFormatting sqref="F23:F28">
    <cfRule type="expression" dxfId="1050" priority="112">
      <formula>NOT($N$3)</formula>
    </cfRule>
  </conditionalFormatting>
  <conditionalFormatting sqref="F24">
    <cfRule type="expression" dxfId="1049" priority="121">
      <formula>NOT($M23)</formula>
    </cfRule>
  </conditionalFormatting>
  <conditionalFormatting sqref="F25">
    <cfRule type="expression" dxfId="1048" priority="119">
      <formula>AND($M25,F25="")</formula>
    </cfRule>
    <cfRule type="expression" dxfId="1047" priority="118">
      <formula>NOT($M25)</formula>
    </cfRule>
  </conditionalFormatting>
  <conditionalFormatting sqref="F26">
    <cfRule type="expression" dxfId="1046" priority="117">
      <formula>NOT($M25)</formula>
    </cfRule>
  </conditionalFormatting>
  <conditionalFormatting sqref="F27">
    <cfRule type="expression" dxfId="1045" priority="115">
      <formula>AND($M27,F27="")</formula>
    </cfRule>
    <cfRule type="expression" dxfId="1044" priority="114">
      <formula>NOT($M27)</formula>
    </cfRule>
  </conditionalFormatting>
  <conditionalFormatting sqref="F28">
    <cfRule type="expression" dxfId="1043" priority="113">
      <formula>NOT($M27)</formula>
    </cfRule>
  </conditionalFormatting>
  <conditionalFormatting sqref="F32">
    <cfRule type="expression" dxfId="1042" priority="111">
      <formula>AND($M32,F32="")</formula>
    </cfRule>
    <cfRule type="expression" dxfId="1041" priority="110">
      <formula>NOT($M32)</formula>
    </cfRule>
  </conditionalFormatting>
  <conditionalFormatting sqref="F32:F37">
    <cfRule type="expression" dxfId="1040" priority="100">
      <formula>NOT($N$3)</formula>
    </cfRule>
  </conditionalFormatting>
  <conditionalFormatting sqref="F33">
    <cfRule type="expression" dxfId="1039" priority="109">
      <formula>NOT($M32)</formula>
    </cfRule>
  </conditionalFormatting>
  <conditionalFormatting sqref="F34">
    <cfRule type="expression" dxfId="1038" priority="107">
      <formula>AND($M34,F34="")</formula>
    </cfRule>
    <cfRule type="expression" dxfId="1037" priority="106">
      <formula>NOT($M34)</formula>
    </cfRule>
  </conditionalFormatting>
  <conditionalFormatting sqref="F35">
    <cfRule type="expression" dxfId="1036" priority="105">
      <formula>NOT($M34)</formula>
    </cfRule>
  </conditionalFormatting>
  <conditionalFormatting sqref="F36">
    <cfRule type="expression" dxfId="1035" priority="103">
      <formula>AND($M36,F36="")</formula>
    </cfRule>
    <cfRule type="expression" dxfId="1034" priority="102">
      <formula>NOT($M36)</formula>
    </cfRule>
  </conditionalFormatting>
  <conditionalFormatting sqref="F37">
    <cfRule type="expression" dxfId="1033" priority="101">
      <formula>NOT($M36)</formula>
    </cfRule>
  </conditionalFormatting>
  <conditionalFormatting sqref="F41">
    <cfRule type="expression" dxfId="1032" priority="98">
      <formula>NOT($M41)</formula>
    </cfRule>
    <cfRule type="expression" dxfId="1031" priority="99">
      <formula>AND($M41,F41="")</formula>
    </cfRule>
  </conditionalFormatting>
  <conditionalFormatting sqref="F41:F46">
    <cfRule type="expression" dxfId="1030" priority="88">
      <formula>NOT($N$3)</formula>
    </cfRule>
  </conditionalFormatting>
  <conditionalFormatting sqref="F42">
    <cfRule type="expression" dxfId="1029" priority="97">
      <formula>NOT($M41)</formula>
    </cfRule>
  </conditionalFormatting>
  <conditionalFormatting sqref="F43">
    <cfRule type="expression" dxfId="1028" priority="94">
      <formula>NOT($M43)</formula>
    </cfRule>
    <cfRule type="expression" dxfId="1027" priority="95">
      <formula>AND($M43,F43="")</formula>
    </cfRule>
  </conditionalFormatting>
  <conditionalFormatting sqref="F44">
    <cfRule type="expression" dxfId="1026" priority="93">
      <formula>NOT($M43)</formula>
    </cfRule>
  </conditionalFormatting>
  <conditionalFormatting sqref="F45">
    <cfRule type="expression" dxfId="1025" priority="90">
      <formula>NOT($M45)</formula>
    </cfRule>
    <cfRule type="expression" dxfId="1024" priority="91">
      <formula>AND($M45,F45="")</formula>
    </cfRule>
  </conditionalFormatting>
  <conditionalFormatting sqref="F46">
    <cfRule type="expression" dxfId="1023" priority="89">
      <formula>NOT($M45)</formula>
    </cfRule>
  </conditionalFormatting>
  <conditionalFormatting sqref="F50">
    <cfRule type="expression" dxfId="1022" priority="87">
      <formula>AND($M50,F50="")</formula>
    </cfRule>
    <cfRule type="expression" dxfId="1021" priority="86">
      <formula>NOT($M50)</formula>
    </cfRule>
  </conditionalFormatting>
  <conditionalFormatting sqref="F50:F55">
    <cfRule type="expression" dxfId="1020" priority="76">
      <formula>NOT($N$3)</formula>
    </cfRule>
  </conditionalFormatting>
  <conditionalFormatting sqref="F51">
    <cfRule type="expression" dxfId="1019" priority="85">
      <formula>NOT($M50)</formula>
    </cfRule>
  </conditionalFormatting>
  <conditionalFormatting sqref="F52">
    <cfRule type="expression" dxfId="1018" priority="83">
      <formula>AND($M52,F52="")</formula>
    </cfRule>
    <cfRule type="expression" dxfId="1017" priority="82">
      <formula>NOT($M52)</formula>
    </cfRule>
  </conditionalFormatting>
  <conditionalFormatting sqref="F53">
    <cfRule type="expression" dxfId="1016" priority="81">
      <formula>NOT($M52)</formula>
    </cfRule>
  </conditionalFormatting>
  <conditionalFormatting sqref="F54">
    <cfRule type="expression" dxfId="1015" priority="79">
      <formula>AND($M54,F54="")</formula>
    </cfRule>
    <cfRule type="expression" dxfId="1014" priority="78">
      <formula>NOT($M54)</formula>
    </cfRule>
  </conditionalFormatting>
  <conditionalFormatting sqref="F55">
    <cfRule type="expression" dxfId="1013" priority="77">
      <formula>NOT($M54)</formula>
    </cfRule>
  </conditionalFormatting>
  <conditionalFormatting sqref="F59">
    <cfRule type="expression" dxfId="1012" priority="75">
      <formula>AND($M59,F59="")</formula>
    </cfRule>
    <cfRule type="expression" dxfId="1011" priority="74">
      <formula>NOT($M59)</formula>
    </cfRule>
  </conditionalFormatting>
  <conditionalFormatting sqref="F59:F64">
    <cfRule type="expression" dxfId="1010" priority="64">
      <formula>NOT($N$3)</formula>
    </cfRule>
  </conditionalFormatting>
  <conditionalFormatting sqref="F60">
    <cfRule type="expression" dxfId="1009" priority="73">
      <formula>NOT($M59)</formula>
    </cfRule>
  </conditionalFormatting>
  <conditionalFormatting sqref="F61">
    <cfRule type="expression" dxfId="1008" priority="71">
      <formula>AND($M61,F61="")</formula>
    </cfRule>
    <cfRule type="expression" dxfId="1007" priority="70">
      <formula>NOT($M61)</formula>
    </cfRule>
  </conditionalFormatting>
  <conditionalFormatting sqref="F62">
    <cfRule type="expression" dxfId="1006" priority="69">
      <formula>NOT($M61)</formula>
    </cfRule>
  </conditionalFormatting>
  <conditionalFormatting sqref="F63">
    <cfRule type="expression" dxfId="1005" priority="66">
      <formula>NOT($M63)</formula>
    </cfRule>
    <cfRule type="expression" dxfId="1004" priority="67">
      <formula>AND($M63,F63="")</formula>
    </cfRule>
  </conditionalFormatting>
  <conditionalFormatting sqref="F64">
    <cfRule type="expression" dxfId="1003" priority="65">
      <formula>NOT($M63)</formula>
    </cfRule>
  </conditionalFormatting>
  <conditionalFormatting sqref="F68">
    <cfRule type="expression" dxfId="1002" priority="63">
      <formula>AND($M68,F68="")</formula>
    </cfRule>
    <cfRule type="expression" dxfId="1001" priority="62">
      <formula>NOT($M68)</formula>
    </cfRule>
  </conditionalFormatting>
  <conditionalFormatting sqref="F68:F73">
    <cfRule type="expression" dxfId="1000" priority="52">
      <formula>NOT($N$3)</formula>
    </cfRule>
  </conditionalFormatting>
  <conditionalFormatting sqref="F69">
    <cfRule type="expression" dxfId="999" priority="61">
      <formula>NOT($M68)</formula>
    </cfRule>
  </conditionalFormatting>
  <conditionalFormatting sqref="F70">
    <cfRule type="expression" dxfId="998" priority="58">
      <formula>NOT($M70)</formula>
    </cfRule>
    <cfRule type="expression" dxfId="997" priority="59">
      <formula>AND($M70,F70="")</formula>
    </cfRule>
  </conditionalFormatting>
  <conditionalFormatting sqref="F71">
    <cfRule type="expression" dxfId="996" priority="57">
      <formula>NOT($M70)</formula>
    </cfRule>
  </conditionalFormatting>
  <conditionalFormatting sqref="F72">
    <cfRule type="expression" dxfId="995" priority="55">
      <formula>AND($M72,F72="")</formula>
    </cfRule>
    <cfRule type="expression" dxfId="994" priority="54">
      <formula>NOT($M72)</formula>
    </cfRule>
  </conditionalFormatting>
  <conditionalFormatting sqref="F73">
    <cfRule type="expression" dxfId="993" priority="53">
      <formula>NOT($M72)</formula>
    </cfRule>
  </conditionalFormatting>
  <conditionalFormatting sqref="F78">
    <cfRule type="expression" dxfId="992" priority="242">
      <formula>NOT($N$3)</formula>
    </cfRule>
    <cfRule type="expression" dxfId="991" priority="243">
      <formula>NOT($M77)</formula>
    </cfRule>
  </conditionalFormatting>
  <conditionalFormatting sqref="F82">
    <cfRule type="expression" dxfId="990" priority="241">
      <formula>NOT($M81)</formula>
    </cfRule>
    <cfRule type="expression" dxfId="989" priority="240">
      <formula>NOT($N$3)</formula>
    </cfRule>
  </conditionalFormatting>
  <conditionalFormatting sqref="F84">
    <cfRule type="expression" dxfId="988" priority="238">
      <formula>NOT($N$3)</formula>
    </cfRule>
    <cfRule type="expression" dxfId="987" priority="239">
      <formula>NOT($M83)</formula>
    </cfRule>
  </conditionalFormatting>
  <conditionalFormatting sqref="F105">
    <cfRule type="expression" dxfId="986" priority="51">
      <formula>AND($M105,F105="")</formula>
    </cfRule>
    <cfRule type="expression" dxfId="985" priority="50">
      <formula>NOT($M105)</formula>
    </cfRule>
  </conditionalFormatting>
  <conditionalFormatting sqref="F105:F110">
    <cfRule type="expression" dxfId="984" priority="40">
      <formula>NOT($N$3)</formula>
    </cfRule>
  </conditionalFormatting>
  <conditionalFormatting sqref="F106">
    <cfRule type="expression" dxfId="983" priority="49">
      <formula>NOT($M105)</formula>
    </cfRule>
  </conditionalFormatting>
  <conditionalFormatting sqref="F107">
    <cfRule type="expression" dxfId="982" priority="46">
      <formula>NOT($M107)</formula>
    </cfRule>
    <cfRule type="expression" dxfId="981" priority="47">
      <formula>AND($M107,F107="")</formula>
    </cfRule>
  </conditionalFormatting>
  <conditionalFormatting sqref="F108">
    <cfRule type="expression" dxfId="980" priority="45">
      <formula>NOT($M107)</formula>
    </cfRule>
  </conditionalFormatting>
  <conditionalFormatting sqref="F109">
    <cfRule type="expression" dxfId="979" priority="42">
      <formula>NOT($M109)</formula>
    </cfRule>
    <cfRule type="expression" dxfId="978" priority="43">
      <formula>AND($M109,F109="")</formula>
    </cfRule>
  </conditionalFormatting>
  <conditionalFormatting sqref="F110">
    <cfRule type="expression" dxfId="977" priority="41">
      <formula>NOT($M109)</formula>
    </cfRule>
  </conditionalFormatting>
  <conditionalFormatting sqref="F114:F119">
    <cfRule type="expression" dxfId="976" priority="358">
      <formula>NOT($N$3)</formula>
    </cfRule>
  </conditionalFormatting>
  <conditionalFormatting sqref="F120">
    <cfRule type="expression" dxfId="975" priority="247">
      <formula>NOT($M118)</formula>
    </cfRule>
  </conditionalFormatting>
  <conditionalFormatting sqref="F120:F126">
    <cfRule type="expression" dxfId="974" priority="28">
      <formula>NOT($N$3)</formula>
    </cfRule>
  </conditionalFormatting>
  <conditionalFormatting sqref="F121">
    <cfRule type="expression" dxfId="973" priority="39">
      <formula>AND($M121,F121="")</formula>
    </cfRule>
    <cfRule type="expression" dxfId="972" priority="38">
      <formula>NOT($M121)</formula>
    </cfRule>
  </conditionalFormatting>
  <conditionalFormatting sqref="F122">
    <cfRule type="expression" dxfId="971" priority="37">
      <formula>NOT($M121)</formula>
    </cfRule>
  </conditionalFormatting>
  <conditionalFormatting sqref="F123">
    <cfRule type="expression" dxfId="970" priority="35">
      <formula>AND($M123,F123="")</formula>
    </cfRule>
    <cfRule type="expression" dxfId="969" priority="34">
      <formula>NOT($M123)</formula>
    </cfRule>
  </conditionalFormatting>
  <conditionalFormatting sqref="F124">
    <cfRule type="expression" dxfId="968" priority="33">
      <formula>NOT($M123)</formula>
    </cfRule>
  </conditionalFormatting>
  <conditionalFormatting sqref="F125">
    <cfRule type="expression" dxfId="967" priority="31">
      <formula>AND($M125,F125="")</formula>
    </cfRule>
    <cfRule type="expression" dxfId="966" priority="30">
      <formula>NOT($M125)</formula>
    </cfRule>
  </conditionalFormatting>
  <conditionalFormatting sqref="F126">
    <cfRule type="expression" dxfId="965" priority="29">
      <formula>NOT($M125)</formula>
    </cfRule>
  </conditionalFormatting>
  <conditionalFormatting sqref="G14">
    <cfRule type="expression" dxfId="964" priority="1008">
      <formula>NOT($M14)</formula>
    </cfRule>
  </conditionalFormatting>
  <conditionalFormatting sqref="G16">
    <cfRule type="expression" dxfId="963" priority="969">
      <formula>NOT($M16)</formula>
    </cfRule>
  </conditionalFormatting>
  <conditionalFormatting sqref="G18">
    <cfRule type="expression" dxfId="962" priority="955">
      <formula>NOT($M18)</formula>
    </cfRule>
  </conditionalFormatting>
  <conditionalFormatting sqref="G23">
    <cfRule type="expression" dxfId="961" priority="904">
      <formula>NOT($M23)</formula>
    </cfRule>
  </conditionalFormatting>
  <conditionalFormatting sqref="G25">
    <cfRule type="expression" dxfId="960" priority="899">
      <formula>NOT($M25)</formula>
    </cfRule>
  </conditionalFormatting>
  <conditionalFormatting sqref="G27">
    <cfRule type="expression" dxfId="959" priority="894">
      <formula>NOT($M27)</formula>
    </cfRule>
  </conditionalFormatting>
  <conditionalFormatting sqref="G32">
    <cfRule type="expression" dxfId="958" priority="687">
      <formula>NOT($M32)</formula>
    </cfRule>
  </conditionalFormatting>
  <conditionalFormatting sqref="G34">
    <cfRule type="expression" dxfId="957" priority="682">
      <formula>NOT($M34)</formula>
    </cfRule>
  </conditionalFormatting>
  <conditionalFormatting sqref="G36">
    <cfRule type="expression" dxfId="956" priority="677">
      <formula>NOT($M36)</formula>
    </cfRule>
  </conditionalFormatting>
  <conditionalFormatting sqref="G41">
    <cfRule type="expression" dxfId="955" priority="642">
      <formula>NOT($M41)</formula>
    </cfRule>
  </conditionalFormatting>
  <conditionalFormatting sqref="G43">
    <cfRule type="expression" dxfId="954" priority="637">
      <formula>NOT($M43)</formula>
    </cfRule>
  </conditionalFormatting>
  <conditionalFormatting sqref="G45">
    <cfRule type="expression" dxfId="953" priority="632">
      <formula>NOT($M45)</formula>
    </cfRule>
  </conditionalFormatting>
  <conditionalFormatting sqref="G50">
    <cfRule type="expression" dxfId="952" priority="597">
      <formula>NOT($M50)</formula>
    </cfRule>
  </conditionalFormatting>
  <conditionalFormatting sqref="G52">
    <cfRule type="expression" dxfId="951" priority="592">
      <formula>NOT($M52)</formula>
    </cfRule>
  </conditionalFormatting>
  <conditionalFormatting sqref="G54">
    <cfRule type="expression" dxfId="950" priority="587">
      <formula>NOT($M54)</formula>
    </cfRule>
  </conditionalFormatting>
  <conditionalFormatting sqref="G59">
    <cfRule type="expression" dxfId="949" priority="552">
      <formula>NOT($M59)</formula>
    </cfRule>
  </conditionalFormatting>
  <conditionalFormatting sqref="G61">
    <cfRule type="expression" dxfId="948" priority="547">
      <formula>NOT($M61)</formula>
    </cfRule>
  </conditionalFormatting>
  <conditionalFormatting sqref="G63">
    <cfRule type="expression" dxfId="947" priority="542">
      <formula>NOT($M63)</formula>
    </cfRule>
  </conditionalFormatting>
  <conditionalFormatting sqref="G68">
    <cfRule type="expression" dxfId="946" priority="507">
      <formula>NOT($M68)</formula>
    </cfRule>
  </conditionalFormatting>
  <conditionalFormatting sqref="G70">
    <cfRule type="expression" dxfId="945" priority="502">
      <formula>NOT($M70)</formula>
    </cfRule>
  </conditionalFormatting>
  <conditionalFormatting sqref="G72">
    <cfRule type="expression" dxfId="944" priority="497">
      <formula>NOT($M72)</formula>
    </cfRule>
  </conditionalFormatting>
  <conditionalFormatting sqref="G77">
    <cfRule type="expression" dxfId="943" priority="190">
      <formula>NOT($M77)</formula>
    </cfRule>
  </conditionalFormatting>
  <conditionalFormatting sqref="G79">
    <cfRule type="expression" dxfId="942" priority="230">
      <formula>NOT($M79)</formula>
    </cfRule>
  </conditionalFormatting>
  <conditionalFormatting sqref="G80">
    <cfRule type="expression" dxfId="941" priority="245">
      <formula>NOT($N$3)</formula>
    </cfRule>
  </conditionalFormatting>
  <conditionalFormatting sqref="G81 G83">
    <cfRule type="expression" dxfId="940" priority="181">
      <formula>NOT($M81)</formula>
    </cfRule>
  </conditionalFormatting>
  <conditionalFormatting sqref="G85">
    <cfRule type="expression" dxfId="939" priority="200">
      <formula>NOT($M85)</formula>
    </cfRule>
  </conditionalFormatting>
  <conditionalFormatting sqref="G86">
    <cfRule type="expression" dxfId="938" priority="244">
      <formula>NOT($N$3)</formula>
    </cfRule>
  </conditionalFormatting>
  <conditionalFormatting sqref="G105">
    <cfRule type="expression" dxfId="937" priority="462">
      <formula>NOT($M105)</formula>
    </cfRule>
  </conditionalFormatting>
  <conditionalFormatting sqref="G107">
    <cfRule type="expression" dxfId="936" priority="457">
      <formula>NOT($M107)</formula>
    </cfRule>
  </conditionalFormatting>
  <conditionalFormatting sqref="G109">
    <cfRule type="expression" dxfId="935" priority="452">
      <formula>NOT($M109)</formula>
    </cfRule>
  </conditionalFormatting>
  <conditionalFormatting sqref="G114">
    <cfRule type="expression" dxfId="934" priority="372">
      <formula>NOT($M114)</formula>
    </cfRule>
  </conditionalFormatting>
  <conditionalFormatting sqref="G116">
    <cfRule type="expression" dxfId="933" priority="367">
      <formula>NOT($M116)</formula>
    </cfRule>
  </conditionalFormatting>
  <conditionalFormatting sqref="G118">
    <cfRule type="expression" dxfId="932" priority="362">
      <formula>NOT($M118)</formula>
    </cfRule>
  </conditionalFormatting>
  <conditionalFormatting sqref="G121">
    <cfRule type="expression" dxfId="931" priority="417">
      <formula>NOT($M121)</formula>
    </cfRule>
  </conditionalFormatting>
  <conditionalFormatting sqref="G123">
    <cfRule type="expression" dxfId="930" priority="412">
      <formula>NOT($M123)</formula>
    </cfRule>
  </conditionalFormatting>
  <conditionalFormatting sqref="G125">
    <cfRule type="expression" dxfId="929" priority="407">
      <formula>NOT($M125)</formula>
    </cfRule>
  </conditionalFormatting>
  <conditionalFormatting sqref="G14:K19">
    <cfRule type="expression" dxfId="928" priority="953">
      <formula>NOT($N$3)</formula>
    </cfRule>
  </conditionalFormatting>
  <conditionalFormatting sqref="G23:K28">
    <cfRule type="expression" dxfId="927" priority="893">
      <formula>NOT($N$3)</formula>
    </cfRule>
  </conditionalFormatting>
  <conditionalFormatting sqref="G32:K37">
    <cfRule type="expression" dxfId="926" priority="25">
      <formula>NOT($N$3)</formula>
    </cfRule>
  </conditionalFormatting>
  <conditionalFormatting sqref="G41:K46">
    <cfRule type="expression" dxfId="925" priority="22">
      <formula>NOT($N$3)</formula>
    </cfRule>
  </conditionalFormatting>
  <conditionalFormatting sqref="G50:K55">
    <cfRule type="expression" dxfId="924" priority="19">
      <formula>NOT($N$3)</formula>
    </cfRule>
  </conditionalFormatting>
  <conditionalFormatting sqref="G59:K64">
    <cfRule type="expression" dxfId="923" priority="16">
      <formula>NOT($N$3)</formula>
    </cfRule>
  </conditionalFormatting>
  <conditionalFormatting sqref="G68:K73">
    <cfRule type="expression" dxfId="922" priority="13">
      <formula>NOT($N$3)</formula>
    </cfRule>
  </conditionalFormatting>
  <conditionalFormatting sqref="G77:K79">
    <cfRule type="expression" dxfId="921" priority="6">
      <formula>NOT($N$3)</formula>
    </cfRule>
  </conditionalFormatting>
  <conditionalFormatting sqref="G81:K85">
    <cfRule type="expression" dxfId="920" priority="4">
      <formula>NOT($N$3)</formula>
    </cfRule>
  </conditionalFormatting>
  <conditionalFormatting sqref="G105:K110">
    <cfRule type="expression" dxfId="919" priority="1">
      <formula>NOT($N$3)</formula>
    </cfRule>
  </conditionalFormatting>
  <conditionalFormatting sqref="G114:K119">
    <cfRule type="expression" dxfId="918" priority="10">
      <formula>NOT($N$3)</formula>
    </cfRule>
  </conditionalFormatting>
  <conditionalFormatting sqref="G121:K126">
    <cfRule type="expression" dxfId="917" priority="7">
      <formula>NOT($N$3)</formula>
    </cfRule>
  </conditionalFormatting>
  <conditionalFormatting sqref="H14:I14">
    <cfRule type="expression" dxfId="916" priority="1020">
      <formula>AND(M14,OR(G14="pauschal",J14&lt;&gt;""))</formula>
    </cfRule>
    <cfRule type="expression" dxfId="915" priority="1017">
      <formula>AND(M14,H14="",G14&lt;&gt;"pauschal",J14="")</formula>
    </cfRule>
    <cfRule type="expression" dxfId="914" priority="1010">
      <formula>M14=FALSE</formula>
    </cfRule>
  </conditionalFormatting>
  <conditionalFormatting sqref="H16:I16">
    <cfRule type="expression" dxfId="913" priority="975">
      <formula>AND(M16,OR(G16="pauschal",J16&lt;&gt;""))</formula>
    </cfRule>
    <cfRule type="expression" dxfId="912" priority="974">
      <formula>AND(M16,H16="",G16&lt;&gt;"pauschal",J16="")</formula>
    </cfRule>
    <cfRule type="expression" dxfId="911" priority="971">
      <formula>M16=FALSE</formula>
    </cfRule>
  </conditionalFormatting>
  <conditionalFormatting sqref="H18:I18">
    <cfRule type="expression" dxfId="910" priority="960">
      <formula>AND(M18,H18="",G18&lt;&gt;"pauschal",J18="")</formula>
    </cfRule>
    <cfRule type="expression" dxfId="909" priority="957">
      <formula>M18=FALSE</formula>
    </cfRule>
    <cfRule type="expression" dxfId="908" priority="961">
      <formula>AND(M18,OR(G18="pauschal",J18&lt;&gt;""))</formula>
    </cfRule>
  </conditionalFormatting>
  <conditionalFormatting sqref="H23:I23">
    <cfRule type="expression" dxfId="907" priority="907">
      <formula>AND(M23,OR(G23="pauschal",J23&lt;&gt;""))</formula>
    </cfRule>
    <cfRule type="expression" dxfId="906" priority="906">
      <formula>AND(M23,H23="",G23&lt;&gt;"pauschal",J23="")</formula>
    </cfRule>
    <cfRule type="expression" dxfId="905" priority="905">
      <formula>M23=FALSE</formula>
    </cfRule>
  </conditionalFormatting>
  <conditionalFormatting sqref="H25:I25">
    <cfRule type="expression" dxfId="904" priority="900">
      <formula>M25=FALSE</formula>
    </cfRule>
    <cfRule type="expression" dxfId="903" priority="902">
      <formula>AND(M25,OR(G25="pauschal",J25&lt;&gt;""))</formula>
    </cfRule>
    <cfRule type="expression" dxfId="902" priority="901">
      <formula>AND(M25,H25="",G25&lt;&gt;"pauschal",J25="")</formula>
    </cfRule>
  </conditionalFormatting>
  <conditionalFormatting sqref="H27:I27">
    <cfRule type="expression" dxfId="901" priority="897">
      <formula>AND(M27,OR(G27="pauschal",J27&lt;&gt;""))</formula>
    </cfRule>
    <cfRule type="expression" dxfId="900" priority="896">
      <formula>AND(M27,H27="",G27&lt;&gt;"pauschal",J27="")</formula>
    </cfRule>
    <cfRule type="expression" dxfId="899" priority="895">
      <formula>M27=FALSE</formula>
    </cfRule>
  </conditionalFormatting>
  <conditionalFormatting sqref="H32:I32">
    <cfRule type="expression" dxfId="898" priority="688">
      <formula>M32=FALSE</formula>
    </cfRule>
    <cfRule type="expression" dxfId="897" priority="690">
      <formula>AND(M32,OR(G32="pauschal",J32&lt;&gt;""))</formula>
    </cfRule>
    <cfRule type="expression" dxfId="896" priority="689">
      <formula>AND(M32,H32="",G32&lt;&gt;"pauschal",J32="")</formula>
    </cfRule>
  </conditionalFormatting>
  <conditionalFormatting sqref="H34:I34">
    <cfRule type="expression" dxfId="895" priority="683">
      <formula>M34=FALSE</formula>
    </cfRule>
    <cfRule type="expression" dxfId="894" priority="685">
      <formula>AND(M34,OR(G34="pauschal",J34&lt;&gt;""))</formula>
    </cfRule>
    <cfRule type="expression" dxfId="893" priority="684">
      <formula>AND(M34,H34="",G34&lt;&gt;"pauschal",J34="")</formula>
    </cfRule>
  </conditionalFormatting>
  <conditionalFormatting sqref="H36:I36">
    <cfRule type="expression" dxfId="892" priority="680">
      <formula>AND(M36,OR(G36="pauschal",J36&lt;&gt;""))</formula>
    </cfRule>
    <cfRule type="expression" dxfId="891" priority="679">
      <formula>AND(M36,H36="",G36&lt;&gt;"pauschal",J36="")</formula>
    </cfRule>
    <cfRule type="expression" dxfId="890" priority="678">
      <formula>M36=FALSE</formula>
    </cfRule>
  </conditionalFormatting>
  <conditionalFormatting sqref="H41:I41">
    <cfRule type="expression" dxfId="889" priority="643">
      <formula>M41=FALSE</formula>
    </cfRule>
    <cfRule type="expression" dxfId="888" priority="644">
      <formula>AND(M41,H41="",G41&lt;&gt;"pauschal",J41="")</formula>
    </cfRule>
    <cfRule type="expression" dxfId="887" priority="645">
      <formula>AND(M41,OR(G41="pauschal",J41&lt;&gt;""))</formula>
    </cfRule>
  </conditionalFormatting>
  <conditionalFormatting sqref="H43:I43">
    <cfRule type="expression" dxfId="886" priority="640">
      <formula>AND(M43,OR(G43="pauschal",J43&lt;&gt;""))</formula>
    </cfRule>
    <cfRule type="expression" dxfId="885" priority="639">
      <formula>AND(M43,H43="",G43&lt;&gt;"pauschal",J43="")</formula>
    </cfRule>
    <cfRule type="expression" dxfId="884" priority="638">
      <formula>M43=FALSE</formula>
    </cfRule>
  </conditionalFormatting>
  <conditionalFormatting sqref="H45:I45">
    <cfRule type="expression" dxfId="883" priority="635">
      <formula>AND(M45,OR(G45="pauschal",J45&lt;&gt;""))</formula>
    </cfRule>
    <cfRule type="expression" dxfId="882" priority="634">
      <formula>AND(M45,H45="",G45&lt;&gt;"pauschal",J45="")</formula>
    </cfRule>
    <cfRule type="expression" dxfId="881" priority="633">
      <formula>M45=FALSE</formula>
    </cfRule>
  </conditionalFormatting>
  <conditionalFormatting sqref="H50:I50">
    <cfRule type="expression" dxfId="880" priority="600">
      <formula>AND(M50,OR(G50="pauschal",J50&lt;&gt;""))</formula>
    </cfRule>
    <cfRule type="expression" dxfId="879" priority="598">
      <formula>M50=FALSE</formula>
    </cfRule>
    <cfRule type="expression" dxfId="878" priority="599">
      <formula>AND(M50,H50="",G50&lt;&gt;"pauschal",J50="")</formula>
    </cfRule>
  </conditionalFormatting>
  <conditionalFormatting sqref="H52:I52">
    <cfRule type="expression" dxfId="877" priority="595">
      <formula>AND(M52,OR(G52="pauschal",J52&lt;&gt;""))</formula>
    </cfRule>
    <cfRule type="expression" dxfId="876" priority="594">
      <formula>AND(M52,H52="",G52&lt;&gt;"pauschal",J52="")</formula>
    </cfRule>
    <cfRule type="expression" dxfId="875" priority="593">
      <formula>M52=FALSE</formula>
    </cfRule>
  </conditionalFormatting>
  <conditionalFormatting sqref="H54:I54">
    <cfRule type="expression" dxfId="874" priority="588">
      <formula>M54=FALSE</formula>
    </cfRule>
    <cfRule type="expression" dxfId="873" priority="589">
      <formula>AND(M54,H54="",G54&lt;&gt;"pauschal",J54="")</formula>
    </cfRule>
    <cfRule type="expression" dxfId="872" priority="590">
      <formula>AND(M54,OR(G54="pauschal",J54&lt;&gt;""))</formula>
    </cfRule>
  </conditionalFormatting>
  <conditionalFormatting sqref="H59:I59">
    <cfRule type="expression" dxfId="871" priority="555">
      <formula>AND(M59,OR(G59="pauschal",J59&lt;&gt;""))</formula>
    </cfRule>
    <cfRule type="expression" dxfId="870" priority="554">
      <formula>AND(M59,H59="",G59&lt;&gt;"pauschal",J59="")</formula>
    </cfRule>
    <cfRule type="expression" dxfId="869" priority="553">
      <formula>M59=FALSE</formula>
    </cfRule>
  </conditionalFormatting>
  <conditionalFormatting sqref="H61:I61">
    <cfRule type="expression" dxfId="868" priority="548">
      <formula>M61=FALSE</formula>
    </cfRule>
    <cfRule type="expression" dxfId="867" priority="549">
      <formula>AND(M61,H61="",G61&lt;&gt;"pauschal",J61="")</formula>
    </cfRule>
    <cfRule type="expression" dxfId="866" priority="550">
      <formula>AND(M61,OR(G61="pauschal",J61&lt;&gt;""))</formula>
    </cfRule>
  </conditionalFormatting>
  <conditionalFormatting sqref="H63:I63">
    <cfRule type="expression" dxfId="865" priority="545">
      <formula>AND(M63,OR(G63="pauschal",J63&lt;&gt;""))</formula>
    </cfRule>
    <cfRule type="expression" dxfId="864" priority="543">
      <formula>M63=FALSE</formula>
    </cfRule>
    <cfRule type="expression" dxfId="863" priority="544">
      <formula>AND(M63,H63="",G63&lt;&gt;"pauschal",J63="")</formula>
    </cfRule>
  </conditionalFormatting>
  <conditionalFormatting sqref="H68:I68">
    <cfRule type="expression" dxfId="862" priority="508">
      <formula>M68=FALSE</formula>
    </cfRule>
    <cfRule type="expression" dxfId="861" priority="509">
      <formula>AND(M68,H68="",G68&lt;&gt;"pauschal",J68="")</formula>
    </cfRule>
    <cfRule type="expression" dxfId="860" priority="510">
      <formula>AND(M68,OR(G68="pauschal",J68&lt;&gt;""))</formula>
    </cfRule>
  </conditionalFormatting>
  <conditionalFormatting sqref="H70:I70">
    <cfRule type="expression" dxfId="859" priority="503">
      <formula>M70=FALSE</formula>
    </cfRule>
    <cfRule type="expression" dxfId="858" priority="504">
      <formula>AND(M70,H70="",G70&lt;&gt;"pauschal",J70="")</formula>
    </cfRule>
    <cfRule type="expression" dxfId="857" priority="505">
      <formula>AND(M70,OR(G70="pauschal",J70&lt;&gt;""))</formula>
    </cfRule>
  </conditionalFormatting>
  <conditionalFormatting sqref="H72:I72">
    <cfRule type="expression" dxfId="856" priority="499">
      <formula>AND(M72,H72="",G72&lt;&gt;"pauschal",J72="")</formula>
    </cfRule>
    <cfRule type="expression" dxfId="855" priority="500">
      <formula>AND(M72,OR(G72="pauschal",J72&lt;&gt;""))</formula>
    </cfRule>
    <cfRule type="expression" dxfId="854" priority="498">
      <formula>M72=FALSE</formula>
    </cfRule>
  </conditionalFormatting>
  <conditionalFormatting sqref="H77:I77">
    <cfRule type="expression" dxfId="853" priority="192">
      <formula>AND(M77,H77="",G77&lt;&gt;"pauschal",J77="")</formula>
    </cfRule>
    <cfRule type="expression" dxfId="852" priority="193">
      <formula>AND(M77,OR(G77="pauschal",J77&lt;&gt;""))</formula>
    </cfRule>
    <cfRule type="expression" dxfId="851" priority="191">
      <formula>M77=FALSE</formula>
    </cfRule>
  </conditionalFormatting>
  <conditionalFormatting sqref="H79:I79">
    <cfRule type="expression" dxfId="850" priority="175">
      <formula>AND(M79,OR(G79="pauschal",J79&lt;&gt;""))</formula>
    </cfRule>
    <cfRule type="expression" dxfId="849" priority="173">
      <formula>M79=FALSE</formula>
    </cfRule>
    <cfRule type="expression" dxfId="848" priority="174">
      <formula>AND(M79,H79="",G79&lt;&gt;"pauschal",J79="")</formula>
    </cfRule>
  </conditionalFormatting>
  <conditionalFormatting sqref="H81:I81 H83:I83">
    <cfRule type="expression" dxfId="847" priority="183">
      <formula>AND(M81,H81="",G81&lt;&gt;"pauschal",J81="")</formula>
    </cfRule>
    <cfRule type="expression" dxfId="846" priority="182">
      <formula>M81=FALSE</formula>
    </cfRule>
    <cfRule type="expression" dxfId="845" priority="184">
      <formula>AND(M81,OR(G81="pauschal",J81&lt;&gt;""))</formula>
    </cfRule>
  </conditionalFormatting>
  <conditionalFormatting sqref="H85:I85">
    <cfRule type="expression" dxfId="844" priority="177">
      <formula>M85=FALSE</formula>
    </cfRule>
    <cfRule type="expression" dxfId="843" priority="178">
      <formula>AND(M85,H85="",G85&lt;&gt;"pauschal",J85="")</formula>
    </cfRule>
    <cfRule type="expression" dxfId="842" priority="179">
      <formula>AND(M85,OR(G85="pauschal",J85&lt;&gt;""))</formula>
    </cfRule>
  </conditionalFormatting>
  <conditionalFormatting sqref="H105:I105">
    <cfRule type="expression" dxfId="841" priority="464">
      <formula>AND(M105,H105="",G105&lt;&gt;"pauschal",J105="")</formula>
    </cfRule>
    <cfRule type="expression" dxfId="840" priority="463">
      <formula>M105=FALSE</formula>
    </cfRule>
    <cfRule type="expression" dxfId="839" priority="465">
      <formula>AND(M105,OR(G105="pauschal",J105&lt;&gt;""))</formula>
    </cfRule>
  </conditionalFormatting>
  <conditionalFormatting sqref="H107:I107">
    <cfRule type="expression" dxfId="838" priority="458">
      <formula>M107=FALSE</formula>
    </cfRule>
    <cfRule type="expression" dxfId="837" priority="460">
      <formula>AND(M107,OR(G107="pauschal",J107&lt;&gt;""))</formula>
    </cfRule>
    <cfRule type="expression" dxfId="836" priority="459">
      <formula>AND(M107,H107="",G107&lt;&gt;"pauschal",J107="")</formula>
    </cfRule>
  </conditionalFormatting>
  <conditionalFormatting sqref="H109:I109">
    <cfRule type="expression" dxfId="835" priority="453">
      <formula>M109=FALSE</formula>
    </cfRule>
    <cfRule type="expression" dxfId="834" priority="455">
      <formula>AND(M109,OR(G109="pauschal",J109&lt;&gt;""))</formula>
    </cfRule>
    <cfRule type="expression" dxfId="833" priority="454">
      <formula>AND(M109,H109="",G109&lt;&gt;"pauschal",J109="")</formula>
    </cfRule>
  </conditionalFormatting>
  <conditionalFormatting sqref="H114:I114">
    <cfRule type="expression" dxfId="832" priority="373">
      <formula>M114=FALSE</formula>
    </cfRule>
    <cfRule type="expression" dxfId="831" priority="374">
      <formula>AND(M114,H114="",G114&lt;&gt;"pauschal",J114="")</formula>
    </cfRule>
    <cfRule type="expression" dxfId="830" priority="375">
      <formula>AND(M114,OR(G114="pauschal",J114&lt;&gt;""))</formula>
    </cfRule>
  </conditionalFormatting>
  <conditionalFormatting sqref="H116:I116">
    <cfRule type="expression" dxfId="829" priority="368">
      <formula>M116=FALSE</formula>
    </cfRule>
    <cfRule type="expression" dxfId="828" priority="369">
      <formula>AND(M116,H116="",G116&lt;&gt;"pauschal",J116="")</formula>
    </cfRule>
    <cfRule type="expression" dxfId="827" priority="370">
      <formula>AND(M116,OR(G116="pauschal",J116&lt;&gt;""))</formula>
    </cfRule>
  </conditionalFormatting>
  <conditionalFormatting sqref="H118:I118">
    <cfRule type="expression" dxfId="826" priority="364">
      <formula>AND(M118,H118="",G118&lt;&gt;"pauschal",J118="")</formula>
    </cfRule>
    <cfRule type="expression" dxfId="825" priority="365">
      <formula>AND(M118,OR(G118="pauschal",J118&lt;&gt;""))</formula>
    </cfRule>
    <cfRule type="expression" dxfId="824" priority="363">
      <formula>M118=FALSE</formula>
    </cfRule>
  </conditionalFormatting>
  <conditionalFormatting sqref="H121:I121">
    <cfRule type="expression" dxfId="823" priority="420">
      <formula>AND(M121,OR(G121="pauschal",J121&lt;&gt;""))</formula>
    </cfRule>
    <cfRule type="expression" dxfId="822" priority="418">
      <formula>M121=FALSE</formula>
    </cfRule>
    <cfRule type="expression" dxfId="821" priority="419">
      <formula>AND(M121,H121="",G121&lt;&gt;"pauschal",J121="")</formula>
    </cfRule>
  </conditionalFormatting>
  <conditionalFormatting sqref="H123:I123">
    <cfRule type="expression" dxfId="820" priority="415">
      <formula>AND(M123,OR(G123="pauschal",J123&lt;&gt;""))</formula>
    </cfRule>
    <cfRule type="expression" dxfId="819" priority="414">
      <formula>AND(M123,H123="",G123&lt;&gt;"pauschal",J123="")</formula>
    </cfRule>
    <cfRule type="expression" dxfId="818" priority="413">
      <formula>M123=FALSE</formula>
    </cfRule>
  </conditionalFormatting>
  <conditionalFormatting sqref="H125:I125">
    <cfRule type="expression" dxfId="817" priority="410">
      <formula>AND(M125,OR(G125="pauschal",J125&lt;&gt;""))</formula>
    </cfRule>
    <cfRule type="expression" dxfId="816" priority="409">
      <formula>AND(M125,H125="",G125&lt;&gt;"pauschal",J125="")</formula>
    </cfRule>
    <cfRule type="expression" dxfId="815" priority="408">
      <formula>M125=FALSE</formula>
    </cfRule>
  </conditionalFormatting>
  <conditionalFormatting sqref="J14">
    <cfRule type="expression" dxfId="814" priority="1009">
      <formula>M14=FALSE</formula>
    </cfRule>
    <cfRule type="expression" dxfId="813" priority="1012">
      <formula>AND(M14,J14="",G14&lt;&gt;"v.H.-Satz",H14="")</formula>
    </cfRule>
    <cfRule type="expression" dxfId="812" priority="1013">
      <formula>AND(M14,G14="v.H.-Satz")</formula>
    </cfRule>
  </conditionalFormatting>
  <conditionalFormatting sqref="J16">
    <cfRule type="expression" dxfId="811" priority="973">
      <formula>AND(M16,G16="v.H.-Satz")</formula>
    </cfRule>
    <cfRule type="expression" dxfId="810" priority="972">
      <formula>AND(M16,J16="",G16&lt;&gt;"v.H.-Satz",H16="")</formula>
    </cfRule>
    <cfRule type="expression" dxfId="809" priority="970">
      <formula>M16=FALSE</formula>
    </cfRule>
  </conditionalFormatting>
  <conditionalFormatting sqref="J18">
    <cfRule type="expression" dxfId="808" priority="958">
      <formula>AND(M18,J18="",G18&lt;&gt;"v.H.-Satz",H18="")</formula>
    </cfRule>
    <cfRule type="expression" dxfId="807" priority="956">
      <formula>M18=FALSE</formula>
    </cfRule>
    <cfRule type="expression" dxfId="806" priority="959">
      <formula>AND(M18,G18="v.H.-Satz")</formula>
    </cfRule>
  </conditionalFormatting>
  <conditionalFormatting sqref="J23">
    <cfRule type="expression" dxfId="805" priority="941">
      <formula>AND(M23,G23="v.H.-Satz")</formula>
    </cfRule>
    <cfRule type="expression" dxfId="804" priority="940">
      <formula>AND(M23,J23="",G23&lt;&gt;"v.H.-Satz",H23="")</formula>
    </cfRule>
    <cfRule type="expression" dxfId="803" priority="938">
      <formula>M23=FALSE</formula>
    </cfRule>
  </conditionalFormatting>
  <conditionalFormatting sqref="J25">
    <cfRule type="expression" dxfId="802" priority="927">
      <formula>AND(M25,G25="v.H.-Satz")</formula>
    </cfRule>
    <cfRule type="expression" dxfId="801" priority="926">
      <formula>AND(M25,J25="",G25&lt;&gt;"v.H.-Satz",H25="")</formula>
    </cfRule>
    <cfRule type="expression" dxfId="800" priority="924">
      <formula>M25=FALSE</formula>
    </cfRule>
  </conditionalFormatting>
  <conditionalFormatting sqref="J27">
    <cfRule type="expression" dxfId="799" priority="910">
      <formula>M27=FALSE</formula>
    </cfRule>
    <cfRule type="expression" dxfId="798" priority="913">
      <formula>AND(M27,G27="v.H.-Satz")</formula>
    </cfRule>
    <cfRule type="expression" dxfId="797" priority="912">
      <formula>AND(M27,J27="",G27&lt;&gt;"v.H.-Satz",H27="")</formula>
    </cfRule>
  </conditionalFormatting>
  <conditionalFormatting sqref="J32">
    <cfRule type="expression" dxfId="796" priority="714">
      <formula>AND(M32,G32="v.H.-Satz")</formula>
    </cfRule>
    <cfRule type="expression" dxfId="795" priority="713">
      <formula>AND(M32,J32="",G32&lt;&gt;"v.H.-Satz",H32="")</formula>
    </cfRule>
    <cfRule type="expression" dxfId="794" priority="712">
      <formula>M32=FALSE</formula>
    </cfRule>
  </conditionalFormatting>
  <conditionalFormatting sqref="J34">
    <cfRule type="expression" dxfId="793" priority="702">
      <formula>M34=FALSE</formula>
    </cfRule>
    <cfRule type="expression" dxfId="792" priority="703">
      <formula>AND(M34,J34="",G34&lt;&gt;"v.H.-Satz",H34="")</formula>
    </cfRule>
    <cfRule type="expression" dxfId="791" priority="704">
      <formula>AND(M34,G34="v.H.-Satz")</formula>
    </cfRule>
  </conditionalFormatting>
  <conditionalFormatting sqref="J36">
    <cfRule type="expression" dxfId="790" priority="692">
      <formula>M36=FALSE</formula>
    </cfRule>
    <cfRule type="expression" dxfId="789" priority="693">
      <formula>AND(M36,J36="",G36&lt;&gt;"v.H.-Satz",H36="")</formula>
    </cfRule>
    <cfRule type="expression" dxfId="788" priority="694">
      <formula>AND(M36,G36="v.H.-Satz")</formula>
    </cfRule>
  </conditionalFormatting>
  <conditionalFormatting sqref="J41">
    <cfRule type="expression" dxfId="787" priority="667">
      <formula>M41=FALSE</formula>
    </cfRule>
    <cfRule type="expression" dxfId="786" priority="668">
      <formula>AND(M41,J41="",G41&lt;&gt;"v.H.-Satz",H41="")</formula>
    </cfRule>
    <cfRule type="expression" dxfId="785" priority="669">
      <formula>AND(M41,G41="v.H.-Satz")</formula>
    </cfRule>
  </conditionalFormatting>
  <conditionalFormatting sqref="J43">
    <cfRule type="expression" dxfId="784" priority="657">
      <formula>M43=FALSE</formula>
    </cfRule>
    <cfRule type="expression" dxfId="783" priority="658">
      <formula>AND(M43,J43="",G43&lt;&gt;"v.H.-Satz",H43="")</formula>
    </cfRule>
    <cfRule type="expression" dxfId="782" priority="659">
      <formula>AND(M43,G43="v.H.-Satz")</formula>
    </cfRule>
  </conditionalFormatting>
  <conditionalFormatting sqref="J45">
    <cfRule type="expression" dxfId="781" priority="648">
      <formula>AND(M45,J45="",G45&lt;&gt;"v.H.-Satz",H45="")</formula>
    </cfRule>
    <cfRule type="expression" dxfId="780" priority="649">
      <formula>AND(M45,G45="v.H.-Satz")</formula>
    </cfRule>
    <cfRule type="expression" dxfId="779" priority="647">
      <formula>M45=FALSE</formula>
    </cfRule>
  </conditionalFormatting>
  <conditionalFormatting sqref="J50">
    <cfRule type="expression" dxfId="778" priority="624">
      <formula>AND(M50,G50="v.H.-Satz")</formula>
    </cfRule>
    <cfRule type="expression" dxfId="777" priority="623">
      <formula>AND(M50,J50="",G50&lt;&gt;"v.H.-Satz",H50="")</formula>
    </cfRule>
    <cfRule type="expression" dxfId="776" priority="622">
      <formula>M50=FALSE</formula>
    </cfRule>
  </conditionalFormatting>
  <conditionalFormatting sqref="J52">
    <cfRule type="expression" dxfId="775" priority="612">
      <formula>M52=FALSE</formula>
    </cfRule>
    <cfRule type="expression" dxfId="774" priority="613">
      <formula>AND(M52,J52="",G52&lt;&gt;"v.H.-Satz",H52="")</formula>
    </cfRule>
    <cfRule type="expression" dxfId="773" priority="614">
      <formula>AND(M52,G52="v.H.-Satz")</formula>
    </cfRule>
  </conditionalFormatting>
  <conditionalFormatting sqref="J54">
    <cfRule type="expression" dxfId="772" priority="602">
      <formula>M54=FALSE</formula>
    </cfRule>
    <cfRule type="expression" dxfId="771" priority="603">
      <formula>AND(M54,J54="",G54&lt;&gt;"v.H.-Satz",H54="")</formula>
    </cfRule>
    <cfRule type="expression" dxfId="770" priority="604">
      <formula>AND(M54,G54="v.H.-Satz")</formula>
    </cfRule>
  </conditionalFormatting>
  <conditionalFormatting sqref="J59">
    <cfRule type="expression" dxfId="769" priority="577">
      <formula>M59=FALSE</formula>
    </cfRule>
    <cfRule type="expression" dxfId="768" priority="578">
      <formula>AND(M59,J59="",G59&lt;&gt;"v.H.-Satz",H59="")</formula>
    </cfRule>
    <cfRule type="expression" dxfId="767" priority="579">
      <formula>AND(M59,G59="v.H.-Satz")</formula>
    </cfRule>
  </conditionalFormatting>
  <conditionalFormatting sqref="J61">
    <cfRule type="expression" dxfId="766" priority="567">
      <formula>M61=FALSE</formula>
    </cfRule>
    <cfRule type="expression" dxfId="765" priority="568">
      <formula>AND(M61,J61="",G61&lt;&gt;"v.H.-Satz",H61="")</formula>
    </cfRule>
    <cfRule type="expression" dxfId="764" priority="569">
      <formula>AND(M61,G61="v.H.-Satz")</formula>
    </cfRule>
  </conditionalFormatting>
  <conditionalFormatting sqref="J63">
    <cfRule type="expression" dxfId="763" priority="559">
      <formula>AND(M63,G63="v.H.-Satz")</formula>
    </cfRule>
    <cfRule type="expression" dxfId="762" priority="558">
      <formula>AND(M63,J63="",G63&lt;&gt;"v.H.-Satz",H63="")</formula>
    </cfRule>
    <cfRule type="expression" dxfId="761" priority="557">
      <formula>M63=FALSE</formula>
    </cfRule>
  </conditionalFormatting>
  <conditionalFormatting sqref="J68">
    <cfRule type="expression" dxfId="760" priority="533">
      <formula>AND(M68,J68="",G68&lt;&gt;"v.H.-Satz",H68="")</formula>
    </cfRule>
    <cfRule type="expression" dxfId="759" priority="534">
      <formula>AND(M68,G68="v.H.-Satz")</formula>
    </cfRule>
    <cfRule type="expression" dxfId="758" priority="532">
      <formula>M68=FALSE</formula>
    </cfRule>
  </conditionalFormatting>
  <conditionalFormatting sqref="J70">
    <cfRule type="expression" dxfId="757" priority="524">
      <formula>AND(M70,G70="v.H.-Satz")</formula>
    </cfRule>
    <cfRule type="expression" dxfId="756" priority="523">
      <formula>AND(M70,J70="",G70&lt;&gt;"v.H.-Satz",H70="")</formula>
    </cfRule>
    <cfRule type="expression" dxfId="755" priority="522">
      <formula>M70=FALSE</formula>
    </cfRule>
  </conditionalFormatting>
  <conditionalFormatting sqref="J72">
    <cfRule type="expression" dxfId="754" priority="514">
      <formula>AND(M72,G72="v.H.-Satz")</formula>
    </cfRule>
    <cfRule type="expression" dxfId="753" priority="513">
      <formula>AND(M72,J72="",G72&lt;&gt;"v.H.-Satz",H72="")</formula>
    </cfRule>
    <cfRule type="expression" dxfId="752" priority="512">
      <formula>M72=FALSE</formula>
    </cfRule>
  </conditionalFormatting>
  <conditionalFormatting sqref="J77">
    <cfRule type="expression" dxfId="751" priority="197">
      <formula>AND(M77,G77="v.H.-Satz")</formula>
    </cfRule>
    <cfRule type="expression" dxfId="750" priority="196">
      <formula>AND(M77,J77="",G77&lt;&gt;"v.H.-Satz",H77="")</formula>
    </cfRule>
    <cfRule type="expression" dxfId="749" priority="195">
      <formula>M77=FALSE</formula>
    </cfRule>
  </conditionalFormatting>
  <conditionalFormatting sqref="J79">
    <cfRule type="expression" dxfId="748" priority="169">
      <formula>M79=FALSE</formula>
    </cfRule>
    <cfRule type="expression" dxfId="747" priority="170">
      <formula>AND(M79,J79="",G79&lt;&gt;"v.H.-Satz",H79="")</formula>
    </cfRule>
    <cfRule type="expression" dxfId="746" priority="171">
      <formula>AND(M79,G79="v.H.-Satz")</formula>
    </cfRule>
  </conditionalFormatting>
  <conditionalFormatting sqref="J81 J83">
    <cfRule type="expression" dxfId="745" priority="188">
      <formula>AND(M81,G81="v.H.-Satz")</formula>
    </cfRule>
    <cfRule type="expression" dxfId="744" priority="186">
      <formula>M81=FALSE</formula>
    </cfRule>
    <cfRule type="expression" dxfId="743" priority="187">
      <formula>AND(M81,J81="",G81&lt;&gt;"v.H.-Satz",H81="")</formula>
    </cfRule>
  </conditionalFormatting>
  <conditionalFormatting sqref="J85">
    <cfRule type="expression" dxfId="742" priority="165">
      <formula>M85=FALSE</formula>
    </cfRule>
    <cfRule type="expression" dxfId="741" priority="167">
      <formula>AND(M85,G85="v.H.-Satz")</formula>
    </cfRule>
    <cfRule type="expression" dxfId="740" priority="166">
      <formula>AND(M85,J85="",G85&lt;&gt;"v.H.-Satz",H85="")</formula>
    </cfRule>
  </conditionalFormatting>
  <conditionalFormatting sqref="J105">
    <cfRule type="expression" dxfId="739" priority="487">
      <formula>M105=FALSE</formula>
    </cfRule>
    <cfRule type="expression" dxfId="738" priority="488">
      <formula>AND(M105,J105="",G105&lt;&gt;"v.H.-Satz",H105="")</formula>
    </cfRule>
    <cfRule type="expression" dxfId="737" priority="489">
      <formula>AND(M105,G105="v.H.-Satz")</formula>
    </cfRule>
  </conditionalFormatting>
  <conditionalFormatting sqref="J107">
    <cfRule type="expression" dxfId="736" priority="477">
      <formula>M107=FALSE</formula>
    </cfRule>
    <cfRule type="expression" dxfId="735" priority="478">
      <formula>AND(M107,J107="",G107&lt;&gt;"v.H.-Satz",H107="")</formula>
    </cfRule>
    <cfRule type="expression" dxfId="734" priority="479">
      <formula>AND(M107,G107="v.H.-Satz")</formula>
    </cfRule>
  </conditionalFormatting>
  <conditionalFormatting sqref="J109">
    <cfRule type="expression" dxfId="733" priority="467">
      <formula>M109=FALSE</formula>
    </cfRule>
    <cfRule type="expression" dxfId="732" priority="468">
      <formula>AND(M109,J109="",G109&lt;&gt;"v.H.-Satz",H109="")</formula>
    </cfRule>
    <cfRule type="expression" dxfId="731" priority="469">
      <formula>AND(M109,G109="v.H.-Satz")</formula>
    </cfRule>
  </conditionalFormatting>
  <conditionalFormatting sqref="J114">
    <cfRule type="expression" dxfId="730" priority="399">
      <formula>AND(M114,G114="v.H.-Satz")</formula>
    </cfRule>
    <cfRule type="expression" dxfId="729" priority="398">
      <formula>AND(M114,J114="",G114&lt;&gt;"v.H.-Satz",H114="")</formula>
    </cfRule>
    <cfRule type="expression" dxfId="728" priority="397">
      <formula>M114=FALSE</formula>
    </cfRule>
  </conditionalFormatting>
  <conditionalFormatting sqref="J116">
    <cfRule type="expression" dxfId="727" priority="388">
      <formula>AND(M116,J116="",G116&lt;&gt;"v.H.-Satz",H116="")</formula>
    </cfRule>
    <cfRule type="expression" dxfId="726" priority="387">
      <formula>M116=FALSE</formula>
    </cfRule>
    <cfRule type="expression" dxfId="725" priority="389">
      <formula>AND(M116,G116="v.H.-Satz")</formula>
    </cfRule>
  </conditionalFormatting>
  <conditionalFormatting sqref="J118">
    <cfRule type="expression" dxfId="724" priority="379">
      <formula>AND(M118,G118="v.H.-Satz")</formula>
    </cfRule>
    <cfRule type="expression" dxfId="723" priority="378">
      <formula>AND(M118,J118="",G118&lt;&gt;"v.H.-Satz",H118="")</formula>
    </cfRule>
    <cfRule type="expression" dxfId="722" priority="377">
      <formula>M118=FALSE</formula>
    </cfRule>
  </conditionalFormatting>
  <conditionalFormatting sqref="J121">
    <cfRule type="expression" dxfId="721" priority="442">
      <formula>M121=FALSE</formula>
    </cfRule>
    <cfRule type="expression" dxfId="720" priority="443">
      <formula>AND(M121,J121="",G121&lt;&gt;"v.H.-Satz",H121="")</formula>
    </cfRule>
    <cfRule type="expression" dxfId="719" priority="444">
      <formula>AND(M121,G121="v.H.-Satz")</formula>
    </cfRule>
  </conditionalFormatting>
  <conditionalFormatting sqref="J123">
    <cfRule type="expression" dxfId="718" priority="432">
      <formula>M123=FALSE</formula>
    </cfRule>
    <cfRule type="expression" dxfId="717" priority="433">
      <formula>AND(M123,J123="",G123&lt;&gt;"v.H.-Satz",H123="")</formula>
    </cfRule>
    <cfRule type="expression" dxfId="716" priority="434">
      <formula>AND(M123,G123="v.H.-Satz")</formula>
    </cfRule>
  </conditionalFormatting>
  <conditionalFormatting sqref="J125">
    <cfRule type="expression" dxfId="715" priority="422">
      <formula>M125=FALSE</formula>
    </cfRule>
    <cfRule type="expression" dxfId="714" priority="424">
      <formula>AND(M125,G125="v.H.-Satz")</formula>
    </cfRule>
    <cfRule type="expression" dxfId="713" priority="423">
      <formula>AND(M125,J125="",G125&lt;&gt;"v.H.-Satz",H125="")</formula>
    </cfRule>
  </conditionalFormatting>
  <dataValidations count="1">
    <dataValidation type="list" allowBlank="1" showInputMessage="1" showErrorMessage="1" sqref="G123 G14 G16 G18 G23 G25 G27 G32 G34 G36 G41 G43 G45 G50 G52 G54 G59 G61 G63 G68 G70 G79 G77 G83 G85 G105 G107 G72 G109 G114 G116 G118 G121 G81 G125" xr:uid="{00000000-0002-0000-0700-000000000000}">
      <formula1>"v.H.-Satz,pauschal"</formula1>
    </dataValidation>
  </dataValidations>
  <pageMargins left="0.39370078740157483" right="0.19685039370078741" top="0.39370078740157483" bottom="0.47244094488188981" header="0.31496062992125984" footer="0.31496062992125984"/>
  <pageSetup paperSize="9" scale="84" fitToHeight="0" orientation="portrait" r:id="rId1"/>
  <headerFooter scaleWithDoc="0">
    <oddFooter>&amp;L&amp;8©  VHF Bayern - Stand Juli 2023&amp;R&amp;P</oddFooter>
  </headerFooter>
  <rowBreaks count="3" manualBreakCount="3">
    <brk id="48" max="14" man="1"/>
    <brk id="75" max="14" man="1"/>
    <brk id="11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ltText="">
                <anchor moveWithCells="1">
                  <from>
                    <xdr:col>1</xdr:col>
                    <xdr:colOff>0</xdr:colOff>
                    <xdr:row>13</xdr:row>
                    <xdr:rowOff>0</xdr:rowOff>
                  </from>
                  <to>
                    <xdr:col>2</xdr:col>
                    <xdr:colOff>7315</xdr:colOff>
                    <xdr:row>14</xdr:row>
                    <xdr:rowOff>7315</xdr:rowOff>
                  </to>
                </anchor>
              </controlPr>
            </control>
          </mc:Choice>
        </mc:AlternateContent>
        <mc:AlternateContent xmlns:mc="http://schemas.openxmlformats.org/markup-compatibility/2006">
          <mc:Choice Requires="x14">
            <control shapeId="46082" r:id="rId5" name="Check Box 2">
              <controlPr defaultSize="0" autoFill="0" autoLine="0" autoPict="0" altText="">
                <anchor moveWithCells="1">
                  <from>
                    <xdr:col>1</xdr:col>
                    <xdr:colOff>0</xdr:colOff>
                    <xdr:row>15</xdr:row>
                    <xdr:rowOff>21946</xdr:rowOff>
                  </from>
                  <to>
                    <xdr:col>2</xdr:col>
                    <xdr:colOff>7315</xdr:colOff>
                    <xdr:row>16</xdr:row>
                    <xdr:rowOff>7315</xdr:rowOff>
                  </to>
                </anchor>
              </controlPr>
            </control>
          </mc:Choice>
        </mc:AlternateContent>
        <mc:AlternateContent xmlns:mc="http://schemas.openxmlformats.org/markup-compatibility/2006">
          <mc:Choice Requires="x14">
            <control shapeId="46083" r:id="rId6" name="Check Box 3">
              <controlPr defaultSize="0" autoFill="0" autoLine="0" autoPict="0" altText="">
                <anchor moveWithCells="1">
                  <from>
                    <xdr:col>1</xdr:col>
                    <xdr:colOff>0</xdr:colOff>
                    <xdr:row>17</xdr:row>
                    <xdr:rowOff>0</xdr:rowOff>
                  </from>
                  <to>
                    <xdr:col>2</xdr:col>
                    <xdr:colOff>7315</xdr:colOff>
                    <xdr:row>18</xdr:row>
                    <xdr:rowOff>0</xdr:rowOff>
                  </to>
                </anchor>
              </controlPr>
            </control>
          </mc:Choice>
        </mc:AlternateContent>
        <mc:AlternateContent xmlns:mc="http://schemas.openxmlformats.org/markup-compatibility/2006">
          <mc:Choice Requires="x14">
            <control shapeId="46086" r:id="rId7" name="Check Box 6">
              <controlPr defaultSize="0" autoFill="0" autoLine="0" autoPict="0" altText="">
                <anchor moveWithCells="1">
                  <from>
                    <xdr:col>1</xdr:col>
                    <xdr:colOff>0</xdr:colOff>
                    <xdr:row>22</xdr:row>
                    <xdr:rowOff>0</xdr:rowOff>
                  </from>
                  <to>
                    <xdr:col>2</xdr:col>
                    <xdr:colOff>7315</xdr:colOff>
                    <xdr:row>23</xdr:row>
                    <xdr:rowOff>0</xdr:rowOff>
                  </to>
                </anchor>
              </controlPr>
            </control>
          </mc:Choice>
        </mc:AlternateContent>
        <mc:AlternateContent xmlns:mc="http://schemas.openxmlformats.org/markup-compatibility/2006">
          <mc:Choice Requires="x14">
            <control shapeId="46087" r:id="rId8" name="Check Box 7">
              <controlPr defaultSize="0" autoFill="0" autoLine="0" autoPict="0" altText="">
                <anchor moveWithCells="1">
                  <from>
                    <xdr:col>1</xdr:col>
                    <xdr:colOff>0</xdr:colOff>
                    <xdr:row>24</xdr:row>
                    <xdr:rowOff>0</xdr:rowOff>
                  </from>
                  <to>
                    <xdr:col>2</xdr:col>
                    <xdr:colOff>7315</xdr:colOff>
                    <xdr:row>25</xdr:row>
                    <xdr:rowOff>7315</xdr:rowOff>
                  </to>
                </anchor>
              </controlPr>
            </control>
          </mc:Choice>
        </mc:AlternateContent>
        <mc:AlternateContent xmlns:mc="http://schemas.openxmlformats.org/markup-compatibility/2006">
          <mc:Choice Requires="x14">
            <control shapeId="46088" r:id="rId9" name="Check Box 8">
              <controlPr defaultSize="0" autoFill="0" autoLine="0" autoPict="0" altText="">
                <anchor moveWithCells="1">
                  <from>
                    <xdr:col>1</xdr:col>
                    <xdr:colOff>0</xdr:colOff>
                    <xdr:row>26</xdr:row>
                    <xdr:rowOff>21946</xdr:rowOff>
                  </from>
                  <to>
                    <xdr:col>2</xdr:col>
                    <xdr:colOff>7315</xdr:colOff>
                    <xdr:row>27</xdr:row>
                    <xdr:rowOff>7315</xdr:rowOff>
                  </to>
                </anchor>
              </controlPr>
            </control>
          </mc:Choice>
        </mc:AlternateContent>
        <mc:AlternateContent xmlns:mc="http://schemas.openxmlformats.org/markup-compatibility/2006">
          <mc:Choice Requires="x14">
            <control shapeId="46093" r:id="rId10" name="Check Box 13">
              <controlPr defaultSize="0" autoFill="0" autoLine="0" autoPict="0" altText="">
                <anchor moveWithCells="1">
                  <from>
                    <xdr:col>1</xdr:col>
                    <xdr:colOff>0</xdr:colOff>
                    <xdr:row>31</xdr:row>
                    <xdr:rowOff>0</xdr:rowOff>
                  </from>
                  <to>
                    <xdr:col>2</xdr:col>
                    <xdr:colOff>7315</xdr:colOff>
                    <xdr:row>32</xdr:row>
                    <xdr:rowOff>7315</xdr:rowOff>
                  </to>
                </anchor>
              </controlPr>
            </control>
          </mc:Choice>
        </mc:AlternateContent>
        <mc:AlternateContent xmlns:mc="http://schemas.openxmlformats.org/markup-compatibility/2006">
          <mc:Choice Requires="x14">
            <control shapeId="46094" r:id="rId11" name="Check Box 14">
              <controlPr defaultSize="0" autoFill="0" autoLine="0" autoPict="0" altText="">
                <anchor moveWithCells="1">
                  <from>
                    <xdr:col>1</xdr:col>
                    <xdr:colOff>0</xdr:colOff>
                    <xdr:row>33</xdr:row>
                    <xdr:rowOff>21946</xdr:rowOff>
                  </from>
                  <to>
                    <xdr:col>2</xdr:col>
                    <xdr:colOff>7315</xdr:colOff>
                    <xdr:row>34</xdr:row>
                    <xdr:rowOff>7315</xdr:rowOff>
                  </to>
                </anchor>
              </controlPr>
            </control>
          </mc:Choice>
        </mc:AlternateContent>
        <mc:AlternateContent xmlns:mc="http://schemas.openxmlformats.org/markup-compatibility/2006">
          <mc:Choice Requires="x14">
            <control shapeId="46095" r:id="rId12" name="Check Box 15">
              <controlPr defaultSize="0" autoFill="0" autoLine="0" autoPict="0" altText="">
                <anchor moveWithCells="1">
                  <from>
                    <xdr:col>1</xdr:col>
                    <xdr:colOff>0</xdr:colOff>
                    <xdr:row>35</xdr:row>
                    <xdr:rowOff>0</xdr:rowOff>
                  </from>
                  <to>
                    <xdr:col>2</xdr:col>
                    <xdr:colOff>7315</xdr:colOff>
                    <xdr:row>36</xdr:row>
                    <xdr:rowOff>7315</xdr:rowOff>
                  </to>
                </anchor>
              </controlPr>
            </control>
          </mc:Choice>
        </mc:AlternateContent>
        <mc:AlternateContent xmlns:mc="http://schemas.openxmlformats.org/markup-compatibility/2006">
          <mc:Choice Requires="x14">
            <control shapeId="46101" r:id="rId13" name="Check Box 21">
              <controlPr defaultSize="0" autoFill="0" autoLine="0" autoPict="0" altText="">
                <anchor moveWithCells="1">
                  <from>
                    <xdr:col>1</xdr:col>
                    <xdr:colOff>0</xdr:colOff>
                    <xdr:row>40</xdr:row>
                    <xdr:rowOff>0</xdr:rowOff>
                  </from>
                  <to>
                    <xdr:col>2</xdr:col>
                    <xdr:colOff>7315</xdr:colOff>
                    <xdr:row>41</xdr:row>
                    <xdr:rowOff>7315</xdr:rowOff>
                  </to>
                </anchor>
              </controlPr>
            </control>
          </mc:Choice>
        </mc:AlternateContent>
        <mc:AlternateContent xmlns:mc="http://schemas.openxmlformats.org/markup-compatibility/2006">
          <mc:Choice Requires="x14">
            <control shapeId="46102" r:id="rId14" name="Check Box 22">
              <controlPr defaultSize="0" autoFill="0" autoLine="0" autoPict="0" altText="">
                <anchor moveWithCells="1">
                  <from>
                    <xdr:col>1</xdr:col>
                    <xdr:colOff>0</xdr:colOff>
                    <xdr:row>42</xdr:row>
                    <xdr:rowOff>21946</xdr:rowOff>
                  </from>
                  <to>
                    <xdr:col>2</xdr:col>
                    <xdr:colOff>7315</xdr:colOff>
                    <xdr:row>43</xdr:row>
                    <xdr:rowOff>0</xdr:rowOff>
                  </to>
                </anchor>
              </controlPr>
            </control>
          </mc:Choice>
        </mc:AlternateContent>
        <mc:AlternateContent xmlns:mc="http://schemas.openxmlformats.org/markup-compatibility/2006">
          <mc:Choice Requires="x14">
            <control shapeId="46104" r:id="rId15" name="Check Box 24">
              <controlPr defaultSize="0" autoFill="0" autoLine="0" autoPict="0" altText="">
                <anchor moveWithCells="1">
                  <from>
                    <xdr:col>1</xdr:col>
                    <xdr:colOff>0</xdr:colOff>
                    <xdr:row>49</xdr:row>
                    <xdr:rowOff>0</xdr:rowOff>
                  </from>
                  <to>
                    <xdr:col>2</xdr:col>
                    <xdr:colOff>7315</xdr:colOff>
                    <xdr:row>50</xdr:row>
                    <xdr:rowOff>7315</xdr:rowOff>
                  </to>
                </anchor>
              </controlPr>
            </control>
          </mc:Choice>
        </mc:AlternateContent>
        <mc:AlternateContent xmlns:mc="http://schemas.openxmlformats.org/markup-compatibility/2006">
          <mc:Choice Requires="x14">
            <control shapeId="46105" r:id="rId16" name="Check Box 25">
              <controlPr defaultSize="0" autoFill="0" autoLine="0" autoPict="0" altText="">
                <anchor moveWithCells="1">
                  <from>
                    <xdr:col>1</xdr:col>
                    <xdr:colOff>0</xdr:colOff>
                    <xdr:row>51</xdr:row>
                    <xdr:rowOff>0</xdr:rowOff>
                  </from>
                  <to>
                    <xdr:col>2</xdr:col>
                    <xdr:colOff>7315</xdr:colOff>
                    <xdr:row>52</xdr:row>
                    <xdr:rowOff>7315</xdr:rowOff>
                  </to>
                </anchor>
              </controlPr>
            </control>
          </mc:Choice>
        </mc:AlternateContent>
        <mc:AlternateContent xmlns:mc="http://schemas.openxmlformats.org/markup-compatibility/2006">
          <mc:Choice Requires="x14">
            <control shapeId="46106" r:id="rId17" name="Check Box 26">
              <controlPr defaultSize="0" autoFill="0" autoLine="0" autoPict="0" altText="">
                <anchor moveWithCells="1">
                  <from>
                    <xdr:col>1</xdr:col>
                    <xdr:colOff>0</xdr:colOff>
                    <xdr:row>53</xdr:row>
                    <xdr:rowOff>0</xdr:rowOff>
                  </from>
                  <to>
                    <xdr:col>2</xdr:col>
                    <xdr:colOff>7315</xdr:colOff>
                    <xdr:row>54</xdr:row>
                    <xdr:rowOff>7315</xdr:rowOff>
                  </to>
                </anchor>
              </controlPr>
            </control>
          </mc:Choice>
        </mc:AlternateContent>
        <mc:AlternateContent xmlns:mc="http://schemas.openxmlformats.org/markup-compatibility/2006">
          <mc:Choice Requires="x14">
            <control shapeId="46109" r:id="rId18" name="Check Box 29">
              <controlPr defaultSize="0" autoFill="0" autoLine="0" autoPict="0" altText="">
                <anchor moveWithCells="1">
                  <from>
                    <xdr:col>1</xdr:col>
                    <xdr:colOff>0</xdr:colOff>
                    <xdr:row>58</xdr:row>
                    <xdr:rowOff>0</xdr:rowOff>
                  </from>
                  <to>
                    <xdr:col>2</xdr:col>
                    <xdr:colOff>7315</xdr:colOff>
                    <xdr:row>59</xdr:row>
                    <xdr:rowOff>7315</xdr:rowOff>
                  </to>
                </anchor>
              </controlPr>
            </control>
          </mc:Choice>
        </mc:AlternateContent>
        <mc:AlternateContent xmlns:mc="http://schemas.openxmlformats.org/markup-compatibility/2006">
          <mc:Choice Requires="x14">
            <control shapeId="46110" r:id="rId19" name="Check Box 30">
              <controlPr defaultSize="0" autoFill="0" autoLine="0" autoPict="0" altText="">
                <anchor moveWithCells="1">
                  <from>
                    <xdr:col>1</xdr:col>
                    <xdr:colOff>0</xdr:colOff>
                    <xdr:row>60</xdr:row>
                    <xdr:rowOff>0</xdr:rowOff>
                  </from>
                  <to>
                    <xdr:col>2</xdr:col>
                    <xdr:colOff>7315</xdr:colOff>
                    <xdr:row>61</xdr:row>
                    <xdr:rowOff>0</xdr:rowOff>
                  </to>
                </anchor>
              </controlPr>
            </control>
          </mc:Choice>
        </mc:AlternateContent>
        <mc:AlternateContent xmlns:mc="http://schemas.openxmlformats.org/markup-compatibility/2006">
          <mc:Choice Requires="x14">
            <control shapeId="46111" r:id="rId20" name="Check Box 31">
              <controlPr defaultSize="0" autoFill="0" autoLine="0" autoPict="0" altText="">
                <anchor moveWithCells="1">
                  <from>
                    <xdr:col>1</xdr:col>
                    <xdr:colOff>0</xdr:colOff>
                    <xdr:row>62</xdr:row>
                    <xdr:rowOff>0</xdr:rowOff>
                  </from>
                  <to>
                    <xdr:col>2</xdr:col>
                    <xdr:colOff>7315</xdr:colOff>
                    <xdr:row>63</xdr:row>
                    <xdr:rowOff>7315</xdr:rowOff>
                  </to>
                </anchor>
              </controlPr>
            </control>
          </mc:Choice>
        </mc:AlternateContent>
        <mc:AlternateContent xmlns:mc="http://schemas.openxmlformats.org/markup-compatibility/2006">
          <mc:Choice Requires="x14">
            <control shapeId="46112" r:id="rId21" name="Check Box 32">
              <controlPr defaultSize="0" autoFill="0" autoLine="0" autoPict="0" altText="">
                <anchor moveWithCells="1">
                  <from>
                    <xdr:col>1</xdr:col>
                    <xdr:colOff>0</xdr:colOff>
                    <xdr:row>67</xdr:row>
                    <xdr:rowOff>0</xdr:rowOff>
                  </from>
                  <to>
                    <xdr:col>2</xdr:col>
                    <xdr:colOff>7315</xdr:colOff>
                    <xdr:row>68</xdr:row>
                    <xdr:rowOff>7315</xdr:rowOff>
                  </to>
                </anchor>
              </controlPr>
            </control>
          </mc:Choice>
        </mc:AlternateContent>
        <mc:AlternateContent xmlns:mc="http://schemas.openxmlformats.org/markup-compatibility/2006">
          <mc:Choice Requires="x14">
            <control shapeId="46113" r:id="rId22" name="Check Box 33">
              <controlPr defaultSize="0" autoFill="0" autoLine="0" autoPict="0" altText="">
                <anchor moveWithCells="1">
                  <from>
                    <xdr:col>1</xdr:col>
                    <xdr:colOff>0</xdr:colOff>
                    <xdr:row>69</xdr:row>
                    <xdr:rowOff>0</xdr:rowOff>
                  </from>
                  <to>
                    <xdr:col>2</xdr:col>
                    <xdr:colOff>7315</xdr:colOff>
                    <xdr:row>70</xdr:row>
                    <xdr:rowOff>0</xdr:rowOff>
                  </to>
                </anchor>
              </controlPr>
            </control>
          </mc:Choice>
        </mc:AlternateContent>
        <mc:AlternateContent xmlns:mc="http://schemas.openxmlformats.org/markup-compatibility/2006">
          <mc:Choice Requires="x14">
            <control shapeId="46114" r:id="rId23" name="Check Box 34">
              <controlPr defaultSize="0" autoFill="0" autoLine="0" autoPict="0" altText="">
                <anchor moveWithCells="1">
                  <from>
                    <xdr:col>1</xdr:col>
                    <xdr:colOff>0</xdr:colOff>
                    <xdr:row>71</xdr:row>
                    <xdr:rowOff>0</xdr:rowOff>
                  </from>
                  <to>
                    <xdr:col>2</xdr:col>
                    <xdr:colOff>7315</xdr:colOff>
                    <xdr:row>72</xdr:row>
                    <xdr:rowOff>7315</xdr:rowOff>
                  </to>
                </anchor>
              </controlPr>
            </control>
          </mc:Choice>
        </mc:AlternateContent>
        <mc:AlternateContent xmlns:mc="http://schemas.openxmlformats.org/markup-compatibility/2006">
          <mc:Choice Requires="x14">
            <control shapeId="46115" r:id="rId24" name="Check Box 35">
              <controlPr defaultSize="0" autoFill="0" autoLine="0" autoPict="0" altText="3 Fahrstreifen">
                <anchor moveWithCells="1">
                  <from>
                    <xdr:col>1</xdr:col>
                    <xdr:colOff>0</xdr:colOff>
                    <xdr:row>113</xdr:row>
                    <xdr:rowOff>0</xdr:rowOff>
                  </from>
                  <to>
                    <xdr:col>2</xdr:col>
                    <xdr:colOff>7315</xdr:colOff>
                    <xdr:row>114</xdr:row>
                    <xdr:rowOff>0</xdr:rowOff>
                  </to>
                </anchor>
              </controlPr>
            </control>
          </mc:Choice>
        </mc:AlternateContent>
        <mc:AlternateContent xmlns:mc="http://schemas.openxmlformats.org/markup-compatibility/2006">
          <mc:Choice Requires="x14">
            <control shapeId="46116" r:id="rId25" name="Check Box 36">
              <controlPr defaultSize="0" autoFill="0" autoLine="0" autoPict="0" altText="3 Fahrstreifen">
                <anchor moveWithCells="1">
                  <from>
                    <xdr:col>1</xdr:col>
                    <xdr:colOff>0</xdr:colOff>
                    <xdr:row>117</xdr:row>
                    <xdr:rowOff>0</xdr:rowOff>
                  </from>
                  <to>
                    <xdr:col>2</xdr:col>
                    <xdr:colOff>7315</xdr:colOff>
                    <xdr:row>118</xdr:row>
                    <xdr:rowOff>7315</xdr:rowOff>
                  </to>
                </anchor>
              </controlPr>
            </control>
          </mc:Choice>
        </mc:AlternateContent>
        <mc:AlternateContent xmlns:mc="http://schemas.openxmlformats.org/markup-compatibility/2006">
          <mc:Choice Requires="x14">
            <control shapeId="46117" r:id="rId26" name="Check Box 37">
              <controlPr defaultSize="0" autoFill="0" autoLine="0" autoPict="0" altText="">
                <anchor moveWithCells="1">
                  <from>
                    <xdr:col>1</xdr:col>
                    <xdr:colOff>0</xdr:colOff>
                    <xdr:row>78</xdr:row>
                    <xdr:rowOff>0</xdr:rowOff>
                  </from>
                  <to>
                    <xdr:col>2</xdr:col>
                    <xdr:colOff>7315</xdr:colOff>
                    <xdr:row>79</xdr:row>
                    <xdr:rowOff>7315</xdr:rowOff>
                  </to>
                </anchor>
              </controlPr>
            </control>
          </mc:Choice>
        </mc:AlternateContent>
        <mc:AlternateContent xmlns:mc="http://schemas.openxmlformats.org/markup-compatibility/2006">
          <mc:Choice Requires="x14">
            <control shapeId="46118" r:id="rId27" name="Check Box 38">
              <controlPr defaultSize="0" autoFill="0" autoLine="0" autoPict="0" altText="">
                <anchor moveWithCells="1">
                  <from>
                    <xdr:col>1</xdr:col>
                    <xdr:colOff>0</xdr:colOff>
                    <xdr:row>76</xdr:row>
                    <xdr:rowOff>0</xdr:rowOff>
                  </from>
                  <to>
                    <xdr:col>2</xdr:col>
                    <xdr:colOff>7315</xdr:colOff>
                    <xdr:row>77</xdr:row>
                    <xdr:rowOff>7315</xdr:rowOff>
                  </to>
                </anchor>
              </controlPr>
            </control>
          </mc:Choice>
        </mc:AlternateContent>
        <mc:AlternateContent xmlns:mc="http://schemas.openxmlformats.org/markup-compatibility/2006">
          <mc:Choice Requires="x14">
            <control shapeId="46119" r:id="rId28" name="Check Box 39">
              <controlPr defaultSize="0" autoFill="0" autoLine="0" autoPict="0" altText="">
                <anchor moveWithCells="1">
                  <from>
                    <xdr:col>1</xdr:col>
                    <xdr:colOff>0</xdr:colOff>
                    <xdr:row>80</xdr:row>
                    <xdr:rowOff>0</xdr:rowOff>
                  </from>
                  <to>
                    <xdr:col>2</xdr:col>
                    <xdr:colOff>7315</xdr:colOff>
                    <xdr:row>81</xdr:row>
                    <xdr:rowOff>7315</xdr:rowOff>
                  </to>
                </anchor>
              </controlPr>
            </control>
          </mc:Choice>
        </mc:AlternateContent>
        <mc:AlternateContent xmlns:mc="http://schemas.openxmlformats.org/markup-compatibility/2006">
          <mc:Choice Requires="x14">
            <control shapeId="46120" r:id="rId29" name="Check Box 40">
              <controlPr defaultSize="0" autoFill="0" autoLine="0" autoPict="0" altText="">
                <anchor moveWithCells="1">
                  <from>
                    <xdr:col>1</xdr:col>
                    <xdr:colOff>0</xdr:colOff>
                    <xdr:row>82</xdr:row>
                    <xdr:rowOff>0</xdr:rowOff>
                  </from>
                  <to>
                    <xdr:col>2</xdr:col>
                    <xdr:colOff>7315</xdr:colOff>
                    <xdr:row>83</xdr:row>
                    <xdr:rowOff>7315</xdr:rowOff>
                  </to>
                </anchor>
              </controlPr>
            </control>
          </mc:Choice>
        </mc:AlternateContent>
        <mc:AlternateContent xmlns:mc="http://schemas.openxmlformats.org/markup-compatibility/2006">
          <mc:Choice Requires="x14">
            <control shapeId="46123" r:id="rId30" name="Check Box 43">
              <controlPr defaultSize="0" autoFill="0" autoLine="0" autoPict="0" altText="3 Fahrstreifen">
                <anchor moveWithCells="1">
                  <from>
                    <xdr:col>1</xdr:col>
                    <xdr:colOff>0</xdr:colOff>
                    <xdr:row>108</xdr:row>
                    <xdr:rowOff>0</xdr:rowOff>
                  </from>
                  <to>
                    <xdr:col>2</xdr:col>
                    <xdr:colOff>7315</xdr:colOff>
                    <xdr:row>109</xdr:row>
                    <xdr:rowOff>7315</xdr:rowOff>
                  </to>
                </anchor>
              </controlPr>
            </control>
          </mc:Choice>
        </mc:AlternateContent>
        <mc:AlternateContent xmlns:mc="http://schemas.openxmlformats.org/markup-compatibility/2006">
          <mc:Choice Requires="x14">
            <control shapeId="46124" r:id="rId31" name="Check Box 44">
              <controlPr defaultSize="0" autoFill="0" autoLine="0" autoPict="0" altText="">
                <anchor moveWithCells="1">
                  <from>
                    <xdr:col>1</xdr:col>
                    <xdr:colOff>0</xdr:colOff>
                    <xdr:row>84</xdr:row>
                    <xdr:rowOff>0</xdr:rowOff>
                  </from>
                  <to>
                    <xdr:col>2</xdr:col>
                    <xdr:colOff>7315</xdr:colOff>
                    <xdr:row>85</xdr:row>
                    <xdr:rowOff>7315</xdr:rowOff>
                  </to>
                </anchor>
              </controlPr>
            </control>
          </mc:Choice>
        </mc:AlternateContent>
        <mc:AlternateContent xmlns:mc="http://schemas.openxmlformats.org/markup-compatibility/2006">
          <mc:Choice Requires="x14">
            <control shapeId="46130" r:id="rId32" name="Check Box 50">
              <controlPr defaultSize="0" autoFill="0" autoLine="0" autoPict="0">
                <anchor moveWithCells="1">
                  <from>
                    <xdr:col>1</xdr:col>
                    <xdr:colOff>0</xdr:colOff>
                    <xdr:row>106</xdr:row>
                    <xdr:rowOff>0</xdr:rowOff>
                  </from>
                  <to>
                    <xdr:col>2</xdr:col>
                    <xdr:colOff>7315</xdr:colOff>
                    <xdr:row>107</xdr:row>
                    <xdr:rowOff>7315</xdr:rowOff>
                  </to>
                </anchor>
              </controlPr>
            </control>
          </mc:Choice>
        </mc:AlternateContent>
        <mc:AlternateContent xmlns:mc="http://schemas.openxmlformats.org/markup-compatibility/2006">
          <mc:Choice Requires="x14">
            <control shapeId="46131" r:id="rId33" name="Check Box 51">
              <controlPr defaultSize="0" autoFill="0" autoLine="0" autoPict="0">
                <anchor moveWithCells="1">
                  <from>
                    <xdr:col>1</xdr:col>
                    <xdr:colOff>0</xdr:colOff>
                    <xdr:row>104</xdr:row>
                    <xdr:rowOff>0</xdr:rowOff>
                  </from>
                  <to>
                    <xdr:col>2</xdr:col>
                    <xdr:colOff>7315</xdr:colOff>
                    <xdr:row>105</xdr:row>
                    <xdr:rowOff>7315</xdr:rowOff>
                  </to>
                </anchor>
              </controlPr>
            </control>
          </mc:Choice>
        </mc:AlternateContent>
        <mc:AlternateContent xmlns:mc="http://schemas.openxmlformats.org/markup-compatibility/2006">
          <mc:Choice Requires="x14">
            <control shapeId="46142" r:id="rId34" name="Check Box 62">
              <controlPr defaultSize="0" autoFill="0" autoLine="0" autoPict="0" altText="">
                <anchor moveWithCells="1">
                  <from>
                    <xdr:col>1</xdr:col>
                    <xdr:colOff>0</xdr:colOff>
                    <xdr:row>44</xdr:row>
                    <xdr:rowOff>0</xdr:rowOff>
                  </from>
                  <to>
                    <xdr:col>2</xdr:col>
                    <xdr:colOff>7315</xdr:colOff>
                    <xdr:row>45</xdr:row>
                    <xdr:rowOff>7315</xdr:rowOff>
                  </to>
                </anchor>
              </controlPr>
            </control>
          </mc:Choice>
        </mc:AlternateContent>
        <mc:AlternateContent xmlns:mc="http://schemas.openxmlformats.org/markup-compatibility/2006">
          <mc:Choice Requires="x14">
            <control shapeId="46143" r:id="rId35" name="Check Box 63">
              <controlPr defaultSize="0" autoFill="0" autoLine="0" autoPict="0" altText="">
                <anchor moveWithCells="1">
                  <from>
                    <xdr:col>1</xdr:col>
                    <xdr:colOff>0</xdr:colOff>
                    <xdr:row>42</xdr:row>
                    <xdr:rowOff>0</xdr:rowOff>
                  </from>
                  <to>
                    <xdr:col>2</xdr:col>
                    <xdr:colOff>21946</xdr:colOff>
                    <xdr:row>43</xdr:row>
                    <xdr:rowOff>7315</xdr:rowOff>
                  </to>
                </anchor>
              </controlPr>
            </control>
          </mc:Choice>
        </mc:AlternateContent>
        <mc:AlternateContent xmlns:mc="http://schemas.openxmlformats.org/markup-compatibility/2006">
          <mc:Choice Requires="x14">
            <control shapeId="46144" r:id="rId36" name="Check Box 64">
              <controlPr defaultSize="0" autoFill="0" autoLine="0" autoPict="0" altText="">
                <anchor moveWithCells="1">
                  <from>
                    <xdr:col>1</xdr:col>
                    <xdr:colOff>0</xdr:colOff>
                    <xdr:row>44</xdr:row>
                    <xdr:rowOff>0</xdr:rowOff>
                  </from>
                  <to>
                    <xdr:col>2</xdr:col>
                    <xdr:colOff>21946</xdr:colOff>
                    <xdr:row>45</xdr:row>
                    <xdr:rowOff>7315</xdr:rowOff>
                  </to>
                </anchor>
              </controlPr>
            </control>
          </mc:Choice>
        </mc:AlternateContent>
        <mc:AlternateContent xmlns:mc="http://schemas.openxmlformats.org/markup-compatibility/2006">
          <mc:Choice Requires="x14">
            <control shapeId="46152" r:id="rId37" name="Check Box 72">
              <controlPr defaultSize="0" autoFill="0" autoLine="0" autoPict="0" altText="">
                <anchor moveWithCells="1">
                  <from>
                    <xdr:col>1</xdr:col>
                    <xdr:colOff>0</xdr:colOff>
                    <xdr:row>71</xdr:row>
                    <xdr:rowOff>0</xdr:rowOff>
                  </from>
                  <to>
                    <xdr:col>2</xdr:col>
                    <xdr:colOff>7315</xdr:colOff>
                    <xdr:row>72</xdr:row>
                    <xdr:rowOff>7315</xdr:rowOff>
                  </to>
                </anchor>
              </controlPr>
            </control>
          </mc:Choice>
        </mc:AlternateContent>
        <mc:AlternateContent xmlns:mc="http://schemas.openxmlformats.org/markup-compatibility/2006">
          <mc:Choice Requires="x14">
            <control shapeId="46165" r:id="rId38" name="Check Box 85">
              <controlPr defaultSize="0" autoFill="0" autoLine="0" autoPict="0" altText="3 Fahrstreifen">
                <anchor moveWithCells="1">
                  <from>
                    <xdr:col>1</xdr:col>
                    <xdr:colOff>0</xdr:colOff>
                    <xdr:row>115</xdr:row>
                    <xdr:rowOff>0</xdr:rowOff>
                  </from>
                  <to>
                    <xdr:col>2</xdr:col>
                    <xdr:colOff>7315</xdr:colOff>
                    <xdr:row>116</xdr:row>
                    <xdr:rowOff>7315</xdr:rowOff>
                  </to>
                </anchor>
              </controlPr>
            </control>
          </mc:Choice>
        </mc:AlternateContent>
        <mc:AlternateContent xmlns:mc="http://schemas.openxmlformats.org/markup-compatibility/2006">
          <mc:Choice Requires="x14">
            <control shapeId="46169" r:id="rId39" name="Check Box 89">
              <controlPr defaultSize="0" autoFill="0" autoLine="0" autoPict="0" altText="3 Fahrstreifen">
                <anchor moveWithCells="1">
                  <from>
                    <xdr:col>1</xdr:col>
                    <xdr:colOff>0</xdr:colOff>
                    <xdr:row>124</xdr:row>
                    <xdr:rowOff>0</xdr:rowOff>
                  </from>
                  <to>
                    <xdr:col>2</xdr:col>
                    <xdr:colOff>7315</xdr:colOff>
                    <xdr:row>125</xdr:row>
                    <xdr:rowOff>7315</xdr:rowOff>
                  </to>
                </anchor>
              </controlPr>
            </control>
          </mc:Choice>
        </mc:AlternateContent>
        <mc:AlternateContent xmlns:mc="http://schemas.openxmlformats.org/markup-compatibility/2006">
          <mc:Choice Requires="x14">
            <control shapeId="46170" r:id="rId40" name="Check Box 90">
              <controlPr defaultSize="0" autoFill="0" autoLine="0" autoPict="0">
                <anchor moveWithCells="1">
                  <from>
                    <xdr:col>1</xdr:col>
                    <xdr:colOff>0</xdr:colOff>
                    <xdr:row>122</xdr:row>
                    <xdr:rowOff>0</xdr:rowOff>
                  </from>
                  <to>
                    <xdr:col>2</xdr:col>
                    <xdr:colOff>7315</xdr:colOff>
                    <xdr:row>123</xdr:row>
                    <xdr:rowOff>7315</xdr:rowOff>
                  </to>
                </anchor>
              </controlPr>
            </control>
          </mc:Choice>
        </mc:AlternateContent>
        <mc:AlternateContent xmlns:mc="http://schemas.openxmlformats.org/markup-compatibility/2006">
          <mc:Choice Requires="x14">
            <control shapeId="46171" r:id="rId41" name="Check Box 91">
              <controlPr defaultSize="0" autoFill="0" autoLine="0" autoPict="0">
                <anchor moveWithCells="1">
                  <from>
                    <xdr:col>1</xdr:col>
                    <xdr:colOff>0</xdr:colOff>
                    <xdr:row>120</xdr:row>
                    <xdr:rowOff>0</xdr:rowOff>
                  </from>
                  <to>
                    <xdr:col>2</xdr:col>
                    <xdr:colOff>7315</xdr:colOff>
                    <xdr:row>121</xdr:row>
                    <xdr:rowOff>7315</xdr:rowOff>
                  </to>
                </anchor>
              </controlPr>
            </control>
          </mc:Choice>
        </mc:AlternateContent>
        <mc:AlternateContent xmlns:mc="http://schemas.openxmlformats.org/markup-compatibility/2006">
          <mc:Choice Requires="x14">
            <control shapeId="46188" r:id="rId42" name="Check Box 108">
              <controlPr defaultSize="0" autoFill="0" autoLine="0" autoPict="0">
                <anchor moveWithCells="1">
                  <from>
                    <xdr:col>4</xdr:col>
                    <xdr:colOff>0</xdr:colOff>
                    <xdr:row>86</xdr:row>
                    <xdr:rowOff>0</xdr:rowOff>
                  </from>
                  <to>
                    <xdr:col>5</xdr:col>
                    <xdr:colOff>36576</xdr:colOff>
                    <xdr:row>87</xdr:row>
                    <xdr:rowOff>0</xdr:rowOff>
                  </to>
                </anchor>
              </controlPr>
            </control>
          </mc:Choice>
        </mc:AlternateContent>
        <mc:AlternateContent xmlns:mc="http://schemas.openxmlformats.org/markup-compatibility/2006">
          <mc:Choice Requires="x14">
            <control shapeId="46189" r:id="rId43" name="Check Box 109">
              <controlPr defaultSize="0" autoFill="0" autoLine="0" autoPict="0">
                <anchor moveWithCells="1">
                  <from>
                    <xdr:col>4</xdr:col>
                    <xdr:colOff>0</xdr:colOff>
                    <xdr:row>87</xdr:row>
                    <xdr:rowOff>0</xdr:rowOff>
                  </from>
                  <to>
                    <xdr:col>5</xdr:col>
                    <xdr:colOff>36576</xdr:colOff>
                    <xdr:row>88</xdr:row>
                    <xdr:rowOff>0</xdr:rowOff>
                  </to>
                </anchor>
              </controlPr>
            </control>
          </mc:Choice>
        </mc:AlternateContent>
        <mc:AlternateContent xmlns:mc="http://schemas.openxmlformats.org/markup-compatibility/2006">
          <mc:Choice Requires="x14">
            <control shapeId="46190" r:id="rId44" name="Check Box 110">
              <controlPr defaultSize="0" autoFill="0" autoLine="0" autoPict="0">
                <anchor moveWithCells="1">
                  <from>
                    <xdr:col>4</xdr:col>
                    <xdr:colOff>0</xdr:colOff>
                    <xdr:row>94</xdr:row>
                    <xdr:rowOff>0</xdr:rowOff>
                  </from>
                  <to>
                    <xdr:col>5</xdr:col>
                    <xdr:colOff>36576</xdr:colOff>
                    <xdr:row>95</xdr:row>
                    <xdr:rowOff>0</xdr:rowOff>
                  </to>
                </anchor>
              </controlPr>
            </control>
          </mc:Choice>
        </mc:AlternateContent>
        <mc:AlternateContent xmlns:mc="http://schemas.openxmlformats.org/markup-compatibility/2006">
          <mc:Choice Requires="x14">
            <control shapeId="46191" r:id="rId45" name="Check Box 111">
              <controlPr defaultSize="0" autoFill="0" autoLine="0" autoPict="0">
                <anchor moveWithCells="1">
                  <from>
                    <xdr:col>4</xdr:col>
                    <xdr:colOff>0</xdr:colOff>
                    <xdr:row>96</xdr:row>
                    <xdr:rowOff>0</xdr:rowOff>
                  </from>
                  <to>
                    <xdr:col>5</xdr:col>
                    <xdr:colOff>36576</xdr:colOff>
                    <xdr:row>97</xdr:row>
                    <xdr:rowOff>0</xdr:rowOff>
                  </to>
                </anchor>
              </controlPr>
            </control>
          </mc:Choice>
        </mc:AlternateContent>
        <mc:AlternateContent xmlns:mc="http://schemas.openxmlformats.org/markup-compatibility/2006">
          <mc:Choice Requires="x14">
            <control shapeId="46192" r:id="rId46" name="Check Box 112">
              <controlPr defaultSize="0" autoFill="0" autoLine="0" autoPict="0">
                <anchor moveWithCells="1">
                  <from>
                    <xdr:col>4</xdr:col>
                    <xdr:colOff>0</xdr:colOff>
                    <xdr:row>97</xdr:row>
                    <xdr:rowOff>0</xdr:rowOff>
                  </from>
                  <to>
                    <xdr:col>5</xdr:col>
                    <xdr:colOff>36576</xdr:colOff>
                    <xdr:row>98</xdr:row>
                    <xdr:rowOff>0</xdr:rowOff>
                  </to>
                </anchor>
              </controlPr>
            </control>
          </mc:Choice>
        </mc:AlternateContent>
        <mc:AlternateContent xmlns:mc="http://schemas.openxmlformats.org/markup-compatibility/2006">
          <mc:Choice Requires="x14">
            <control shapeId="46193" r:id="rId47" name="Check Box 113">
              <controlPr defaultSize="0" autoFill="0" autoLine="0" autoPict="0">
                <anchor moveWithCells="1">
                  <from>
                    <xdr:col>4</xdr:col>
                    <xdr:colOff>0</xdr:colOff>
                    <xdr:row>98</xdr:row>
                    <xdr:rowOff>0</xdr:rowOff>
                  </from>
                  <to>
                    <xdr:col>5</xdr:col>
                    <xdr:colOff>36576</xdr:colOff>
                    <xdr:row>99</xdr:row>
                    <xdr:rowOff>0</xdr:rowOff>
                  </to>
                </anchor>
              </controlPr>
            </control>
          </mc:Choice>
        </mc:AlternateContent>
        <mc:AlternateContent xmlns:mc="http://schemas.openxmlformats.org/markup-compatibility/2006">
          <mc:Choice Requires="x14">
            <control shapeId="46194" r:id="rId48" name="Check Box 114">
              <controlPr defaultSize="0" autoFill="0" autoLine="0" autoPict="0">
                <anchor moveWithCells="1">
                  <from>
                    <xdr:col>4</xdr:col>
                    <xdr:colOff>0</xdr:colOff>
                    <xdr:row>100</xdr:row>
                    <xdr:rowOff>0</xdr:rowOff>
                  </from>
                  <to>
                    <xdr:col>5</xdr:col>
                    <xdr:colOff>36576</xdr:colOff>
                    <xdr:row>101</xdr:row>
                    <xdr:rowOff>0</xdr:rowOff>
                  </to>
                </anchor>
              </controlPr>
            </control>
          </mc:Choice>
        </mc:AlternateContent>
        <mc:AlternateContent xmlns:mc="http://schemas.openxmlformats.org/markup-compatibility/2006">
          <mc:Choice Requires="x14">
            <control shapeId="46195" r:id="rId49" name="Check Box 115">
              <controlPr defaultSize="0" autoFill="0" autoLine="0" autoPict="0">
                <anchor moveWithCells="1">
                  <from>
                    <xdr:col>4</xdr:col>
                    <xdr:colOff>0</xdr:colOff>
                    <xdr:row>102</xdr:row>
                    <xdr:rowOff>0</xdr:rowOff>
                  </from>
                  <to>
                    <xdr:col>5</xdr:col>
                    <xdr:colOff>36576</xdr:colOff>
                    <xdr:row>103</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theme="7" tint="0.79998168889431442"/>
    <pageSetUpPr fitToPage="1"/>
  </sheetPr>
  <dimension ref="A1:Q276"/>
  <sheetViews>
    <sheetView showGridLines="0" zoomScaleNormal="100" zoomScaleSheetLayoutView="100" workbookViewId="0">
      <pane ySplit="12" topLeftCell="A58" activePane="bottomLeft" state="frozen"/>
      <selection activeCell="F5" sqref="F5:G5"/>
      <selection pane="bottomLeft" activeCell="F5" sqref="F5:G5"/>
    </sheetView>
  </sheetViews>
  <sheetFormatPr baseColWidth="10" defaultColWidth="0" defaultRowHeight="0" customHeight="1" zeroHeight="1"/>
  <cols>
    <col min="1" max="1" width="5.6640625" style="1046" customWidth="1"/>
    <col min="2" max="2" width="3.33203125" style="172" customWidth="1"/>
    <col min="3" max="3" width="4.109375" style="468" customWidth="1"/>
    <col min="4" max="4" width="3.33203125" style="172" customWidth="1"/>
    <col min="5" max="5" width="2.6640625" style="172" customWidth="1"/>
    <col min="6" max="6" width="44.44140625" style="172" customWidth="1"/>
    <col min="7" max="7" width="12.33203125" style="172" customWidth="1"/>
    <col min="8" max="9" width="7.33203125" style="172" customWidth="1"/>
    <col min="10" max="10" width="12.33203125" style="172" customWidth="1"/>
    <col min="11" max="11" width="12.6640625" style="171" customWidth="1"/>
    <col min="12" max="12" width="2.6640625" style="166" customWidth="1"/>
    <col min="13" max="13" width="11.44140625" style="146" hidden="1" customWidth="1"/>
    <col min="14" max="16384" width="11.44140625" style="166" hidden="1"/>
  </cols>
  <sheetData>
    <row r="1" spans="1:17" s="450" customFormat="1" ht="16.7">
      <c r="A1" s="435"/>
      <c r="B1" s="435"/>
      <c r="C1" s="463"/>
      <c r="D1" s="360"/>
      <c r="E1" s="360"/>
      <c r="F1" s="360"/>
      <c r="H1" s="360"/>
      <c r="I1" s="360"/>
      <c r="J1" s="360"/>
      <c r="K1" s="360"/>
      <c r="L1" s="436"/>
      <c r="M1" s="449"/>
    </row>
    <row r="2" spans="1:17" s="136" customFormat="1" ht="16.600000000000001" customHeight="1">
      <c r="A2" s="1045"/>
      <c r="B2" s="1285" t="str">
        <f>IF(Projektgrundlagen!B2="","",Projektgrundlagen!B2)</f>
        <v>Objektplanung Verkehrsanlagen</v>
      </c>
      <c r="C2" s="1285"/>
      <c r="D2" s="1285"/>
      <c r="E2" s="1285"/>
      <c r="F2" s="1285"/>
      <c r="G2" s="1285"/>
      <c r="H2" s="1521" t="str">
        <f>IF(Projektgrundlagen!F2="","",Projektgrundlagen!F2)</f>
        <v>VII.15.4</v>
      </c>
      <c r="I2" s="1398"/>
      <c r="J2" s="257" t="s">
        <v>979</v>
      </c>
      <c r="K2" s="268"/>
      <c r="L2" s="1551" t="s">
        <v>1033</v>
      </c>
      <c r="M2" s="451" t="s">
        <v>159</v>
      </c>
      <c r="N2" s="570" t="s">
        <v>770</v>
      </c>
      <c r="O2" s="221"/>
      <c r="P2" s="221" t="s">
        <v>502</v>
      </c>
      <c r="Q2" s="221"/>
    </row>
    <row r="3" spans="1:17" s="136" customFormat="1" ht="16.7">
      <c r="A3" s="1045"/>
      <c r="B3" s="1496" t="s">
        <v>1043</v>
      </c>
      <c r="C3" s="1496"/>
      <c r="D3" s="1496"/>
      <c r="E3" s="1496"/>
      <c r="F3" s="1496"/>
      <c r="G3" s="1496"/>
      <c r="H3" s="1300" t="str">
        <f>IF(Projektgrundlagen!F3="","",Projektgrundlagen!F3)</f>
        <v>Vertragsnr.:</v>
      </c>
      <c r="I3" s="1301"/>
      <c r="J3" s="571" t="str">
        <f>IF(Projektgrundlagen!G3="","",Projektgrundlagen!G3)</f>
        <v/>
      </c>
      <c r="K3" s="572"/>
      <c r="L3" s="1551"/>
      <c r="N3" s="7" t="b">
        <f>Projektgrundlagen!$I$23</f>
        <v>0</v>
      </c>
      <c r="O3" s="7"/>
      <c r="P3" s="136" t="str">
        <f ca="1">MID(CELL("dateiname",A2),FIND("]",CELL("dateiname",A2))+1,255)</f>
        <v>HB-D2 Besondere Lstg Bund</v>
      </c>
    </row>
    <row r="4" spans="1:17" s="136" customFormat="1" ht="7.5" customHeight="1">
      <c r="A4" s="1045"/>
      <c r="B4" s="216"/>
      <c r="C4" s="216"/>
      <c r="D4" s="216"/>
      <c r="E4" s="216"/>
      <c r="F4" s="458"/>
      <c r="I4" s="101"/>
      <c r="J4" s="418"/>
      <c r="K4" s="418"/>
      <c r="L4" s="1551"/>
    </row>
    <row r="5" spans="1:17" s="136" customFormat="1" ht="16.7">
      <c r="A5" s="1045"/>
      <c r="B5" s="405" t="str">
        <f>IF(Projektgrundlagen!B5="","",Projektgrundlagen!B5)</f>
        <v>Maßnahmennr:</v>
      </c>
      <c r="C5" s="406"/>
      <c r="D5" s="406"/>
      <c r="E5" s="473"/>
      <c r="F5" s="1502" t="str">
        <f>IF(Projektgrundlagen!E5="","",Projektgrundlagen!E5)</f>
        <v>B11S.ALSR0138.00</v>
      </c>
      <c r="G5" s="1502"/>
      <c r="H5" s="1291" t="str">
        <f>IF(Projektgrundlagen!F5="","",Projektgrundlagen!F5)</f>
        <v>Vergabenr.:</v>
      </c>
      <c r="I5" s="1291"/>
      <c r="J5" s="454" t="str">
        <f>IF(Projektgrundlagen!G5="","",Projektgrundlagen!G5)</f>
        <v>25-131201</v>
      </c>
      <c r="K5" s="455"/>
      <c r="L5" s="1551"/>
    </row>
    <row r="6" spans="1:17" s="136" customFormat="1" ht="16.7">
      <c r="A6" s="1045"/>
      <c r="B6" s="407" t="str">
        <f>IF(Projektgrundlagen!B6="","",Projektgrundlagen!B6)</f>
        <v>Maßnahme:</v>
      </c>
      <c r="C6" s="408"/>
      <c r="D6" s="408"/>
      <c r="E6" s="474"/>
      <c r="F6" s="1503" t="str">
        <f>IF(Projektgrundlagen!E6="","",Projektgrundlagen!E6)</f>
        <v>St2054 Geh- und Radweg westl. Babenried - Jesenwang</v>
      </c>
      <c r="G6" s="1503"/>
      <c r="H6" s="456"/>
      <c r="I6" s="456"/>
      <c r="J6" s="456"/>
      <c r="K6" s="457"/>
      <c r="L6" s="1551"/>
    </row>
    <row r="7" spans="1:17" s="136" customFormat="1" ht="16.7">
      <c r="A7" s="1045"/>
      <c r="B7" s="407" t="str">
        <f>IF(Projektgrundlagen!B7="","",Projektgrundlagen!B7)</f>
        <v/>
      </c>
      <c r="C7" s="408"/>
      <c r="D7" s="408"/>
      <c r="E7" s="474"/>
      <c r="F7" s="1503" t="str">
        <f>IF(Projektgrundlagen!E7="","",Projektgrundlagen!E7)</f>
        <v/>
      </c>
      <c r="G7" s="1503"/>
      <c r="H7" s="1503"/>
      <c r="I7" s="1503"/>
      <c r="J7" s="1503"/>
      <c r="K7" s="1504"/>
      <c r="L7" s="1551"/>
      <c r="M7" s="221"/>
    </row>
    <row r="8" spans="1:17" s="136" customFormat="1" ht="16.7">
      <c r="A8" s="1045"/>
      <c r="B8" s="409" t="str">
        <f>IF(Projektgrundlagen!B8="","",Projektgrundlagen!B8)</f>
        <v>Bieter:</v>
      </c>
      <c r="C8" s="410"/>
      <c r="D8" s="410"/>
      <c r="E8" s="475"/>
      <c r="F8" s="1509" t="str">
        <f>IF(Projektgrundlagen!E8="","",Projektgrundlagen!E8)</f>
        <v/>
      </c>
      <c r="G8" s="1509"/>
      <c r="H8" s="1509"/>
      <c r="I8" s="1509"/>
      <c r="J8" s="1509"/>
      <c r="K8" s="1510"/>
      <c r="L8" s="1551"/>
    </row>
    <row r="9" spans="1:17" s="450" customFormat="1" ht="16.7">
      <c r="A9" s="435"/>
      <c r="B9" s="436"/>
      <c r="C9" s="464"/>
      <c r="D9" s="459"/>
      <c r="E9" s="460"/>
      <c r="F9" s="461"/>
      <c r="I9" s="460"/>
      <c r="J9" s="460"/>
      <c r="K9" s="462"/>
      <c r="N9" s="587" t="s">
        <v>700</v>
      </c>
      <c r="P9" s="200" t="s">
        <v>473</v>
      </c>
    </row>
    <row r="10" spans="1:17" s="136" customFormat="1" ht="27.1" customHeight="1">
      <c r="A10" s="1045"/>
      <c r="B10" s="1548" t="s">
        <v>1154</v>
      </c>
      <c r="C10" s="1548"/>
      <c r="D10" s="1548"/>
      <c r="E10" s="1548"/>
      <c r="F10" s="1548"/>
      <c r="G10" s="1038" t="s">
        <v>1044</v>
      </c>
      <c r="H10" s="1549" t="s">
        <v>1156</v>
      </c>
      <c r="I10" s="1550"/>
      <c r="J10" s="1039" t="s">
        <v>695</v>
      </c>
      <c r="K10" s="1040" t="s">
        <v>679</v>
      </c>
      <c r="N10" s="221" t="s">
        <v>977</v>
      </c>
      <c r="O10" s="573">
        <f>IF(P10,'E Honorarberechnung'!P41,'E Honorarberechnung'!P41)</f>
        <v>155864.79999999999</v>
      </c>
      <c r="P10" s="136" t="b">
        <f>'E Honorarberechnung'!L14</f>
        <v>1</v>
      </c>
    </row>
    <row r="11" spans="1:17" s="136" customFormat="1" ht="27.1" customHeight="1">
      <c r="A11" s="1045"/>
      <c r="B11" s="1041"/>
      <c r="C11" s="1042"/>
      <c r="D11" s="1043"/>
      <c r="E11" s="1043"/>
      <c r="F11" s="1083" t="str">
        <f>IF($N$3,"","Besondere Lstg. Hochbau Bund sind nicht Teil dieser Honorarermittlung!")</f>
        <v>Besondere Lstg. Hochbau Bund sind nicht Teil dieser Honorarermittlung!</v>
      </c>
      <c r="G11" s="1069"/>
      <c r="H11" s="1067" t="str">
        <f>IF(AND(N3,P10,OR(O10=0,O11=0)),"Fehlende Angabe des Basishonorarsatzes",IF(AND(N3,NOT(P10),OR(O10=0,O11=0)),"Fehlende Angabe des Honorarsatzes",""))</f>
        <v/>
      </c>
      <c r="I11" s="1068"/>
      <c r="J11" s="1044"/>
      <c r="K11" s="1040"/>
      <c r="N11" s="221" t="s">
        <v>699</v>
      </c>
      <c r="O11" s="573">
        <f>IF(P10,'E Honorarberechnung'!P42,'E Honorarberechnung'!P42)</f>
        <v>155864.79999999999</v>
      </c>
    </row>
    <row r="12" spans="1:17" s="450" customFormat="1" ht="7.5" customHeight="1">
      <c r="A12" s="435"/>
      <c r="B12" s="435"/>
      <c r="C12" s="466"/>
      <c r="D12" s="444"/>
      <c r="E12" s="444"/>
      <c r="F12" s="445"/>
      <c r="G12" s="446"/>
      <c r="H12" s="445"/>
      <c r="I12" s="445"/>
      <c r="J12" s="447"/>
      <c r="K12" s="448"/>
      <c r="L12" s="437"/>
      <c r="M12" s="449"/>
    </row>
    <row r="13" spans="1:17" ht="22.5" customHeight="1">
      <c r="B13" s="42" t="s">
        <v>795</v>
      </c>
      <c r="C13" s="43"/>
      <c r="D13" s="43"/>
      <c r="E13" s="43"/>
      <c r="F13" s="43"/>
      <c r="G13" s="43"/>
      <c r="H13" s="400"/>
      <c r="I13" s="400"/>
      <c r="J13" s="497"/>
      <c r="K13" s="498"/>
      <c r="O13" s="576" t="s">
        <v>697</v>
      </c>
      <c r="P13" s="576" t="s">
        <v>684</v>
      </c>
      <c r="Q13" s="576"/>
    </row>
    <row r="14" spans="1:17" ht="17.850000000000001">
      <c r="B14" s="97"/>
      <c r="C14" s="1238" t="s">
        <v>83</v>
      </c>
      <c r="D14" s="1239"/>
      <c r="E14" s="1240"/>
      <c r="F14" s="1232" t="s">
        <v>1037</v>
      </c>
      <c r="G14" s="1057"/>
      <c r="H14" s="1552"/>
      <c r="I14" s="1553"/>
      <c r="J14" s="1058"/>
      <c r="K14" s="1073" t="str">
        <f>IF(M14,IF(O14,$O$10*H14%,IF(P14,J14)),"")</f>
        <v/>
      </c>
      <c r="M14" s="146" t="b">
        <v>0</v>
      </c>
      <c r="O14" s="450" t="b">
        <f>AND(M14,OR(AND(G14="",J14=""),H14="v.H.-Satz"))</f>
        <v>0</v>
      </c>
      <c r="P14" s="450" t="b">
        <f>AND(M14,OR(AND(G14="",J14=""),G14="pauschal"))</f>
        <v>0</v>
      </c>
    </row>
    <row r="15" spans="1:17" ht="16.7">
      <c r="B15" s="349"/>
      <c r="C15" s="38"/>
      <c r="D15" s="1070"/>
      <c r="E15" s="1071"/>
      <c r="F15" s="1164" t="s">
        <v>1038</v>
      </c>
      <c r="G15" s="1059"/>
      <c r="H15" s="1546"/>
      <c r="I15" s="1547"/>
      <c r="J15" s="1062"/>
      <c r="K15" s="1072"/>
      <c r="O15" s="575"/>
      <c r="P15" s="575"/>
    </row>
    <row r="16" spans="1:17" ht="17.850000000000001">
      <c r="B16" s="97"/>
      <c r="C16" s="1241" t="s">
        <v>82</v>
      </c>
      <c r="D16" s="1242"/>
      <c r="E16" s="1240"/>
      <c r="F16" s="1232" t="s">
        <v>1039</v>
      </c>
      <c r="G16" s="1057"/>
      <c r="H16" s="1511"/>
      <c r="I16" s="1512"/>
      <c r="J16" s="1063"/>
      <c r="K16" s="1073" t="str">
        <f>IF(M16,IF(O16,$O$10*H16%,IF(P16,J16)),"")</f>
        <v/>
      </c>
      <c r="M16" s="146" t="b">
        <v>0</v>
      </c>
      <c r="O16" s="450" t="b">
        <f>AND(M16,OR(AND(G16="",J16=""),H16="v.H.-Satz"))</f>
        <v>0</v>
      </c>
      <c r="P16" s="450" t="b">
        <f>AND(M16,OR(AND(G16="",J16=""),G16="pauschal"))</f>
        <v>0</v>
      </c>
    </row>
    <row r="17" spans="2:16" ht="50.7">
      <c r="B17" s="349"/>
      <c r="C17" s="535"/>
      <c r="D17" s="1074"/>
      <c r="E17" s="1071"/>
      <c r="F17" s="1164" t="s">
        <v>1040</v>
      </c>
      <c r="G17" s="1059"/>
      <c r="H17" s="1546"/>
      <c r="I17" s="1547"/>
      <c r="J17" s="1059"/>
      <c r="K17" s="1075"/>
      <c r="O17" s="575"/>
      <c r="P17" s="575"/>
    </row>
    <row r="18" spans="2:16" ht="17.850000000000001">
      <c r="B18" s="97"/>
      <c r="C18" s="1241" t="s">
        <v>81</v>
      </c>
      <c r="D18" s="1242"/>
      <c r="E18" s="1240"/>
      <c r="F18" s="1232" t="s">
        <v>1041</v>
      </c>
      <c r="G18" s="1057"/>
      <c r="H18" s="1511"/>
      <c r="I18" s="1512"/>
      <c r="J18" s="1063"/>
      <c r="K18" s="1073" t="str">
        <f>IF(M18,IF(O18,$O$10*H18%,IF(P18,J18)),"")</f>
        <v/>
      </c>
      <c r="M18" s="146" t="b">
        <v>0</v>
      </c>
      <c r="O18" s="450" t="b">
        <f>AND(M18,OR(AND(G18="",J18=""),H18="v.H.-Satz"))</f>
        <v>0</v>
      </c>
      <c r="P18" s="450" t="b">
        <f>AND(M18,OR(AND(G18="",J18=""),G18="pauschal"))</f>
        <v>0</v>
      </c>
    </row>
    <row r="19" spans="2:16" ht="63.4">
      <c r="B19" s="349"/>
      <c r="C19" s="535"/>
      <c r="D19" s="1074"/>
      <c r="E19" s="1071"/>
      <c r="F19" s="1066" t="s">
        <v>1042</v>
      </c>
      <c r="G19" s="1059"/>
      <c r="H19" s="1546"/>
      <c r="I19" s="1547"/>
      <c r="J19" s="1059"/>
      <c r="K19" s="1075"/>
      <c r="O19" s="575"/>
      <c r="P19" s="575"/>
    </row>
    <row r="20" spans="2:16" ht="17.850000000000001">
      <c r="B20" s="97"/>
      <c r="C20" s="1241" t="s">
        <v>134</v>
      </c>
      <c r="D20" s="1242"/>
      <c r="E20" s="1240"/>
      <c r="F20" s="1231"/>
      <c r="G20" s="1057"/>
      <c r="H20" s="1511"/>
      <c r="I20" s="1512"/>
      <c r="J20" s="1063"/>
      <c r="K20" s="1073" t="str">
        <f>IF(M20,IF(O20,$O$10*H20%,IF(P20,J20)),"")</f>
        <v/>
      </c>
      <c r="M20" s="146" t="b">
        <v>0</v>
      </c>
      <c r="O20" s="450" t="b">
        <f>AND(M20,OR(AND(G20="",J20=""),H20="v.H.-Satz"))</f>
        <v>0</v>
      </c>
      <c r="P20" s="450" t="b">
        <f>AND(M20,OR(AND(G20="",J20=""),G20="pauschal"))</f>
        <v>0</v>
      </c>
    </row>
    <row r="21" spans="2:16" ht="16.7">
      <c r="B21" s="349"/>
      <c r="C21" s="535"/>
      <c r="D21" s="1074"/>
      <c r="E21" s="1071"/>
      <c r="F21" s="1076"/>
      <c r="G21" s="1059"/>
      <c r="H21" s="1546"/>
      <c r="I21" s="1547"/>
      <c r="J21" s="1059"/>
      <c r="K21" s="1075"/>
      <c r="O21" s="575"/>
      <c r="P21" s="575"/>
    </row>
    <row r="22" spans="2:16" ht="17.850000000000001">
      <c r="B22" s="97"/>
      <c r="C22" s="1241" t="s">
        <v>154</v>
      </c>
      <c r="D22" s="1242"/>
      <c r="E22" s="1240"/>
      <c r="F22" s="1231"/>
      <c r="G22" s="1057"/>
      <c r="H22" s="1511"/>
      <c r="I22" s="1512"/>
      <c r="J22" s="1063"/>
      <c r="K22" s="1073" t="str">
        <f>IF(M22,IF(O22,$O$10*H22%,IF(P22,J22)),"")</f>
        <v/>
      </c>
      <c r="M22" s="146" t="b">
        <v>0</v>
      </c>
      <c r="O22" s="450" t="b">
        <f>AND(M22,OR(AND(G22="",J22=""),H22="v.H.-Satz"))</f>
        <v>0</v>
      </c>
      <c r="P22" s="450" t="b">
        <f>AND(M22,OR(AND(G22="",J22=""),G22="pauschal"))</f>
        <v>0</v>
      </c>
    </row>
    <row r="23" spans="2:16" ht="16.7">
      <c r="B23" s="349"/>
      <c r="C23" s="535"/>
      <c r="D23" s="1074"/>
      <c r="E23" s="1071"/>
      <c r="F23" s="1076"/>
      <c r="G23" s="1059"/>
      <c r="H23" s="1546"/>
      <c r="I23" s="1547"/>
      <c r="J23" s="1059"/>
      <c r="K23" s="1075"/>
      <c r="O23" s="575"/>
      <c r="P23" s="575"/>
    </row>
    <row r="24" spans="2:16" ht="17.850000000000001">
      <c r="B24" s="97"/>
      <c r="C24" s="1241" t="s">
        <v>796</v>
      </c>
      <c r="D24" s="1242"/>
      <c r="E24" s="1240"/>
      <c r="F24" s="1231"/>
      <c r="G24" s="1057"/>
      <c r="H24" s="1511"/>
      <c r="I24" s="1512"/>
      <c r="J24" s="1063"/>
      <c r="K24" s="1073" t="str">
        <f>IF(M24,IF(O24,$O$10*H24%,IF(P24,J24)),"")</f>
        <v/>
      </c>
      <c r="M24" s="146" t="b">
        <v>0</v>
      </c>
      <c r="O24" s="450" t="b">
        <f>AND(M24,OR(AND(G24="",J24=""),H24="v.H.-Satz"))</f>
        <v>0</v>
      </c>
      <c r="P24" s="450" t="b">
        <f>AND(M24,OR(AND(G24="",J24=""),G24="pauschal"))</f>
        <v>0</v>
      </c>
    </row>
    <row r="25" spans="2:16" ht="16.7">
      <c r="B25" s="349"/>
      <c r="C25" s="535"/>
      <c r="D25" s="1074"/>
      <c r="E25" s="1071"/>
      <c r="F25" s="1076"/>
      <c r="G25" s="1059"/>
      <c r="H25" s="1546"/>
      <c r="I25" s="1547"/>
      <c r="J25" s="1059"/>
      <c r="K25" s="1075"/>
      <c r="O25" s="575"/>
      <c r="P25" s="575"/>
    </row>
    <row r="26" spans="2:16" ht="17.850000000000001">
      <c r="B26" s="175"/>
      <c r="C26" s="1241" t="s">
        <v>797</v>
      </c>
      <c r="D26" s="1242"/>
      <c r="E26" s="1240"/>
      <c r="F26" s="1231"/>
      <c r="G26" s="1057"/>
      <c r="H26" s="1511"/>
      <c r="I26" s="1512"/>
      <c r="J26" s="1063"/>
      <c r="K26" s="1073" t="str">
        <f>IF(M26,IF(O26,$O$10*H26%,IF(P26,J26)),"")</f>
        <v/>
      </c>
      <c r="M26" s="146" t="b">
        <v>0</v>
      </c>
      <c r="O26" s="450" t="b">
        <f>AND(M26,OR(AND(G26="",J26=""),H26="v.H.-Satz"))</f>
        <v>0</v>
      </c>
      <c r="P26" s="450" t="b">
        <f>AND(M26,OR(AND(G26="",J26=""),G26="pauschal"))</f>
        <v>0</v>
      </c>
    </row>
    <row r="27" spans="2:16" ht="17.3" thickBot="1">
      <c r="B27" s="349"/>
      <c r="C27" s="535"/>
      <c r="D27" s="1077"/>
      <c r="E27" s="1071"/>
      <c r="F27" s="1076"/>
      <c r="G27" s="1059"/>
      <c r="H27" s="1546"/>
      <c r="I27" s="1547"/>
      <c r="J27" s="1078"/>
      <c r="K27" s="1075"/>
    </row>
    <row r="28" spans="2:16" ht="22.5" customHeight="1" thickBot="1">
      <c r="B28" s="489"/>
      <c r="C28" s="490" t="s">
        <v>11</v>
      </c>
      <c r="D28" s="490"/>
      <c r="E28" s="490"/>
      <c r="F28" s="491"/>
      <c r="G28" s="492"/>
      <c r="H28" s="491"/>
      <c r="I28" s="491"/>
      <c r="J28" s="356" t="s">
        <v>1049</v>
      </c>
      <c r="K28" s="493">
        <f>IF($N$3,IF(COUNT(K14:K27)&gt;0,SUM(K14:K27),""),0)</f>
        <v>0</v>
      </c>
    </row>
    <row r="29" spans="2:16" ht="16.7">
      <c r="B29" s="494"/>
      <c r="C29" s="485"/>
      <c r="D29" s="485"/>
      <c r="E29" s="485"/>
      <c r="F29" s="486"/>
      <c r="G29" s="487"/>
      <c r="H29" s="486"/>
      <c r="I29" s="486"/>
      <c r="J29" s="382"/>
      <c r="K29" s="495"/>
    </row>
    <row r="30" spans="2:16" ht="22.5" customHeight="1">
      <c r="B30" s="42" t="s">
        <v>704</v>
      </c>
      <c r="C30" s="43"/>
      <c r="D30" s="43"/>
      <c r="E30" s="43"/>
      <c r="F30" s="43"/>
      <c r="G30" s="43"/>
      <c r="H30" s="400"/>
      <c r="I30" s="400"/>
      <c r="J30" s="497"/>
      <c r="K30" s="498"/>
    </row>
    <row r="31" spans="2:16" ht="16.7">
      <c r="B31" s="97"/>
      <c r="C31" s="1208" t="s">
        <v>80</v>
      </c>
      <c r="D31" s="1217"/>
      <c r="E31" s="1217"/>
      <c r="F31" s="1231"/>
      <c r="G31" s="1057"/>
      <c r="H31" s="1511"/>
      <c r="I31" s="1512"/>
      <c r="J31" s="1063"/>
      <c r="K31" s="1073" t="str">
        <f>IF(M31,IF(O31,$O$10*H31%,IF(P31,J31)),"")</f>
        <v/>
      </c>
      <c r="M31" s="146" t="b">
        <v>0</v>
      </c>
      <c r="O31" s="450" t="b">
        <f>AND(M31,OR(AND(G31="",J31=""),H31="v.H.-Satz"))</f>
        <v>0</v>
      </c>
      <c r="P31" s="450" t="b">
        <f>AND(M31,OR(AND(G31="",J31=""),G31="pauschal"))</f>
        <v>0</v>
      </c>
    </row>
    <row r="32" spans="2:16" ht="16.7">
      <c r="B32" s="1080"/>
      <c r="C32" s="1216"/>
      <c r="D32" s="1092"/>
      <c r="E32" s="469"/>
      <c r="F32" s="1076"/>
      <c r="G32" s="1059"/>
      <c r="H32" s="1546"/>
      <c r="I32" s="1547"/>
      <c r="J32" s="1059"/>
      <c r="K32" s="1075"/>
      <c r="O32" s="575"/>
      <c r="P32" s="575"/>
    </row>
    <row r="33" spans="2:16" ht="16.7">
      <c r="B33" s="1079"/>
      <c r="C33" s="1213" t="s">
        <v>78</v>
      </c>
      <c r="D33" s="1217"/>
      <c r="E33" s="1217"/>
      <c r="F33" s="1231"/>
      <c r="G33" s="1057"/>
      <c r="H33" s="1511"/>
      <c r="I33" s="1512"/>
      <c r="J33" s="1063"/>
      <c r="K33" s="1073" t="str">
        <f>IF(M33,IF(O33,$O$10*H33%,IF(P33,J33)),"")</f>
        <v/>
      </c>
      <c r="M33" s="146" t="b">
        <v>0</v>
      </c>
      <c r="O33" s="450" t="b">
        <f t="shared" ref="O33" si="0">AND(M33,OR(AND(G33="",J33=""),H33="v.H.-Satz"))</f>
        <v>0</v>
      </c>
      <c r="P33" s="450" t="b">
        <f t="shared" ref="P33" si="1">AND(M33,OR(AND(G33="",J33=""),G33="pauschal"))</f>
        <v>0</v>
      </c>
    </row>
    <row r="34" spans="2:16" ht="16.7">
      <c r="B34" s="1080"/>
      <c r="C34" s="1216"/>
      <c r="D34" s="1092"/>
      <c r="E34" s="469"/>
      <c r="F34" s="1076"/>
      <c r="G34" s="1059"/>
      <c r="H34" s="1546"/>
      <c r="I34" s="1547"/>
      <c r="J34" s="1059"/>
      <c r="K34" s="1075"/>
      <c r="O34" s="575"/>
      <c r="P34" s="575"/>
    </row>
    <row r="35" spans="2:16" ht="16.7">
      <c r="B35" s="1079"/>
      <c r="C35" s="1213" t="s">
        <v>76</v>
      </c>
      <c r="D35" s="1217"/>
      <c r="E35" s="1217"/>
      <c r="F35" s="1231"/>
      <c r="G35" s="1057"/>
      <c r="H35" s="1511"/>
      <c r="I35" s="1512"/>
      <c r="J35" s="1063"/>
      <c r="K35" s="1073" t="str">
        <f>IF(M35,IF(O35,$O$10*H35%,IF(P35,J35)),"")</f>
        <v/>
      </c>
      <c r="M35" s="146" t="b">
        <v>0</v>
      </c>
      <c r="O35" s="450" t="b">
        <f t="shared" ref="O35" si="2">AND(M35,OR(AND(G35="",J35=""),H35="v.H.-Satz"))</f>
        <v>0</v>
      </c>
      <c r="P35" s="450" t="b">
        <f t="shared" ref="P35" si="3">AND(M35,OR(AND(G35="",J35=""),G35="pauschal"))</f>
        <v>0</v>
      </c>
    </row>
    <row r="36" spans="2:16" ht="16.7">
      <c r="B36" s="1080"/>
      <c r="C36" s="1216"/>
      <c r="D36" s="1092"/>
      <c r="E36" s="469"/>
      <c r="F36" s="1076"/>
      <c r="G36" s="1059"/>
      <c r="H36" s="1546"/>
      <c r="I36" s="1547"/>
      <c r="J36" s="1059"/>
      <c r="K36" s="1075"/>
      <c r="O36" s="575"/>
      <c r="P36" s="575"/>
    </row>
    <row r="37" spans="2:16" ht="16.7">
      <c r="B37" s="1079"/>
      <c r="C37" s="1213" t="s">
        <v>74</v>
      </c>
      <c r="D37" s="1217"/>
      <c r="E37" s="1217"/>
      <c r="F37" s="1231"/>
      <c r="G37" s="1057"/>
      <c r="H37" s="1511"/>
      <c r="I37" s="1512"/>
      <c r="J37" s="1063"/>
      <c r="K37" s="1073" t="str">
        <f>IF(M37,IF(O37,$O$10*H37%,IF(P37,J37)),"")</f>
        <v/>
      </c>
      <c r="M37" s="146" t="b">
        <v>0</v>
      </c>
      <c r="O37" s="450" t="b">
        <f t="shared" ref="O37" si="4">AND(M37,OR(AND(G37="",J37=""),H37="v.H.-Satz"))</f>
        <v>0</v>
      </c>
      <c r="P37" s="450" t="b">
        <f t="shared" ref="P37" si="5">AND(M37,OR(AND(G37="",J37=""),G37="pauschal"))</f>
        <v>0</v>
      </c>
    </row>
    <row r="38" spans="2:16" ht="16.7">
      <c r="B38" s="1080"/>
      <c r="C38" s="1216"/>
      <c r="D38" s="1092"/>
      <c r="E38" s="469"/>
      <c r="F38" s="1076"/>
      <c r="G38" s="1059"/>
      <c r="H38" s="1546"/>
      <c r="I38" s="1547"/>
      <c r="J38" s="1059"/>
      <c r="K38" s="1075"/>
      <c r="O38" s="575"/>
      <c r="P38" s="575"/>
    </row>
    <row r="39" spans="2:16" ht="16.7">
      <c r="B39" s="1079"/>
      <c r="C39" s="1213" t="s">
        <v>72</v>
      </c>
      <c r="D39" s="1217"/>
      <c r="E39" s="1217"/>
      <c r="F39" s="1231"/>
      <c r="G39" s="1057"/>
      <c r="H39" s="1511"/>
      <c r="I39" s="1512"/>
      <c r="J39" s="1063"/>
      <c r="K39" s="1073" t="str">
        <f>IF(M39,IF(O39,$O$10*H39%,IF(P39,J39)),"")</f>
        <v/>
      </c>
      <c r="M39" s="146" t="b">
        <v>0</v>
      </c>
      <c r="O39" s="450" t="b">
        <f t="shared" ref="O39" si="6">AND(M39,OR(AND(G39="",J39=""),H39="v.H.-Satz"))</f>
        <v>0</v>
      </c>
      <c r="P39" s="450" t="b">
        <f t="shared" ref="P39" si="7">AND(M39,OR(AND(G39="",J39=""),G39="pauschal"))</f>
        <v>0</v>
      </c>
    </row>
    <row r="40" spans="2:16" ht="16.7">
      <c r="B40" s="1080"/>
      <c r="C40" s="1216"/>
      <c r="D40" s="1092"/>
      <c r="E40" s="469"/>
      <c r="F40" s="1076"/>
      <c r="G40" s="1059"/>
      <c r="H40" s="1546"/>
      <c r="I40" s="1547"/>
      <c r="J40" s="1059"/>
      <c r="K40" s="1075"/>
      <c r="O40" s="575"/>
      <c r="P40" s="575"/>
    </row>
    <row r="41" spans="2:16" ht="16.7">
      <c r="B41" s="1079"/>
      <c r="C41" s="1213" t="s">
        <v>71</v>
      </c>
      <c r="D41" s="1217"/>
      <c r="E41" s="1217"/>
      <c r="F41" s="1231"/>
      <c r="G41" s="1057"/>
      <c r="H41" s="1511"/>
      <c r="I41" s="1512"/>
      <c r="J41" s="1063"/>
      <c r="K41" s="1073" t="str">
        <f>IF(M41,IF(O41,$O$10*H41%,IF(P41,J41)),"")</f>
        <v/>
      </c>
      <c r="M41" s="146" t="b">
        <v>0</v>
      </c>
      <c r="O41" s="450" t="b">
        <f t="shared" ref="O41" si="8">AND(M41,OR(AND(G41="",J41=""),H41="v.H.-Satz"))</f>
        <v>0</v>
      </c>
      <c r="P41" s="450" t="b">
        <f t="shared" ref="P41" si="9">AND(M41,OR(AND(G41="",J41=""),G41="pauschal"))</f>
        <v>0</v>
      </c>
    </row>
    <row r="42" spans="2:16" ht="17.3" thickBot="1">
      <c r="B42" s="349"/>
      <c r="C42" s="1212"/>
      <c r="D42" s="1092"/>
      <c r="E42" s="469"/>
      <c r="F42" s="1076"/>
      <c r="G42" s="1059"/>
      <c r="H42" s="1546"/>
      <c r="I42" s="1547"/>
      <c r="J42" s="1059"/>
      <c r="K42" s="1075"/>
      <c r="O42" s="575"/>
      <c r="P42" s="575"/>
    </row>
    <row r="43" spans="2:16" ht="22.5" customHeight="1" thickBot="1">
      <c r="B43" s="489"/>
      <c r="C43" s="490" t="s">
        <v>11</v>
      </c>
      <c r="D43" s="490"/>
      <c r="E43" s="490"/>
      <c r="F43" s="491"/>
      <c r="G43" s="492"/>
      <c r="H43" s="491"/>
      <c r="I43" s="491"/>
      <c r="J43" s="356" t="s">
        <v>1048</v>
      </c>
      <c r="K43" s="493">
        <f>IF($N$3,IF(COUNT(K31:K42)&gt;0,SUM(K31:K42),""),0)</f>
        <v>0</v>
      </c>
    </row>
    <row r="44" spans="2:16" ht="16.7">
      <c r="B44" s="494"/>
      <c r="C44" s="485"/>
      <c r="D44" s="485"/>
      <c r="E44" s="485"/>
      <c r="F44" s="486"/>
      <c r="G44" s="487"/>
      <c r="H44" s="486"/>
      <c r="I44" s="486"/>
      <c r="J44" s="382"/>
      <c r="K44" s="495"/>
    </row>
    <row r="45" spans="2:16" ht="22.5" customHeight="1">
      <c r="B45" s="42" t="s">
        <v>798</v>
      </c>
      <c r="C45" s="43"/>
      <c r="D45" s="43"/>
      <c r="E45" s="43"/>
      <c r="F45" s="43"/>
      <c r="G45" s="43"/>
      <c r="H45" s="400"/>
      <c r="I45" s="400"/>
      <c r="J45" s="497"/>
      <c r="K45" s="498"/>
    </row>
    <row r="46" spans="2:16" ht="16.7">
      <c r="B46" s="97"/>
      <c r="C46" s="1208" t="s">
        <v>70</v>
      </c>
      <c r="D46" s="1217"/>
      <c r="E46" s="1217"/>
      <c r="F46" s="1231"/>
      <c r="G46" s="1057"/>
      <c r="H46" s="1511"/>
      <c r="I46" s="1512"/>
      <c r="J46" s="1063"/>
      <c r="K46" s="1073" t="str">
        <f>IF(M46,IF(O46,$O$10*H46%,IF(P46,J46)),"")</f>
        <v/>
      </c>
      <c r="M46" s="146" t="b">
        <v>0</v>
      </c>
      <c r="O46" s="450" t="b">
        <f t="shared" ref="O46" si="10">AND(M46,OR(AND(G46="",J46=""),H46="v.H.-Satz"))</f>
        <v>0</v>
      </c>
      <c r="P46" s="450" t="b">
        <f t="shared" ref="P46" si="11">AND(M46,OR(AND(G46="",J46=""),G46="pauschal"))</f>
        <v>0</v>
      </c>
    </row>
    <row r="47" spans="2:16" ht="16.7">
      <c r="B47" s="499"/>
      <c r="C47" s="1216"/>
      <c r="D47" s="1092"/>
      <c r="E47" s="469"/>
      <c r="F47" s="1076"/>
      <c r="G47" s="1059"/>
      <c r="H47" s="1546"/>
      <c r="I47" s="1547"/>
      <c r="J47" s="1059"/>
      <c r="K47" s="1075"/>
      <c r="O47" s="575"/>
      <c r="P47" s="575"/>
    </row>
    <row r="48" spans="2:16" ht="16.7">
      <c r="B48" s="175"/>
      <c r="C48" s="1213" t="s">
        <v>68</v>
      </c>
      <c r="D48" s="1217"/>
      <c r="E48" s="1217"/>
      <c r="F48" s="1231"/>
      <c r="G48" s="1057"/>
      <c r="H48" s="1511"/>
      <c r="I48" s="1512"/>
      <c r="J48" s="1063"/>
      <c r="K48" s="1073" t="str">
        <f>IF(M48,IF(O48,$O$10*H48%,IF(P48,J48)),"")</f>
        <v/>
      </c>
      <c r="M48" s="146" t="b">
        <v>0</v>
      </c>
      <c r="O48" s="450" t="b">
        <f t="shared" ref="O48" si="12">AND(M48,OR(AND(G48="",J48=""),H48="v.H.-Satz"))</f>
        <v>0</v>
      </c>
      <c r="P48" s="450" t="b">
        <f t="shared" ref="P48" si="13">AND(M48,OR(AND(G48="",J48=""),G48="pauschal"))</f>
        <v>0</v>
      </c>
    </row>
    <row r="49" spans="1:16" ht="16.7">
      <c r="B49" s="349"/>
      <c r="C49" s="1216"/>
      <c r="D49" s="1092"/>
      <c r="E49" s="469"/>
      <c r="F49" s="1076"/>
      <c r="G49" s="1059"/>
      <c r="H49" s="1546"/>
      <c r="I49" s="1547"/>
      <c r="J49" s="1059"/>
      <c r="K49" s="1075"/>
      <c r="O49" s="575"/>
      <c r="P49" s="575"/>
    </row>
    <row r="50" spans="1:16" ht="16.7">
      <c r="B50" s="175"/>
      <c r="C50" s="1213" t="s">
        <v>66</v>
      </c>
      <c r="D50" s="1217"/>
      <c r="E50" s="1217"/>
      <c r="F50" s="1231"/>
      <c r="G50" s="1057"/>
      <c r="H50" s="1511"/>
      <c r="I50" s="1512"/>
      <c r="J50" s="1063"/>
      <c r="K50" s="1073" t="str">
        <f>IF(M50,IF(O50,$O$10*H50%,IF(P50,J50)),"")</f>
        <v/>
      </c>
      <c r="M50" s="146" t="b">
        <v>0</v>
      </c>
      <c r="O50" s="450" t="b">
        <f t="shared" ref="O50" si="14">AND(M50,OR(AND(G50="",J50=""),H50="v.H.-Satz"))</f>
        <v>0</v>
      </c>
      <c r="P50" s="450" t="b">
        <f t="shared" ref="P50" si="15">AND(M50,OR(AND(G50="",J50=""),G50="pauschal"))</f>
        <v>0</v>
      </c>
    </row>
    <row r="51" spans="1:16" ht="16.7">
      <c r="B51" s="349"/>
      <c r="C51" s="1216"/>
      <c r="D51" s="1092"/>
      <c r="E51" s="469"/>
      <c r="F51" s="1076"/>
      <c r="G51" s="1059"/>
      <c r="H51" s="1546"/>
      <c r="I51" s="1547"/>
      <c r="J51" s="1059"/>
      <c r="K51" s="1075"/>
      <c r="O51" s="575"/>
      <c r="P51" s="575"/>
    </row>
    <row r="52" spans="1:16" ht="16.7">
      <c r="B52" s="175"/>
      <c r="C52" s="1213" t="s">
        <v>64</v>
      </c>
      <c r="D52" s="1217"/>
      <c r="E52" s="1217"/>
      <c r="F52" s="1231"/>
      <c r="G52" s="1057"/>
      <c r="H52" s="1511"/>
      <c r="I52" s="1512"/>
      <c r="J52" s="1063"/>
      <c r="K52" s="1073" t="str">
        <f>IF(M52,IF(O52,$O$10*H52%,IF(P52,J52)),"")</f>
        <v/>
      </c>
      <c r="M52" s="146" t="b">
        <v>0</v>
      </c>
      <c r="O52" s="450" t="b">
        <f t="shared" ref="O52" si="16">AND(M52,OR(AND(G52="",J52=""),H52="v.H.-Satz"))</f>
        <v>0</v>
      </c>
      <c r="P52" s="450" t="b">
        <f t="shared" ref="P52" si="17">AND(M52,OR(AND(G52="",J52=""),G52="pauschal"))</f>
        <v>0</v>
      </c>
    </row>
    <row r="53" spans="1:16" ht="16.7">
      <c r="B53" s="499"/>
      <c r="C53" s="1216"/>
      <c r="D53" s="1092"/>
      <c r="E53" s="469"/>
      <c r="F53" s="1076"/>
      <c r="G53" s="1059"/>
      <c r="H53" s="1546"/>
      <c r="I53" s="1547"/>
      <c r="J53" s="1059"/>
      <c r="K53" s="1075"/>
      <c r="O53" s="575"/>
      <c r="P53" s="575"/>
    </row>
    <row r="54" spans="1:16" ht="16.7">
      <c r="B54" s="175"/>
      <c r="C54" s="1213" t="s">
        <v>63</v>
      </c>
      <c r="D54" s="1217"/>
      <c r="E54" s="1217"/>
      <c r="F54" s="1231"/>
      <c r="G54" s="1057"/>
      <c r="H54" s="1511"/>
      <c r="I54" s="1512"/>
      <c r="J54" s="1063"/>
      <c r="K54" s="1073" t="str">
        <f>IF(M54,IF(O54,$O$10*H54%,IF(P54,J54)),"")</f>
        <v/>
      </c>
      <c r="M54" s="146" t="b">
        <v>0</v>
      </c>
      <c r="O54" s="450" t="b">
        <f t="shared" ref="O54" si="18">AND(M54,OR(AND(G54="",J54=""),H54="v.H.-Satz"))</f>
        <v>0</v>
      </c>
      <c r="P54" s="450" t="b">
        <f t="shared" ref="P54" si="19">AND(M54,OR(AND(G54="",J54=""),G54="pauschal"))</f>
        <v>0</v>
      </c>
    </row>
    <row r="55" spans="1:16" ht="16.7">
      <c r="B55" s="349"/>
      <c r="C55" s="1216"/>
      <c r="D55" s="1092"/>
      <c r="E55" s="469"/>
      <c r="F55" s="1076"/>
      <c r="G55" s="1059"/>
      <c r="H55" s="1546"/>
      <c r="I55" s="1547"/>
      <c r="J55" s="1059"/>
      <c r="K55" s="1075"/>
      <c r="O55" s="575"/>
      <c r="P55" s="575"/>
    </row>
    <row r="56" spans="1:16" ht="16.7">
      <c r="B56" s="175"/>
      <c r="C56" s="1213" t="s">
        <v>61</v>
      </c>
      <c r="D56" s="1217"/>
      <c r="E56" s="1217"/>
      <c r="F56" s="1231"/>
      <c r="G56" s="1057"/>
      <c r="H56" s="1511"/>
      <c r="I56" s="1512"/>
      <c r="J56" s="1063"/>
      <c r="K56" s="1073" t="str">
        <f>IF(M56,IF(O56,$O$10*H56%,IF(P56,J56)),"")</f>
        <v/>
      </c>
      <c r="M56" s="146" t="b">
        <v>0</v>
      </c>
      <c r="O56" s="450" t="b">
        <f t="shared" ref="O56" si="20">AND(M56,OR(AND(G56="",J56=""),H56="v.H.-Satz"))</f>
        <v>0</v>
      </c>
      <c r="P56" s="450" t="b">
        <f t="shared" ref="P56" si="21">AND(M56,OR(AND(G56="",J56=""),G56="pauschal"))</f>
        <v>0</v>
      </c>
    </row>
    <row r="57" spans="1:16" ht="17.3" thickBot="1">
      <c r="B57" s="349"/>
      <c r="C57" s="1216"/>
      <c r="D57" s="1092"/>
      <c r="E57" s="469"/>
      <c r="F57" s="1076"/>
      <c r="G57" s="1059"/>
      <c r="H57" s="1546"/>
      <c r="I57" s="1547"/>
      <c r="J57" s="1059"/>
      <c r="K57" s="1075"/>
      <c r="O57" s="575"/>
      <c r="P57" s="575"/>
    </row>
    <row r="58" spans="1:16" ht="22.5" customHeight="1" thickBot="1">
      <c r="B58" s="489"/>
      <c r="C58" s="490" t="s">
        <v>11</v>
      </c>
      <c r="D58" s="490"/>
      <c r="E58" s="490"/>
      <c r="F58" s="491"/>
      <c r="G58" s="492"/>
      <c r="H58" s="491"/>
      <c r="I58" s="491"/>
      <c r="J58" s="356" t="s">
        <v>1047</v>
      </c>
      <c r="K58" s="493">
        <f>IF($N$3,IF(COUNT(K46:K56),SUM(K46:K56),""),0)</f>
        <v>0</v>
      </c>
    </row>
    <row r="59" spans="1:16" ht="16.7">
      <c r="B59" s="494"/>
      <c r="C59" s="485"/>
      <c r="D59" s="485"/>
      <c r="E59" s="485"/>
      <c r="F59" s="486"/>
      <c r="G59" s="487"/>
      <c r="H59" s="486"/>
      <c r="I59" s="486"/>
      <c r="J59" s="382"/>
      <c r="K59" s="495"/>
    </row>
    <row r="60" spans="1:16" ht="22.5" customHeight="1">
      <c r="B60" s="42" t="s">
        <v>705</v>
      </c>
      <c r="C60" s="43"/>
      <c r="D60" s="43"/>
      <c r="E60" s="43"/>
      <c r="F60" s="43"/>
      <c r="G60" s="43"/>
      <c r="H60" s="400"/>
      <c r="I60" s="400"/>
      <c r="J60" s="497"/>
      <c r="K60" s="498"/>
    </row>
    <row r="61" spans="1:16" ht="16.7">
      <c r="B61" s="97"/>
      <c r="C61" s="1208" t="s">
        <v>59</v>
      </c>
      <c r="D61" s="1184"/>
      <c r="E61" s="1190"/>
      <c r="F61" s="1234" t="s">
        <v>723</v>
      </c>
      <c r="G61" s="1057"/>
      <c r="H61" s="1511"/>
      <c r="I61" s="1512"/>
      <c r="J61" s="1063"/>
      <c r="K61" s="1073" t="str">
        <f>IF(M61,IF(O61,$O$11*H61%,IF(P61,J61)),"")</f>
        <v/>
      </c>
      <c r="M61" s="146" t="b">
        <v>0</v>
      </c>
      <c r="O61" s="450" t="b">
        <f>AND(M61,OR(AND(G61="",J61=""),G61="v.H.-Satz"))</f>
        <v>0</v>
      </c>
      <c r="P61" s="450" t="b">
        <f t="shared" ref="P61" si="22">AND(M61,OR(AND(G61="",J61=""),G61="pauschal"))</f>
        <v>0</v>
      </c>
    </row>
    <row r="62" spans="1:16" s="152" customFormat="1" ht="16.7">
      <c r="A62" s="1047"/>
      <c r="B62" s="349"/>
      <c r="C62" s="1216"/>
      <c r="D62" s="1092"/>
      <c r="E62" s="1100"/>
      <c r="F62" s="1076"/>
      <c r="G62" s="1059"/>
      <c r="H62" s="1546"/>
      <c r="I62" s="1547"/>
      <c r="J62" s="1059"/>
      <c r="K62" s="1075"/>
      <c r="L62" s="166"/>
      <c r="M62" s="146"/>
      <c r="N62" s="166"/>
      <c r="O62" s="575"/>
      <c r="P62" s="575"/>
    </row>
    <row r="63" spans="1:16" ht="16.600000000000001" customHeight="1">
      <c r="B63" s="97"/>
      <c r="C63" s="1220" t="s">
        <v>58</v>
      </c>
      <c r="D63" s="1221"/>
      <c r="E63" s="1193"/>
      <c r="F63" s="1232" t="s">
        <v>291</v>
      </c>
      <c r="G63" s="1057"/>
      <c r="H63" s="1511"/>
      <c r="I63" s="1512"/>
      <c r="J63" s="1063"/>
      <c r="K63" s="507" t="str">
        <f>IF(M63,IF(O63,$G$64*H63%,IF(P63,J63,"")),"")</f>
        <v/>
      </c>
      <c r="M63" s="146" t="b">
        <v>0</v>
      </c>
      <c r="O63" s="450" t="b">
        <f>AND(M63,OR(AND(G63="",J63=""),G63="v.H.-Satz"))</f>
        <v>0</v>
      </c>
      <c r="P63" s="450" t="b">
        <f>AND(M63,OR(AND(G63="",I63=""),G63="pauschal"))</f>
        <v>0</v>
      </c>
    </row>
    <row r="64" spans="1:16" ht="16.7">
      <c r="B64" s="501"/>
      <c r="C64" s="191"/>
      <c r="D64" s="512"/>
      <c r="E64" s="404"/>
      <c r="F64" s="1056" t="s">
        <v>1059</v>
      </c>
      <c r="G64" s="1094">
        <f>'A anrechb Kosten'!G77</f>
        <v>2400000</v>
      </c>
      <c r="H64" s="1546"/>
      <c r="I64" s="1547"/>
      <c r="J64" s="1059"/>
      <c r="K64" s="1082"/>
      <c r="O64" s="450"/>
      <c r="P64" s="450"/>
    </row>
    <row r="65" spans="1:16" ht="16.7">
      <c r="B65" s="97"/>
      <c r="C65" s="1213" t="s">
        <v>137</v>
      </c>
      <c r="D65" s="1184"/>
      <c r="E65" s="1193"/>
      <c r="F65" s="1232" t="s">
        <v>43</v>
      </c>
      <c r="G65" s="1057"/>
      <c r="H65" s="1511"/>
      <c r="I65" s="1512"/>
      <c r="J65" s="1063"/>
      <c r="K65" s="1073" t="str">
        <f>IF(M65,IF(O65,$O$11*H65%,IF(P65,J65)),"")</f>
        <v/>
      </c>
      <c r="M65" s="146" t="b">
        <v>0</v>
      </c>
      <c r="O65" s="450" t="b">
        <f>AND(M65,OR(AND(G65="",J65=""),G65="v.H.-Satz"))</f>
        <v>0</v>
      </c>
      <c r="P65" s="450" t="b">
        <f t="shared" ref="P65" si="23">AND(M65,OR(AND(G65="",J65=""),G65="pauschal"))</f>
        <v>0</v>
      </c>
    </row>
    <row r="66" spans="1:16" ht="16.7">
      <c r="B66" s="349"/>
      <c r="C66" s="1216"/>
      <c r="D66" s="1092"/>
      <c r="E66" s="1101"/>
      <c r="F66" s="1076"/>
      <c r="G66" s="1059"/>
      <c r="H66" s="1546"/>
      <c r="I66" s="1547"/>
      <c r="J66" s="1059"/>
      <c r="K66" s="1075"/>
      <c r="O66" s="575"/>
      <c r="P66" s="575"/>
    </row>
    <row r="67" spans="1:16" ht="16.600000000000001" customHeight="1">
      <c r="B67" s="97"/>
      <c r="C67" s="1213" t="s">
        <v>496</v>
      </c>
      <c r="D67" s="1184"/>
      <c r="E67" s="1193"/>
      <c r="F67" s="1232" t="s">
        <v>299</v>
      </c>
      <c r="G67" s="1057"/>
      <c r="H67" s="1511"/>
      <c r="I67" s="1512"/>
      <c r="J67" s="1063"/>
      <c r="K67" s="1073" t="str">
        <f t="shared" ref="K67" si="24">IF(M67,IF(O67,$O$11*H67%,IF(P67,J67)),"")</f>
        <v/>
      </c>
      <c r="M67" s="146" t="b">
        <v>0</v>
      </c>
      <c r="O67" s="450" t="b">
        <f>AND(M67,OR(AND(G67="",J67=""),G67="v.H.-Satz"))</f>
        <v>0</v>
      </c>
      <c r="P67" s="450" t="b">
        <f t="shared" ref="P67" si="25">AND(M67,OR(AND(G67="",J67=""),G67="pauschal"))</f>
        <v>0</v>
      </c>
    </row>
    <row r="68" spans="1:16" ht="16.7">
      <c r="B68" s="349"/>
      <c r="C68" s="1216"/>
      <c r="D68" s="1092"/>
      <c r="E68" s="1101"/>
      <c r="F68" s="1076"/>
      <c r="G68" s="1059"/>
      <c r="H68" s="1546"/>
      <c r="I68" s="1547"/>
      <c r="J68" s="1059"/>
      <c r="K68" s="1075"/>
      <c r="O68" s="575"/>
      <c r="P68" s="575"/>
    </row>
    <row r="69" spans="1:16" ht="16.600000000000001" customHeight="1">
      <c r="B69" s="97"/>
      <c r="C69" s="1213" t="s">
        <v>497</v>
      </c>
      <c r="D69" s="1184"/>
      <c r="E69" s="1193"/>
      <c r="F69" s="1232" t="s">
        <v>707</v>
      </c>
      <c r="G69" s="1057"/>
      <c r="H69" s="1511"/>
      <c r="I69" s="1512"/>
      <c r="J69" s="1063"/>
      <c r="K69" s="507" t="str">
        <f>IF(M69,IF(O69,$G$70*H69%,IF(P69,J69,"")),"")</f>
        <v/>
      </c>
      <c r="M69" s="146" t="b">
        <v>0</v>
      </c>
      <c r="O69" s="450" t="b">
        <f>AND(M69,OR(AND(G69="",J69=""),G69="v.H.-Satz"))</f>
        <v>0</v>
      </c>
      <c r="P69" s="450" t="b">
        <f>AND(M69,OR(AND(G69="",I69=""),G69="pauschal"))</f>
        <v>0</v>
      </c>
    </row>
    <row r="70" spans="1:16" ht="16.7">
      <c r="B70" s="501"/>
      <c r="C70" s="1212"/>
      <c r="D70" s="1123"/>
      <c r="E70" s="1100"/>
      <c r="F70" s="1056" t="s">
        <v>1059</v>
      </c>
      <c r="G70" s="1094">
        <f>'A anrechb Kosten'!G77</f>
        <v>2400000</v>
      </c>
      <c r="H70" s="1554"/>
      <c r="I70" s="1555"/>
      <c r="J70" s="1062"/>
      <c r="K70" s="1072"/>
    </row>
    <row r="71" spans="1:16" ht="16.600000000000001" customHeight="1">
      <c r="A71" s="228"/>
      <c r="B71" s="508"/>
      <c r="C71" s="496"/>
      <c r="D71" s="580"/>
      <c r="E71" s="579"/>
      <c r="F71" s="581" t="s">
        <v>427</v>
      </c>
      <c r="G71" s="577"/>
      <c r="H71" s="1554"/>
      <c r="I71" s="1555"/>
      <c r="J71" s="1062"/>
      <c r="K71" s="1072"/>
      <c r="L71" s="179"/>
      <c r="M71" s="146" t="b">
        <v>0</v>
      </c>
    </row>
    <row r="72" spans="1:16" ht="15" customHeight="1">
      <c r="B72" s="501"/>
      <c r="C72" s="496"/>
      <c r="D72" s="169"/>
      <c r="E72" s="579"/>
      <c r="F72" s="578" t="s">
        <v>706</v>
      </c>
      <c r="G72" s="577"/>
      <c r="H72" s="1554"/>
      <c r="I72" s="1555"/>
      <c r="J72" s="1062"/>
      <c r="K72" s="1072"/>
      <c r="L72" s="179"/>
      <c r="M72" s="146" t="b">
        <v>0</v>
      </c>
    </row>
    <row r="73" spans="1:16" ht="29.95" customHeight="1">
      <c r="A73" s="228"/>
      <c r="B73" s="509"/>
      <c r="C73" s="496"/>
      <c r="D73" s="580"/>
      <c r="E73" s="191"/>
      <c r="F73" s="1540" t="s">
        <v>1054</v>
      </c>
      <c r="G73" s="1557"/>
      <c r="H73" s="1554"/>
      <c r="I73" s="1555"/>
      <c r="J73" s="1062"/>
      <c r="K73" s="1072"/>
      <c r="L73" s="179"/>
    </row>
    <row r="74" spans="1:16" ht="42.8" customHeight="1">
      <c r="B74" s="501"/>
      <c r="C74" s="496"/>
      <c r="D74" s="584"/>
      <c r="F74" s="1540" t="s">
        <v>1060</v>
      </c>
      <c r="G74" s="1557"/>
      <c r="H74" s="1554"/>
      <c r="I74" s="1555"/>
      <c r="J74" s="1062"/>
      <c r="K74" s="1072"/>
      <c r="L74" s="179"/>
    </row>
    <row r="75" spans="1:16" ht="15" customHeight="1">
      <c r="B75" s="501"/>
      <c r="C75" s="496"/>
      <c r="D75" s="585"/>
      <c r="F75" s="1542" t="s">
        <v>1055</v>
      </c>
      <c r="G75" s="1558"/>
      <c r="H75" s="1554"/>
      <c r="I75" s="1555"/>
      <c r="J75" s="1062"/>
      <c r="K75" s="1072"/>
      <c r="L75" s="179"/>
    </row>
    <row r="76" spans="1:16" ht="15" customHeight="1">
      <c r="B76" s="501"/>
      <c r="C76" s="496"/>
      <c r="D76" s="585"/>
      <c r="F76" s="1542" t="s">
        <v>1056</v>
      </c>
      <c r="G76" s="1558"/>
      <c r="H76" s="1554"/>
      <c r="I76" s="1555"/>
      <c r="J76" s="1062"/>
      <c r="K76" s="1072"/>
      <c r="L76" s="179"/>
    </row>
    <row r="77" spans="1:16" ht="29.95" customHeight="1">
      <c r="A77" s="228"/>
      <c r="B77" s="509"/>
      <c r="C77" s="496"/>
      <c r="D77" s="580"/>
      <c r="E77" s="191"/>
      <c r="F77" s="1540" t="s">
        <v>1057</v>
      </c>
      <c r="G77" s="1540"/>
      <c r="H77" s="1554"/>
      <c r="I77" s="1555"/>
      <c r="J77" s="1062"/>
      <c r="K77" s="1072"/>
      <c r="L77" s="179"/>
    </row>
    <row r="78" spans="1:16" ht="15" customHeight="1">
      <c r="B78" s="501"/>
      <c r="C78" s="496"/>
      <c r="D78" s="585"/>
      <c r="F78" s="1542" t="s">
        <v>1058</v>
      </c>
      <c r="G78" s="1542"/>
      <c r="H78" s="1554"/>
      <c r="I78" s="1555"/>
      <c r="J78" s="1062"/>
      <c r="K78" s="1072"/>
      <c r="L78" s="179"/>
    </row>
    <row r="79" spans="1:16" ht="16.600000000000001" customHeight="1">
      <c r="A79" s="228"/>
      <c r="B79" s="508"/>
      <c r="C79" s="496"/>
      <c r="D79" s="580"/>
      <c r="E79" s="579"/>
      <c r="F79" s="1517" t="s">
        <v>708</v>
      </c>
      <c r="G79" s="1517"/>
      <c r="H79" s="1554"/>
      <c r="I79" s="1555"/>
      <c r="J79" s="1062"/>
      <c r="K79" s="1072"/>
      <c r="L79" s="179"/>
      <c r="M79" s="146" t="b">
        <v>0</v>
      </c>
    </row>
    <row r="80" spans="1:16" ht="15" customHeight="1">
      <c r="B80" s="501"/>
      <c r="C80" s="496"/>
      <c r="D80" s="585"/>
      <c r="F80" s="1544" t="s">
        <v>709</v>
      </c>
      <c r="G80" s="1544"/>
      <c r="H80" s="1554"/>
      <c r="I80" s="1555"/>
      <c r="J80" s="1062"/>
      <c r="K80" s="1072"/>
      <c r="L80" s="179"/>
    </row>
    <row r="81" spans="1:17" ht="16.600000000000001" customHeight="1">
      <c r="A81" s="228"/>
      <c r="B81" s="508"/>
      <c r="C81" s="496"/>
      <c r="D81" s="580"/>
      <c r="E81" s="579"/>
      <c r="F81" s="1517" t="s">
        <v>710</v>
      </c>
      <c r="G81" s="1517"/>
      <c r="H81" s="1554"/>
      <c r="I81" s="1555"/>
      <c r="J81" s="1062"/>
      <c r="K81" s="1072"/>
      <c r="L81" s="179"/>
      <c r="M81" s="146" t="b">
        <v>0</v>
      </c>
    </row>
    <row r="82" spans="1:17" ht="16.600000000000001" customHeight="1">
      <c r="A82" s="228"/>
      <c r="B82" s="508"/>
      <c r="C82" s="496"/>
      <c r="D82" s="580"/>
      <c r="E82" s="579"/>
      <c r="F82" s="1517" t="s">
        <v>711</v>
      </c>
      <c r="G82" s="1517"/>
      <c r="H82" s="1554"/>
      <c r="I82" s="1555"/>
      <c r="J82" s="1062"/>
      <c r="K82" s="1072"/>
      <c r="L82" s="179"/>
      <c r="M82" s="146" t="b">
        <v>0</v>
      </c>
    </row>
    <row r="83" spans="1:17" ht="16.600000000000001" customHeight="1">
      <c r="A83" s="228"/>
      <c r="B83" s="508"/>
      <c r="C83" s="496"/>
      <c r="D83" s="580"/>
      <c r="E83" s="579"/>
      <c r="F83" s="1517" t="s">
        <v>712</v>
      </c>
      <c r="G83" s="1517"/>
      <c r="H83" s="1554"/>
      <c r="I83" s="1555"/>
      <c r="J83" s="1062"/>
      <c r="K83" s="1072"/>
      <c r="L83" s="179"/>
      <c r="M83" s="146" t="b">
        <v>0</v>
      </c>
    </row>
    <row r="84" spans="1:17" ht="29.95" customHeight="1">
      <c r="B84" s="501"/>
      <c r="C84" s="496"/>
      <c r="D84" s="585"/>
      <c r="F84" s="1556" t="s">
        <v>1050</v>
      </c>
      <c r="G84" s="1556"/>
      <c r="H84" s="1554"/>
      <c r="I84" s="1555"/>
      <c r="J84" s="1062"/>
      <c r="K84" s="1072"/>
      <c r="L84" s="179"/>
    </row>
    <row r="85" spans="1:17" ht="16.600000000000001" customHeight="1">
      <c r="A85" s="228"/>
      <c r="B85" s="508"/>
      <c r="C85" s="496"/>
      <c r="D85" s="580"/>
      <c r="E85" s="579"/>
      <c r="F85" s="581" t="s">
        <v>714</v>
      </c>
      <c r="G85" s="577"/>
      <c r="H85" s="1554"/>
      <c r="I85" s="1555"/>
      <c r="J85" s="1062"/>
      <c r="K85" s="1072"/>
      <c r="L85" s="179"/>
      <c r="M85" s="146" t="b">
        <v>0</v>
      </c>
    </row>
    <row r="86" spans="1:17" ht="15" customHeight="1">
      <c r="B86" s="501"/>
      <c r="C86" s="496"/>
      <c r="D86" s="585"/>
      <c r="F86" s="1556" t="s">
        <v>715</v>
      </c>
      <c r="G86" s="1556"/>
      <c r="H86" s="1554"/>
      <c r="I86" s="1555"/>
      <c r="J86" s="1062"/>
      <c r="K86" s="1072"/>
      <c r="L86" s="179"/>
    </row>
    <row r="87" spans="1:17" ht="16.600000000000001" customHeight="1">
      <c r="A87" s="228"/>
      <c r="B87" s="508"/>
      <c r="C87" s="496"/>
      <c r="D87" s="580"/>
      <c r="E87" s="579"/>
      <c r="F87" s="581" t="s">
        <v>716</v>
      </c>
      <c r="G87" s="577"/>
      <c r="H87" s="1554"/>
      <c r="I87" s="1555"/>
      <c r="J87" s="1062"/>
      <c r="K87" s="1072"/>
      <c r="L87" s="179"/>
      <c r="M87" s="146" t="b">
        <v>0</v>
      </c>
    </row>
    <row r="88" spans="1:17" ht="45.1" customHeight="1">
      <c r="B88" s="501"/>
      <c r="C88" s="1018"/>
      <c r="D88" s="585"/>
      <c r="F88" s="1556" t="s">
        <v>717</v>
      </c>
      <c r="G88" s="1556"/>
      <c r="H88" s="1546"/>
      <c r="I88" s="1547"/>
      <c r="J88" s="1059"/>
      <c r="K88" s="1075"/>
      <c r="L88" s="179"/>
    </row>
    <row r="89" spans="1:17" ht="16.7">
      <c r="B89" s="536"/>
      <c r="C89" s="1229" t="s">
        <v>799</v>
      </c>
      <c r="D89" s="1217"/>
      <c r="E89" s="1217"/>
      <c r="F89" s="1231"/>
      <c r="G89" s="1057"/>
      <c r="H89" s="1511"/>
      <c r="I89" s="1512"/>
      <c r="J89" s="1063"/>
      <c r="K89" s="1073" t="str">
        <f t="shared" ref="K89" si="26">IF(M89,IF(O89,$O$11*H89%,IF(P89,J89)),"")</f>
        <v/>
      </c>
      <c r="M89" s="146" t="b">
        <v>0</v>
      </c>
      <c r="O89" s="450" t="b">
        <f>AND(M89,OR(AND(G89="",J89=""),G89="v.H.-Satz"))</f>
        <v>0</v>
      </c>
      <c r="P89" s="450" t="b">
        <f t="shared" ref="P89" si="27">AND(M89,OR(AND(G89="",J89=""),G89="pauschal"))</f>
        <v>0</v>
      </c>
    </row>
    <row r="90" spans="1:17" ht="16.7">
      <c r="B90" s="359"/>
      <c r="C90" s="1216"/>
      <c r="D90" s="1092"/>
      <c r="E90" s="469"/>
      <c r="F90" s="1076"/>
      <c r="G90" s="1059"/>
      <c r="H90" s="1546"/>
      <c r="I90" s="1547"/>
      <c r="J90" s="1059"/>
      <c r="K90" s="1075"/>
      <c r="O90" s="575"/>
      <c r="P90" s="575"/>
    </row>
    <row r="91" spans="1:17" s="152" customFormat="1" ht="16.7">
      <c r="A91" s="1046"/>
      <c r="B91" s="536"/>
      <c r="C91" s="1229" t="s">
        <v>800</v>
      </c>
      <c r="D91" s="1217"/>
      <c r="E91" s="1217"/>
      <c r="F91" s="1231"/>
      <c r="G91" s="1057"/>
      <c r="H91" s="1511"/>
      <c r="I91" s="1512"/>
      <c r="J91" s="1063"/>
      <c r="K91" s="1073" t="str">
        <f t="shared" ref="K91" si="28">IF(M91,IF(O91,$O$11*H91%,IF(P91,J91)),"")</f>
        <v/>
      </c>
      <c r="L91" s="166"/>
      <c r="M91" s="146" t="b">
        <v>0</v>
      </c>
      <c r="N91" s="166"/>
      <c r="O91" s="450" t="b">
        <f>AND(M91,OR(AND(G91="",J91=""),G91="v.H.-Satz"))</f>
        <v>0</v>
      </c>
      <c r="P91" s="450" t="b">
        <f t="shared" ref="P91" si="29">AND(M91,OR(AND(G91="",J91=""),G91="pauschal"))</f>
        <v>0</v>
      </c>
      <c r="Q91" s="166"/>
    </row>
    <row r="92" spans="1:17" s="152" customFormat="1" ht="16.7">
      <c r="A92" s="1047"/>
      <c r="B92" s="359"/>
      <c r="C92" s="1216"/>
      <c r="D92" s="1092"/>
      <c r="E92" s="469"/>
      <c r="F92" s="1076"/>
      <c r="G92" s="1059"/>
      <c r="H92" s="1546"/>
      <c r="I92" s="1547"/>
      <c r="J92" s="1059"/>
      <c r="K92" s="1075"/>
      <c r="L92" s="166"/>
      <c r="M92" s="146"/>
      <c r="N92" s="166"/>
      <c r="O92" s="575"/>
      <c r="P92" s="575"/>
      <c r="Q92" s="166"/>
    </row>
    <row r="93" spans="1:17" ht="16.7">
      <c r="B93" s="97"/>
      <c r="C93" s="1213" t="s">
        <v>802</v>
      </c>
      <c r="D93" s="1217"/>
      <c r="E93" s="1217"/>
      <c r="F93" s="1231"/>
      <c r="G93" s="1057"/>
      <c r="H93" s="1511"/>
      <c r="I93" s="1512"/>
      <c r="J93" s="1063"/>
      <c r="K93" s="1073" t="str">
        <f t="shared" ref="K93" si="30">IF(M93,IF(O93,$O$11*H93%,IF(P93,J93)),"")</f>
        <v/>
      </c>
      <c r="M93" s="146" t="b">
        <v>0</v>
      </c>
      <c r="O93" s="450" t="b">
        <f>AND(M93,OR(AND(G93="",J93=""),G93="v.H.-Satz"))</f>
        <v>0</v>
      </c>
      <c r="P93" s="450" t="b">
        <f t="shared" ref="P93" si="31">AND(M93,OR(AND(G93="",J93=""),G93="pauschal"))</f>
        <v>0</v>
      </c>
    </row>
    <row r="94" spans="1:17" ht="17.3" thickBot="1">
      <c r="B94" s="349"/>
      <c r="C94" s="1216"/>
      <c r="D94" s="1092"/>
      <c r="E94" s="469"/>
      <c r="F94" s="1076"/>
      <c r="G94" s="1059"/>
      <c r="H94" s="1546"/>
      <c r="I94" s="1547"/>
      <c r="J94" s="1059"/>
      <c r="K94" s="1075"/>
      <c r="O94" s="575"/>
      <c r="P94" s="575"/>
    </row>
    <row r="95" spans="1:17" ht="22.5" customHeight="1" thickBot="1">
      <c r="B95" s="489"/>
      <c r="C95" s="490"/>
      <c r="D95" s="490"/>
      <c r="E95" s="490"/>
      <c r="F95" s="491"/>
      <c r="G95" s="492"/>
      <c r="H95" s="491"/>
      <c r="I95" s="491"/>
      <c r="J95" s="356" t="s">
        <v>1046</v>
      </c>
      <c r="K95" s="493">
        <f>IF($N$3,IF(COUNT(K61:K93)&gt;0,SUM(K61:K93),""),0)</f>
        <v>0</v>
      </c>
    </row>
    <row r="96" spans="1:17" ht="16.7">
      <c r="B96" s="494"/>
      <c r="C96" s="485"/>
      <c r="D96" s="485"/>
      <c r="E96" s="485"/>
      <c r="F96" s="486"/>
      <c r="G96" s="487"/>
      <c r="H96" s="486"/>
      <c r="I96" s="486"/>
      <c r="J96" s="382"/>
      <c r="K96" s="495"/>
    </row>
    <row r="97" spans="1:17" ht="22.5" customHeight="1">
      <c r="B97" s="42" t="s">
        <v>718</v>
      </c>
      <c r="C97" s="43"/>
      <c r="D97" s="43"/>
      <c r="E97" s="43"/>
      <c r="F97" s="43"/>
      <c r="G97" s="43"/>
      <c r="H97" s="400"/>
      <c r="I97" s="400"/>
      <c r="J97" s="497"/>
      <c r="K97" s="498"/>
    </row>
    <row r="98" spans="1:17" ht="16.7">
      <c r="B98" s="97"/>
      <c r="C98" s="1208" t="s">
        <v>57</v>
      </c>
      <c r="D98" s="1209"/>
      <c r="E98" s="1240"/>
      <c r="F98" s="1232" t="s">
        <v>721</v>
      </c>
      <c r="G98" s="1057"/>
      <c r="H98" s="1511"/>
      <c r="I98" s="1512"/>
      <c r="J98" s="1063"/>
      <c r="K98" s="1073" t="str">
        <f>IF(M98,IF(O98,$O$10*H98%,IF(P98,J98)),"")</f>
        <v/>
      </c>
      <c r="M98" s="146" t="b">
        <v>0</v>
      </c>
      <c r="O98" s="450" t="b">
        <f>AND(M98,OR(AND(G98="",J98=""),G98="v.H.-Satz"))</f>
        <v>0</v>
      </c>
      <c r="P98" s="450" t="b">
        <f t="shared" ref="P98" si="32">AND(M98,OR(AND(G98="",J98=""),G98="pauschal"))</f>
        <v>0</v>
      </c>
    </row>
    <row r="99" spans="1:17" ht="16.7">
      <c r="B99" s="349"/>
      <c r="C99" s="1212"/>
      <c r="D99" s="1092"/>
      <c r="E99" s="1071"/>
      <c r="F99" s="1066" t="s">
        <v>1051</v>
      </c>
      <c r="G99" s="1059"/>
      <c r="H99" s="1546"/>
      <c r="I99" s="1547"/>
      <c r="J99" s="1059"/>
      <c r="K99" s="1075"/>
      <c r="L99" s="152"/>
      <c r="M99" s="153"/>
      <c r="N99" s="152"/>
      <c r="O99" s="152"/>
      <c r="P99" s="152"/>
      <c r="Q99" s="152"/>
    </row>
    <row r="100" spans="1:17" ht="16.7">
      <c r="B100" s="97"/>
      <c r="C100" s="1213" t="s">
        <v>55</v>
      </c>
      <c r="D100" s="1184"/>
      <c r="E100" s="1240"/>
      <c r="F100" s="1232" t="s">
        <v>1052</v>
      </c>
      <c r="G100" s="1057"/>
      <c r="H100" s="1511"/>
      <c r="I100" s="1512"/>
      <c r="J100" s="1063"/>
      <c r="K100" s="1073" t="str">
        <f>IF(M100,IF(O100,$O$10*H100%,IF(P100,J100)),"")</f>
        <v/>
      </c>
      <c r="M100" s="146" t="b">
        <v>0</v>
      </c>
      <c r="O100" s="450" t="b">
        <f>AND(M100,OR(AND(G100="",J100=""),G100="v.H.-Satz"))</f>
        <v>0</v>
      </c>
      <c r="P100" s="450" t="b">
        <f t="shared" ref="P100" si="33">AND(M100,OR(AND(G100="",J100=""),G100="pauschal"))</f>
        <v>0</v>
      </c>
    </row>
    <row r="101" spans="1:17" ht="16.7">
      <c r="B101" s="349"/>
      <c r="C101" s="1216"/>
      <c r="D101" s="1092"/>
      <c r="E101" s="1071"/>
      <c r="F101" s="1066" t="s">
        <v>1053</v>
      </c>
      <c r="G101" s="1059"/>
      <c r="H101" s="1546"/>
      <c r="I101" s="1547"/>
      <c r="J101" s="1059"/>
      <c r="K101" s="1075"/>
    </row>
    <row r="102" spans="1:17" ht="16.7">
      <c r="B102" s="527"/>
      <c r="C102" s="1213" t="s">
        <v>53</v>
      </c>
      <c r="D102" s="1217"/>
      <c r="E102" s="1217"/>
      <c r="F102" s="1231"/>
      <c r="G102" s="1057"/>
      <c r="H102" s="1511"/>
      <c r="I102" s="1512"/>
      <c r="J102" s="1063"/>
      <c r="K102" s="1073" t="str">
        <f>IF(M102,IF(O102,$O$10*H102%,IF(P102,J102)),"")</f>
        <v/>
      </c>
      <c r="M102" s="146" t="b">
        <v>0</v>
      </c>
      <c r="O102" s="450" t="b">
        <f>AND(M102,OR(AND(G102="",J102=""),G102="v.H.-Satz"))</f>
        <v>0</v>
      </c>
      <c r="P102" s="450" t="b">
        <f t="shared" ref="P102" si="34">AND(M102,OR(AND(G102="",J102=""),G102="pauschal"))</f>
        <v>0</v>
      </c>
    </row>
    <row r="103" spans="1:17" ht="16.7">
      <c r="B103" s="349"/>
      <c r="C103" s="1216"/>
      <c r="D103" s="1092"/>
      <c r="E103" s="469"/>
      <c r="F103" s="1076"/>
      <c r="G103" s="1059"/>
      <c r="H103" s="1546"/>
      <c r="I103" s="1547"/>
      <c r="J103" s="1059"/>
      <c r="K103" s="1075"/>
      <c r="O103" s="575"/>
      <c r="P103" s="575"/>
    </row>
    <row r="104" spans="1:17" ht="16.7">
      <c r="B104" s="536"/>
      <c r="C104" s="1229" t="s">
        <v>51</v>
      </c>
      <c r="D104" s="1217"/>
      <c r="E104" s="1217"/>
      <c r="F104" s="1231"/>
      <c r="G104" s="1057"/>
      <c r="H104" s="1511"/>
      <c r="I104" s="1512"/>
      <c r="J104" s="1063"/>
      <c r="K104" s="1073" t="str">
        <f>IF(M104,IF(O104,$O$10*H104%,IF(P104,J104)),"")</f>
        <v/>
      </c>
      <c r="M104" s="146" t="b">
        <v>0</v>
      </c>
      <c r="O104" s="450" t="b">
        <f>AND(M104,OR(AND(G104="",J104=""),G104="v.H.-Satz"))</f>
        <v>0</v>
      </c>
      <c r="P104" s="450" t="b">
        <f t="shared" ref="P104" si="35">AND(M104,OR(AND(G104="",J104=""),G104="pauschal"))</f>
        <v>0</v>
      </c>
    </row>
    <row r="105" spans="1:17" ht="16.7">
      <c r="B105" s="359"/>
      <c r="C105" s="1216"/>
      <c r="D105" s="1092"/>
      <c r="E105" s="469"/>
      <c r="F105" s="1076"/>
      <c r="G105" s="1059"/>
      <c r="H105" s="1546"/>
      <c r="I105" s="1547"/>
      <c r="J105" s="1059"/>
      <c r="K105" s="1075"/>
      <c r="O105" s="575"/>
      <c r="P105" s="575"/>
    </row>
    <row r="106" spans="1:17" s="152" customFormat="1" ht="16.7">
      <c r="A106" s="1046"/>
      <c r="B106" s="536"/>
      <c r="C106" s="1229" t="s">
        <v>138</v>
      </c>
      <c r="D106" s="1217"/>
      <c r="E106" s="1217"/>
      <c r="F106" s="1231"/>
      <c r="G106" s="1057"/>
      <c r="H106" s="1511"/>
      <c r="I106" s="1512"/>
      <c r="J106" s="1063"/>
      <c r="K106" s="1073" t="str">
        <f>IF(M106,IF(O106,$O$10*H106%,IF(P106,J106)),"")</f>
        <v/>
      </c>
      <c r="L106" s="166"/>
      <c r="M106" s="146" t="b">
        <v>0</v>
      </c>
      <c r="N106" s="166"/>
      <c r="O106" s="450" t="b">
        <f>AND(M106,OR(AND(G106="",J106=""),G106="v.H.-Satz"))</f>
        <v>0</v>
      </c>
      <c r="P106" s="450" t="b">
        <f t="shared" ref="P106" si="36">AND(M106,OR(AND(G106="",J106=""),G106="pauschal"))</f>
        <v>0</v>
      </c>
      <c r="Q106" s="166"/>
    </row>
    <row r="107" spans="1:17" s="152" customFormat="1" ht="16.7">
      <c r="A107" s="1047"/>
      <c r="B107" s="359"/>
      <c r="C107" s="1216"/>
      <c r="D107" s="1092"/>
      <c r="E107" s="469"/>
      <c r="F107" s="1076"/>
      <c r="G107" s="1059"/>
      <c r="H107" s="1546"/>
      <c r="I107" s="1547"/>
      <c r="J107" s="1059"/>
      <c r="K107" s="1075"/>
      <c r="L107" s="166"/>
      <c r="M107" s="146"/>
      <c r="N107" s="166"/>
      <c r="O107" s="575"/>
      <c r="P107" s="575"/>
      <c r="Q107" s="166"/>
    </row>
    <row r="108" spans="1:17" ht="16.7">
      <c r="B108" s="97"/>
      <c r="C108" s="1213" t="s">
        <v>801</v>
      </c>
      <c r="D108" s="1217"/>
      <c r="E108" s="1217"/>
      <c r="F108" s="1231"/>
      <c r="G108" s="1057"/>
      <c r="H108" s="1511"/>
      <c r="I108" s="1512"/>
      <c r="J108" s="1063"/>
      <c r="K108" s="1073" t="str">
        <f>IF(M108,IF(O108,$O$10*H108%,IF(P108,J108)),"")</f>
        <v/>
      </c>
      <c r="M108" s="146" t="b">
        <v>0</v>
      </c>
      <c r="O108" s="450" t="b">
        <f>AND(M108,OR(AND(G108="",J108=""),G108="v.H.-Satz"))</f>
        <v>0</v>
      </c>
      <c r="P108" s="450" t="b">
        <f t="shared" ref="P108" si="37">AND(M108,OR(AND(G108="",J108=""),G108="pauschal"))</f>
        <v>0</v>
      </c>
    </row>
    <row r="109" spans="1:17" ht="17.3" thickBot="1">
      <c r="B109" s="349"/>
      <c r="C109" s="1216"/>
      <c r="D109" s="1092"/>
      <c r="E109" s="469"/>
      <c r="F109" s="1076"/>
      <c r="G109" s="1059"/>
      <c r="H109" s="1546"/>
      <c r="I109" s="1547"/>
      <c r="J109" s="1059"/>
      <c r="K109" s="1075"/>
      <c r="O109" s="575"/>
      <c r="P109" s="575"/>
    </row>
    <row r="110" spans="1:17" ht="22.5" customHeight="1" thickBot="1">
      <c r="B110" s="489"/>
      <c r="C110" s="490" t="s">
        <v>11</v>
      </c>
      <c r="D110" s="490"/>
      <c r="E110" s="490"/>
      <c r="F110" s="491"/>
      <c r="G110" s="492"/>
      <c r="H110" s="491"/>
      <c r="I110" s="491"/>
      <c r="J110" s="356" t="s">
        <v>1045</v>
      </c>
      <c r="K110" s="493">
        <f>IF($N$3,IF(COUNT(K98:K109)&gt;0,SUM(K98:K109),""),0)</f>
        <v>0</v>
      </c>
    </row>
    <row r="111" spans="1:17" ht="17.3" thickBot="1">
      <c r="B111" s="166"/>
      <c r="C111" s="170"/>
      <c r="D111" s="166"/>
      <c r="E111" s="166"/>
      <c r="F111" s="166"/>
      <c r="G111" s="166"/>
      <c r="H111" s="166"/>
      <c r="I111" s="166"/>
      <c r="J111" s="166"/>
      <c r="K111" s="177"/>
    </row>
    <row r="112" spans="1:17" ht="29.95" customHeight="1" thickBot="1">
      <c r="B112" s="534"/>
      <c r="C112" s="528" t="s">
        <v>11</v>
      </c>
      <c r="D112" s="529"/>
      <c r="E112" s="529"/>
      <c r="F112" s="530"/>
      <c r="G112" s="531"/>
      <c r="H112" s="530"/>
      <c r="I112" s="530"/>
      <c r="J112" s="532" t="s">
        <v>1070</v>
      </c>
      <c r="K112" s="533">
        <f>IF(COUNT(K28,K43,K58,K95,K110)&gt;0,SUM(K28,,K43,K58,K95,K110),"")</f>
        <v>0</v>
      </c>
    </row>
    <row r="113" spans="2:11" ht="12.85" customHeight="1">
      <c r="B113" s="176"/>
      <c r="C113" s="467"/>
      <c r="D113" s="176"/>
      <c r="E113" s="176"/>
      <c r="F113" s="176"/>
      <c r="G113" s="176"/>
      <c r="H113" s="176"/>
      <c r="I113" s="176"/>
      <c r="J113" s="176"/>
      <c r="K113" s="178"/>
    </row>
    <row r="114" spans="2:11" ht="16.7"/>
    <row r="115" spans="2:11" ht="16.7" hidden="1"/>
    <row r="116" spans="2:11" ht="16.7" hidden="1"/>
    <row r="117" spans="2:11" ht="16.7" hidden="1"/>
    <row r="118" spans="2:11" ht="16.7" hidden="1"/>
    <row r="119" spans="2:11" ht="16.7" hidden="1"/>
    <row r="120" spans="2:11" ht="16.7" hidden="1"/>
    <row r="121" spans="2:11" ht="16.7" hidden="1"/>
    <row r="122" spans="2:11" ht="16.7" hidden="1"/>
    <row r="123" spans="2:11" ht="16.7" hidden="1"/>
    <row r="124" spans="2:11" ht="16.7" hidden="1"/>
    <row r="125" spans="2:11" ht="16.7" hidden="1"/>
    <row r="126" spans="2:11" ht="16.7" hidden="1"/>
    <row r="127" spans="2:11" ht="16.7" hidden="1"/>
    <row r="128" spans="2:11" ht="16.7" hidden="1"/>
    <row r="129" ht="16.7" hidden="1"/>
    <row r="130" ht="16.7" hidden="1"/>
    <row r="131" ht="16.7" hidden="1"/>
    <row r="132" ht="16.7" hidden="1"/>
    <row r="133" ht="16.7" hidden="1"/>
    <row r="134" ht="16.7" hidden="1"/>
    <row r="135" ht="16.7" hidden="1"/>
    <row r="136" ht="16.7" hidden="1"/>
    <row r="137" ht="13.1" hidden="1" customHeight="1"/>
    <row r="138" ht="13.1" hidden="1" customHeight="1"/>
    <row r="139" ht="13.1" hidden="1" customHeight="1"/>
    <row r="140" ht="13.1" hidden="1" customHeight="1"/>
    <row r="141" ht="13.1" hidden="1" customHeight="1"/>
    <row r="142" ht="13.1" hidden="1" customHeight="1"/>
    <row r="143" ht="13.1" hidden="1" customHeight="1"/>
    <row r="144" ht="13.1" hidden="1" customHeight="1"/>
    <row r="145" ht="13.1" hidden="1" customHeight="1"/>
    <row r="146" ht="13.1" hidden="1" customHeight="1"/>
    <row r="147" ht="13.1" hidden="1" customHeight="1"/>
    <row r="148" ht="13.1" hidden="1" customHeight="1"/>
    <row r="149" ht="13.1" hidden="1" customHeight="1"/>
    <row r="150" ht="13.1" hidden="1" customHeight="1"/>
    <row r="151" ht="13.1" hidden="1" customHeight="1"/>
    <row r="152" ht="13.1" hidden="1" customHeight="1"/>
    <row r="153" ht="13.1" hidden="1" customHeight="1"/>
    <row r="154" ht="13.1" hidden="1" customHeight="1"/>
    <row r="155" ht="13.1" hidden="1" customHeight="1"/>
    <row r="156" ht="13.1" hidden="1" customHeight="1"/>
    <row r="157" ht="13.1" hidden="1" customHeight="1"/>
    <row r="158" ht="13.1" hidden="1" customHeight="1"/>
    <row r="159" ht="13.1" hidden="1" customHeight="1"/>
    <row r="160" ht="13.1" hidden="1" customHeight="1"/>
    <row r="161" ht="13.1" hidden="1" customHeight="1"/>
    <row r="162" ht="13.1" hidden="1" customHeight="1"/>
    <row r="163" ht="13.1" hidden="1" customHeight="1"/>
    <row r="164" ht="13.1" hidden="1" customHeight="1"/>
    <row r="165" ht="13.1" hidden="1" customHeight="1"/>
    <row r="166" ht="13.1" hidden="1" customHeight="1"/>
    <row r="167" ht="13.1" hidden="1" customHeight="1"/>
    <row r="168" ht="13.1" hidden="1" customHeight="1"/>
    <row r="169" ht="13.1" hidden="1" customHeight="1"/>
    <row r="170" ht="13.1" hidden="1" customHeight="1"/>
    <row r="171" ht="13.1" hidden="1" customHeight="1"/>
    <row r="172" ht="13.1" hidden="1" customHeight="1"/>
    <row r="173" ht="13.1" hidden="1" customHeight="1"/>
    <row r="174" ht="13.1" hidden="1" customHeight="1"/>
    <row r="175" ht="13.1" hidden="1" customHeight="1"/>
    <row r="176" ht="13.1" hidden="1" customHeight="1"/>
    <row r="177" ht="13.1" hidden="1" customHeight="1"/>
    <row r="178" ht="13.1" hidden="1" customHeight="1"/>
    <row r="179" ht="13.1" hidden="1" customHeight="1"/>
    <row r="180" ht="13.1" hidden="1" customHeight="1"/>
    <row r="181" ht="13.1" hidden="1" customHeight="1"/>
    <row r="182" ht="13.1" hidden="1" customHeight="1"/>
    <row r="183" ht="13.1" hidden="1" customHeight="1"/>
    <row r="184" ht="13.1" hidden="1" customHeight="1"/>
    <row r="185" ht="13.1" hidden="1" customHeight="1"/>
    <row r="186" ht="13.1" hidden="1" customHeight="1"/>
    <row r="187" ht="13.1" hidden="1" customHeight="1"/>
    <row r="188" ht="13.1" hidden="1" customHeight="1"/>
    <row r="189" ht="13.1" hidden="1" customHeight="1"/>
    <row r="190" ht="13.1" hidden="1" customHeight="1"/>
    <row r="191" ht="13.1" hidden="1" customHeight="1"/>
    <row r="192" ht="13.1" hidden="1" customHeight="1"/>
    <row r="193" ht="13.1" hidden="1" customHeight="1"/>
    <row r="194" ht="13.1" hidden="1" customHeight="1"/>
    <row r="195" ht="13.1" hidden="1" customHeight="1"/>
    <row r="196" ht="13.1" hidden="1" customHeight="1"/>
    <row r="197" ht="13.1" hidden="1" customHeight="1"/>
    <row r="198" ht="13.1" hidden="1" customHeight="1"/>
    <row r="199" ht="13.1" hidden="1" customHeight="1"/>
    <row r="200" ht="13.1" hidden="1" customHeight="1"/>
    <row r="201" ht="13.1" hidden="1" customHeight="1"/>
    <row r="202" ht="13.1" hidden="1" customHeight="1"/>
    <row r="203" ht="13.1" hidden="1" customHeight="1"/>
    <row r="204" ht="13.1" hidden="1" customHeight="1"/>
    <row r="205" ht="13.1" hidden="1" customHeight="1"/>
    <row r="206" ht="13.1" hidden="1" customHeight="1"/>
    <row r="207" ht="13.1" hidden="1" customHeight="1"/>
    <row r="208" ht="13.1" hidden="1" customHeight="1"/>
    <row r="209" ht="13.1" hidden="1" customHeight="1"/>
    <row r="210" ht="13.1" hidden="1" customHeight="1"/>
    <row r="211" ht="13.1" hidden="1" customHeight="1"/>
    <row r="212" ht="13.1" hidden="1" customHeight="1"/>
    <row r="213" ht="13.1" hidden="1" customHeight="1"/>
    <row r="214" ht="13.1" hidden="1" customHeight="1"/>
    <row r="215" ht="13.1" hidden="1" customHeight="1"/>
    <row r="216" ht="13.1" hidden="1" customHeight="1"/>
    <row r="217" ht="13.1" hidden="1" customHeight="1"/>
    <row r="218" ht="13.1" hidden="1" customHeight="1"/>
    <row r="219" ht="13.1" hidden="1" customHeight="1"/>
    <row r="220" ht="13.1" hidden="1" customHeight="1"/>
    <row r="221" ht="13.1" hidden="1" customHeight="1"/>
    <row r="222" ht="13.1" hidden="1" customHeight="1"/>
    <row r="223" ht="13.1" hidden="1" customHeight="1"/>
    <row r="224" ht="13.1" hidden="1" customHeight="1"/>
    <row r="225" ht="13.1" hidden="1" customHeight="1"/>
    <row r="226" ht="13.1" hidden="1" customHeight="1"/>
    <row r="227" ht="13.1" hidden="1" customHeight="1"/>
    <row r="228" ht="13.1" hidden="1" customHeight="1"/>
    <row r="229" ht="13.1" hidden="1" customHeight="1"/>
    <row r="230" ht="13.1" hidden="1" customHeight="1"/>
    <row r="231" ht="13.1" hidden="1" customHeight="1"/>
    <row r="232" ht="13.1" hidden="1" customHeight="1"/>
    <row r="233" ht="13.1" hidden="1" customHeight="1"/>
    <row r="234" ht="13.1" hidden="1" customHeight="1"/>
    <row r="235" ht="13.1" hidden="1" customHeight="1"/>
    <row r="236" ht="13.1" hidden="1" customHeight="1"/>
    <row r="237" ht="13.1" hidden="1" customHeight="1"/>
    <row r="238" ht="13.1" hidden="1" customHeight="1"/>
    <row r="239" ht="13.1" hidden="1" customHeight="1"/>
    <row r="240" ht="13.1" hidden="1" customHeight="1"/>
    <row r="241" ht="13.1" hidden="1" customHeight="1"/>
    <row r="242" ht="13.1" hidden="1" customHeight="1"/>
    <row r="243" ht="13.1" hidden="1" customHeight="1"/>
    <row r="244" ht="13.1" hidden="1" customHeight="1"/>
    <row r="245" ht="13.1" hidden="1" customHeight="1"/>
    <row r="246" ht="13.1" hidden="1" customHeight="1"/>
    <row r="247" ht="13.1" hidden="1" customHeight="1"/>
    <row r="248" ht="13.1" hidden="1" customHeight="1"/>
    <row r="249" ht="13.1" hidden="1" customHeight="1"/>
    <row r="250" ht="13.1" hidden="1" customHeight="1"/>
    <row r="251" ht="13.1" hidden="1" customHeight="1"/>
    <row r="252" ht="13.1" hidden="1" customHeight="1"/>
    <row r="253" ht="13.1" hidden="1" customHeight="1"/>
    <row r="254" ht="13.1" hidden="1" customHeight="1"/>
    <row r="255" ht="13.1" hidden="1" customHeight="1"/>
    <row r="256" ht="13.1" hidden="1" customHeight="1"/>
    <row r="257" ht="13.1" hidden="1" customHeight="1"/>
    <row r="258" ht="13.1" hidden="1" customHeight="1"/>
    <row r="259" ht="13.1" hidden="1" customHeight="1"/>
    <row r="260" ht="13.1" hidden="1" customHeight="1"/>
    <row r="261" ht="13.1" hidden="1" customHeight="1"/>
    <row r="262" ht="13.1" hidden="1" customHeight="1"/>
    <row r="263" ht="13.1" hidden="1" customHeight="1"/>
    <row r="264" ht="13.1" hidden="1" customHeight="1"/>
    <row r="265" ht="13.1" hidden="1" customHeight="1"/>
    <row r="266" ht="13.1" hidden="1" customHeight="1"/>
    <row r="267" ht="13.1" hidden="1" customHeight="1"/>
    <row r="268" ht="13.1" hidden="1" customHeight="1"/>
    <row r="269" ht="13.1" hidden="1" customHeight="1"/>
    <row r="270" ht="13.1" hidden="1" customHeight="1"/>
    <row r="271" ht="13.1" hidden="1" customHeight="1"/>
    <row r="272" ht="13.1" hidden="1" customHeight="1"/>
    <row r="273" ht="13.1" hidden="1" customHeight="1"/>
    <row r="274" ht="13.1" hidden="1" customHeight="1"/>
    <row r="275" ht="13.1" hidden="1" customHeight="1"/>
    <row r="276" ht="13.1" hidden="1" customHeight="1"/>
  </sheetData>
  <sheetProtection sheet="1" formatRows="0"/>
  <dataConsolidate/>
  <mergeCells count="110">
    <mergeCell ref="H21:I21"/>
    <mergeCell ref="H82:I82"/>
    <mergeCell ref="H83:I83"/>
    <mergeCell ref="H74:I74"/>
    <mergeCell ref="H75:I75"/>
    <mergeCell ref="H76:I76"/>
    <mergeCell ref="H77:I77"/>
    <mergeCell ref="H78:I78"/>
    <mergeCell ref="H62:I62"/>
    <mergeCell ref="H64:I64"/>
    <mergeCell ref="H79:I79"/>
    <mergeCell ref="H80:I80"/>
    <mergeCell ref="H81:I81"/>
    <mergeCell ref="H73:I73"/>
    <mergeCell ref="H71:I71"/>
    <mergeCell ref="H72:I72"/>
    <mergeCell ref="H27:I27"/>
    <mergeCell ref="H32:I32"/>
    <mergeCell ref="H34:I34"/>
    <mergeCell ref="H31:I31"/>
    <mergeCell ref="H33:I33"/>
    <mergeCell ref="H69:I69"/>
    <mergeCell ref="H66:I66"/>
    <mergeCell ref="H35:I35"/>
    <mergeCell ref="H109:I109"/>
    <mergeCell ref="H90:I90"/>
    <mergeCell ref="H92:I92"/>
    <mergeCell ref="H94:I94"/>
    <mergeCell ref="H99:I99"/>
    <mergeCell ref="H101:I101"/>
    <mergeCell ref="H84:I84"/>
    <mergeCell ref="H85:I85"/>
    <mergeCell ref="H86:I86"/>
    <mergeCell ref="H87:I87"/>
    <mergeCell ref="H88:I88"/>
    <mergeCell ref="H102:I102"/>
    <mergeCell ref="H104:I104"/>
    <mergeCell ref="H106:I106"/>
    <mergeCell ref="H108:I108"/>
    <mergeCell ref="H98:I98"/>
    <mergeCell ref="H100:I100"/>
    <mergeCell ref="H103:I103"/>
    <mergeCell ref="H105:I105"/>
    <mergeCell ref="H107:I107"/>
    <mergeCell ref="H89:I89"/>
    <mergeCell ref="H91:I91"/>
    <mergeCell ref="H93:I93"/>
    <mergeCell ref="H65:I65"/>
    <mergeCell ref="F84:G84"/>
    <mergeCell ref="F86:G86"/>
    <mergeCell ref="F88:G88"/>
    <mergeCell ref="F73:G73"/>
    <mergeCell ref="F74:G74"/>
    <mergeCell ref="F75:G75"/>
    <mergeCell ref="F76:G76"/>
    <mergeCell ref="F77:G77"/>
    <mergeCell ref="F78:G78"/>
    <mergeCell ref="F79:G79"/>
    <mergeCell ref="F80:G80"/>
    <mergeCell ref="F81:G81"/>
    <mergeCell ref="F82:G82"/>
    <mergeCell ref="F83:G83"/>
    <mergeCell ref="H17:I17"/>
    <mergeCell ref="H63:I63"/>
    <mergeCell ref="H70:I70"/>
    <mergeCell ref="H68:I68"/>
    <mergeCell ref="H53:I53"/>
    <mergeCell ref="H55:I55"/>
    <mergeCell ref="H57:I57"/>
    <mergeCell ref="H36:I36"/>
    <mergeCell ref="H38:I38"/>
    <mergeCell ref="H40:I40"/>
    <mergeCell ref="H42:I42"/>
    <mergeCell ref="H47:I47"/>
    <mergeCell ref="H49:I49"/>
    <mergeCell ref="H54:I54"/>
    <mergeCell ref="H56:I56"/>
    <mergeCell ref="H61:I61"/>
    <mergeCell ref="H41:I41"/>
    <mergeCell ref="H46:I46"/>
    <mergeCell ref="H48:I48"/>
    <mergeCell ref="H50:I50"/>
    <mergeCell ref="H52:I52"/>
    <mergeCell ref="H51:I51"/>
    <mergeCell ref="H37:I37"/>
    <mergeCell ref="H39:I39"/>
    <mergeCell ref="H19:I19"/>
    <mergeCell ref="H67:I67"/>
    <mergeCell ref="H3:I3"/>
    <mergeCell ref="B10:F10"/>
    <mergeCell ref="H10:I10"/>
    <mergeCell ref="H26:I26"/>
    <mergeCell ref="L2:L8"/>
    <mergeCell ref="B3:G3"/>
    <mergeCell ref="H14:I14"/>
    <mergeCell ref="H16:I16"/>
    <mergeCell ref="H18:I18"/>
    <mergeCell ref="H20:I20"/>
    <mergeCell ref="H22:I22"/>
    <mergeCell ref="H24:I24"/>
    <mergeCell ref="H2:I2"/>
    <mergeCell ref="B2:G2"/>
    <mergeCell ref="H5:I5"/>
    <mergeCell ref="H23:I23"/>
    <mergeCell ref="H25:I25"/>
    <mergeCell ref="F5:G5"/>
    <mergeCell ref="F6:G6"/>
    <mergeCell ref="F7:K7"/>
    <mergeCell ref="F8:K8"/>
    <mergeCell ref="H15:I15"/>
  </mergeCells>
  <conditionalFormatting sqref="B14:B27">
    <cfRule type="expression" dxfId="712" priority="966">
      <formula>NOT($N$3)</formula>
    </cfRule>
  </conditionalFormatting>
  <conditionalFormatting sqref="B31:B42">
    <cfRule type="expression" dxfId="711" priority="918">
      <formula>NOT($N$3)</formula>
    </cfRule>
  </conditionalFormatting>
  <conditionalFormatting sqref="B46:B57">
    <cfRule type="expression" dxfId="710" priority="902">
      <formula>NOT($N$3)</formula>
    </cfRule>
  </conditionalFormatting>
  <conditionalFormatting sqref="B61:B94">
    <cfRule type="expression" dxfId="709" priority="1190">
      <formula>NOT($N$3)</formula>
    </cfRule>
  </conditionalFormatting>
  <conditionalFormatting sqref="B98:B109">
    <cfRule type="expression" dxfId="708" priority="1096">
      <formula>NOT($N$3)</formula>
    </cfRule>
  </conditionalFormatting>
  <conditionalFormatting sqref="C14:K27">
    <cfRule type="expression" dxfId="707" priority="647">
      <formula>NOT($N$3)</formula>
    </cfRule>
  </conditionalFormatting>
  <conditionalFormatting sqref="C62:K62">
    <cfRule type="expression" dxfId="706" priority="107">
      <formula>NOT($N$3)</formula>
    </cfRule>
  </conditionalFormatting>
  <conditionalFormatting sqref="C66:K66">
    <cfRule type="expression" dxfId="705" priority="105">
      <formula>NOT($N$3)</formula>
    </cfRule>
  </conditionalFormatting>
  <conditionalFormatting sqref="C68:K68">
    <cfRule type="expression" dxfId="704" priority="103">
      <formula>NOT($N$3)</formula>
    </cfRule>
  </conditionalFormatting>
  <conditionalFormatting sqref="F20">
    <cfRule type="expression" dxfId="703" priority="84">
      <formula>NOT($M20)</formula>
    </cfRule>
    <cfRule type="expression" dxfId="702" priority="85">
      <formula>AND($M20,F20="")</formula>
    </cfRule>
    <cfRule type="expression" dxfId="701" priority="658">
      <formula>AND($M20,F20="")</formula>
    </cfRule>
  </conditionalFormatting>
  <conditionalFormatting sqref="F21">
    <cfRule type="expression" dxfId="700" priority="83">
      <formula>NOT($M20)</formula>
    </cfRule>
    <cfRule type="expression" dxfId="699" priority="654">
      <formula>NOT($M20)</formula>
    </cfRule>
  </conditionalFormatting>
  <conditionalFormatting sqref="F22">
    <cfRule type="expression" dxfId="698" priority="653">
      <formula>NOT($M22)</formula>
    </cfRule>
    <cfRule type="expression" dxfId="697" priority="655">
      <formula>AND($M22,F22="")</formula>
    </cfRule>
  </conditionalFormatting>
  <conditionalFormatting sqref="F23">
    <cfRule type="expression" dxfId="696" priority="650">
      <formula>NOT($M22)</formula>
    </cfRule>
  </conditionalFormatting>
  <conditionalFormatting sqref="F24">
    <cfRule type="expression" dxfId="695" priority="82">
      <formula>AND($M24,F24="")</formula>
    </cfRule>
    <cfRule type="expression" dxfId="694" priority="619">
      <formula>AND($M24,F24="")</formula>
    </cfRule>
    <cfRule type="expression" dxfId="693" priority="81">
      <formula>NOT($M24)</formula>
    </cfRule>
  </conditionalFormatting>
  <conditionalFormatting sqref="F25">
    <cfRule type="expression" dxfId="692" priority="80">
      <formula>NOT($M24)</formula>
    </cfRule>
    <cfRule type="expression" dxfId="691" priority="616">
      <formula>NOT($M24)</formula>
    </cfRule>
  </conditionalFormatting>
  <conditionalFormatting sqref="F26">
    <cfRule type="expression" dxfId="690" priority="651">
      <formula>AND($M26,F26="")</formula>
    </cfRule>
    <cfRule type="expression" dxfId="689" priority="79">
      <formula>AND($M26,F26="")</formula>
    </cfRule>
    <cfRule type="expression" dxfId="688" priority="78">
      <formula>NOT($M26)</formula>
    </cfRule>
  </conditionalFormatting>
  <conditionalFormatting sqref="F27">
    <cfRule type="expression" dxfId="687" priority="646">
      <formula>NOT($M26)</formula>
    </cfRule>
    <cfRule type="expression" dxfId="686" priority="77">
      <formula>NOT($M26)</formula>
    </cfRule>
  </conditionalFormatting>
  <conditionalFormatting sqref="F31">
    <cfRule type="expression" dxfId="685" priority="76">
      <formula>AND($M31,F31="")</formula>
    </cfRule>
    <cfRule type="expression" dxfId="684" priority="75">
      <formula>NOT($M31)</formula>
    </cfRule>
  </conditionalFormatting>
  <conditionalFormatting sqref="F31:F42">
    <cfRule type="expression" dxfId="683" priority="53">
      <formula>NOT($N$3)</formula>
    </cfRule>
  </conditionalFormatting>
  <conditionalFormatting sqref="F32">
    <cfRule type="expression" dxfId="682" priority="74">
      <formula>NOT($M31)</formula>
    </cfRule>
  </conditionalFormatting>
  <conditionalFormatting sqref="F33">
    <cfRule type="expression" dxfId="681" priority="72">
      <formula>AND($M33,F33="")</formula>
    </cfRule>
    <cfRule type="expression" dxfId="680" priority="71">
      <formula>NOT($M33)</formula>
    </cfRule>
  </conditionalFormatting>
  <conditionalFormatting sqref="F34">
    <cfRule type="expression" dxfId="679" priority="70">
      <formula>NOT($M33)</formula>
    </cfRule>
  </conditionalFormatting>
  <conditionalFormatting sqref="F35">
    <cfRule type="expression" dxfId="678" priority="67">
      <formula>NOT($M35)</formula>
    </cfRule>
    <cfRule type="expression" dxfId="677" priority="68">
      <formula>AND($M35,F35="")</formula>
    </cfRule>
  </conditionalFormatting>
  <conditionalFormatting sqref="F36">
    <cfRule type="expression" dxfId="676" priority="66">
      <formula>NOT($M35)</formula>
    </cfRule>
  </conditionalFormatting>
  <conditionalFormatting sqref="F37">
    <cfRule type="expression" dxfId="675" priority="63">
      <formula>NOT($M37)</formula>
    </cfRule>
    <cfRule type="expression" dxfId="674" priority="64">
      <formula>AND($M37,F37="")</formula>
    </cfRule>
  </conditionalFormatting>
  <conditionalFormatting sqref="F38">
    <cfRule type="expression" dxfId="673" priority="62">
      <formula>NOT($M37)</formula>
    </cfRule>
  </conditionalFormatting>
  <conditionalFormatting sqref="F39">
    <cfRule type="expression" dxfId="672" priority="59">
      <formula>NOT($M39)</formula>
    </cfRule>
    <cfRule type="expression" dxfId="671" priority="60">
      <formula>AND($M39,F39="")</formula>
    </cfRule>
  </conditionalFormatting>
  <conditionalFormatting sqref="F40">
    <cfRule type="expression" dxfId="670" priority="58">
      <formula>NOT($M39)</formula>
    </cfRule>
  </conditionalFormatting>
  <conditionalFormatting sqref="F41">
    <cfRule type="expression" dxfId="669" priority="55">
      <formula>NOT($M41)</formula>
    </cfRule>
    <cfRule type="expression" dxfId="668" priority="56">
      <formula>AND($M41,F41="")</formula>
    </cfRule>
  </conditionalFormatting>
  <conditionalFormatting sqref="F42">
    <cfRule type="expression" dxfId="667" priority="54">
      <formula>NOT($M41)</formula>
    </cfRule>
  </conditionalFormatting>
  <conditionalFormatting sqref="F46">
    <cfRule type="expression" dxfId="666" priority="51">
      <formula>NOT($M46)</formula>
    </cfRule>
    <cfRule type="expression" dxfId="665" priority="52">
      <formula>AND($M46,F46="")</formula>
    </cfRule>
  </conditionalFormatting>
  <conditionalFormatting sqref="F46:F57">
    <cfRule type="expression" dxfId="664" priority="29">
      <formula>NOT($N$3)</formula>
    </cfRule>
  </conditionalFormatting>
  <conditionalFormatting sqref="F47">
    <cfRule type="expression" dxfId="663" priority="50">
      <formula>NOT($M46)</formula>
    </cfRule>
  </conditionalFormatting>
  <conditionalFormatting sqref="F48">
    <cfRule type="expression" dxfId="662" priority="47">
      <formula>NOT($M48)</formula>
    </cfRule>
    <cfRule type="expression" dxfId="661" priority="48">
      <formula>AND($M48,F48="")</formula>
    </cfRule>
  </conditionalFormatting>
  <conditionalFormatting sqref="F49">
    <cfRule type="expression" dxfId="660" priority="46">
      <formula>NOT($M48)</formula>
    </cfRule>
  </conditionalFormatting>
  <conditionalFormatting sqref="F50">
    <cfRule type="expression" dxfId="659" priority="44">
      <formula>AND($M50,F50="")</formula>
    </cfRule>
    <cfRule type="expression" dxfId="658" priority="43">
      <formula>NOT($M50)</formula>
    </cfRule>
  </conditionalFormatting>
  <conditionalFormatting sqref="F51">
    <cfRule type="expression" dxfId="657" priority="42">
      <formula>NOT($M50)</formula>
    </cfRule>
  </conditionalFormatting>
  <conditionalFormatting sqref="F52">
    <cfRule type="expression" dxfId="656" priority="40">
      <formula>AND($M52,F52="")</formula>
    </cfRule>
    <cfRule type="expression" dxfId="655" priority="39">
      <formula>NOT($M52)</formula>
    </cfRule>
  </conditionalFormatting>
  <conditionalFormatting sqref="F53">
    <cfRule type="expression" dxfId="654" priority="38">
      <formula>NOT($M52)</formula>
    </cfRule>
  </conditionalFormatting>
  <conditionalFormatting sqref="F54">
    <cfRule type="expression" dxfId="653" priority="36">
      <formula>AND($M54,F54="")</formula>
    </cfRule>
    <cfRule type="expression" dxfId="652" priority="35">
      <formula>NOT($M54)</formula>
    </cfRule>
  </conditionalFormatting>
  <conditionalFormatting sqref="F55">
    <cfRule type="expression" dxfId="651" priority="34">
      <formula>NOT($M54)</formula>
    </cfRule>
  </conditionalFormatting>
  <conditionalFormatting sqref="F56">
    <cfRule type="expression" dxfId="650" priority="32">
      <formula>AND($M56,F56="")</formula>
    </cfRule>
    <cfRule type="expression" dxfId="649" priority="31">
      <formula>NOT($M56)</formula>
    </cfRule>
  </conditionalFormatting>
  <conditionalFormatting sqref="F57">
    <cfRule type="expression" dxfId="648" priority="30">
      <formula>NOT($M56)</formula>
    </cfRule>
  </conditionalFormatting>
  <conditionalFormatting sqref="F62">
    <cfRule type="expression" dxfId="647" priority="106">
      <formula>NOT($M61)</formula>
    </cfRule>
  </conditionalFormatting>
  <conditionalFormatting sqref="F66">
    <cfRule type="expression" dxfId="646" priority="104">
      <formula>NOT($M65)</formula>
    </cfRule>
  </conditionalFormatting>
  <conditionalFormatting sqref="F68">
    <cfRule type="expression" dxfId="645" priority="102">
      <formula>NOT($M67)</formula>
    </cfRule>
  </conditionalFormatting>
  <conditionalFormatting sqref="F89">
    <cfRule type="expression" dxfId="644" priority="28">
      <formula>AND($M89,F89="")</formula>
    </cfRule>
    <cfRule type="expression" dxfId="643" priority="27">
      <formula>NOT($M89)</formula>
    </cfRule>
  </conditionalFormatting>
  <conditionalFormatting sqref="F89:F94">
    <cfRule type="expression" dxfId="642" priority="17">
      <formula>NOT($N$3)</formula>
    </cfRule>
  </conditionalFormatting>
  <conditionalFormatting sqref="F90">
    <cfRule type="expression" dxfId="641" priority="26">
      <formula>NOT($M89)</formula>
    </cfRule>
  </conditionalFormatting>
  <conditionalFormatting sqref="F91">
    <cfRule type="expression" dxfId="640" priority="24">
      <formula>AND($M91,F91="")</formula>
    </cfRule>
    <cfRule type="expression" dxfId="639" priority="23">
      <formula>NOT($M91)</formula>
    </cfRule>
  </conditionalFormatting>
  <conditionalFormatting sqref="F92">
    <cfRule type="expression" dxfId="638" priority="22">
      <formula>NOT($M91)</formula>
    </cfRule>
  </conditionalFormatting>
  <conditionalFormatting sqref="F93">
    <cfRule type="expression" dxfId="637" priority="20">
      <formula>AND($M93,F93="")</formula>
    </cfRule>
    <cfRule type="expression" dxfId="636" priority="19">
      <formula>NOT($M93)</formula>
    </cfRule>
  </conditionalFormatting>
  <conditionalFormatting sqref="F94">
    <cfRule type="expression" dxfId="635" priority="18">
      <formula>NOT($M93)</formula>
    </cfRule>
  </conditionalFormatting>
  <conditionalFormatting sqref="F102">
    <cfRule type="expression" dxfId="634" priority="15">
      <formula>NOT($M102)</formula>
    </cfRule>
    <cfRule type="expression" dxfId="633" priority="16">
      <formula>AND($M102,F102="")</formula>
    </cfRule>
  </conditionalFormatting>
  <conditionalFormatting sqref="F102:F109">
    <cfRule type="expression" dxfId="632" priority="1">
      <formula>NOT($N$3)</formula>
    </cfRule>
  </conditionalFormatting>
  <conditionalFormatting sqref="F103">
    <cfRule type="expression" dxfId="631" priority="14">
      <formula>NOT($M102)</formula>
    </cfRule>
  </conditionalFormatting>
  <conditionalFormatting sqref="F104">
    <cfRule type="expression" dxfId="630" priority="11">
      <formula>NOT($M104)</formula>
    </cfRule>
    <cfRule type="expression" dxfId="629" priority="12">
      <formula>AND($M104,F104="")</formula>
    </cfRule>
  </conditionalFormatting>
  <conditionalFormatting sqref="F105">
    <cfRule type="expression" dxfId="628" priority="10">
      <formula>NOT($M104)</formula>
    </cfRule>
  </conditionalFormatting>
  <conditionalFormatting sqref="F106">
    <cfRule type="expression" dxfId="627" priority="7">
      <formula>NOT($M106)</formula>
    </cfRule>
    <cfRule type="expression" dxfId="626" priority="8">
      <formula>AND($M106,F106="")</formula>
    </cfRule>
  </conditionalFormatting>
  <conditionalFormatting sqref="F107">
    <cfRule type="expression" dxfId="625" priority="6">
      <formula>NOT($M106)</formula>
    </cfRule>
  </conditionalFormatting>
  <conditionalFormatting sqref="F108">
    <cfRule type="expression" dxfId="624" priority="3">
      <formula>NOT($M108)</formula>
    </cfRule>
    <cfRule type="expression" dxfId="623" priority="4">
      <formula>AND($M108,F108="")</formula>
    </cfRule>
  </conditionalFormatting>
  <conditionalFormatting sqref="F109">
    <cfRule type="expression" dxfId="622" priority="2">
      <formula>NOT($M108)</formula>
    </cfRule>
  </conditionalFormatting>
  <conditionalFormatting sqref="F20:G20">
    <cfRule type="expression" dxfId="621" priority="656">
      <formula>NOT($M20)</formula>
    </cfRule>
  </conditionalFormatting>
  <conditionalFormatting sqref="F24:G24">
    <cfRule type="expression" dxfId="620" priority="617">
      <formula>NOT($M24)</formula>
    </cfRule>
  </conditionalFormatting>
  <conditionalFormatting sqref="F26:G26">
    <cfRule type="expression" dxfId="619" priority="648">
      <formula>NOT($M26)</formula>
    </cfRule>
  </conditionalFormatting>
  <conditionalFormatting sqref="G14">
    <cfRule type="expression" dxfId="618" priority="645">
      <formula>NOT($M14)</formula>
    </cfRule>
  </conditionalFormatting>
  <conditionalFormatting sqref="G16">
    <cfRule type="expression" dxfId="617" priority="660">
      <formula>NOT($M16)</formula>
    </cfRule>
  </conditionalFormatting>
  <conditionalFormatting sqref="G18">
    <cfRule type="expression" dxfId="616" priority="659">
      <formula>NOT($M18)</formula>
    </cfRule>
  </conditionalFormatting>
  <conditionalFormatting sqref="G22">
    <cfRule type="expression" dxfId="615" priority="652">
      <formula>NOT($M22)</formula>
    </cfRule>
  </conditionalFormatting>
  <conditionalFormatting sqref="G31">
    <cfRule type="expression" dxfId="614" priority="582">
      <formula>NOT($M31)</formula>
    </cfRule>
  </conditionalFormatting>
  <conditionalFormatting sqref="G33 G35 G37 G39 G41">
    <cfRule type="expression" dxfId="613" priority="553">
      <formula>NOT($M33)</formula>
    </cfRule>
  </conditionalFormatting>
  <conditionalFormatting sqref="G46">
    <cfRule type="expression" dxfId="612" priority="524">
      <formula>NOT($M46)</formula>
    </cfRule>
  </conditionalFormatting>
  <conditionalFormatting sqref="G48 G50 G52 G54 G56">
    <cfRule type="expression" dxfId="611" priority="495">
      <formula>NOT($M48)</formula>
    </cfRule>
  </conditionalFormatting>
  <conditionalFormatting sqref="G61">
    <cfRule type="expression" dxfId="610" priority="253">
      <formula>NOT($M61)</formula>
    </cfRule>
  </conditionalFormatting>
  <conditionalFormatting sqref="G63">
    <cfRule type="expression" dxfId="609" priority="173">
      <formula>NOT($M63)</formula>
    </cfRule>
  </conditionalFormatting>
  <conditionalFormatting sqref="G65">
    <cfRule type="expression" dxfId="608" priority="227">
      <formula>NOT($M65)</formula>
    </cfRule>
  </conditionalFormatting>
  <conditionalFormatting sqref="G67">
    <cfRule type="expression" dxfId="607" priority="201">
      <formula>NOT($M67)</formula>
    </cfRule>
  </conditionalFormatting>
  <conditionalFormatting sqref="G69">
    <cfRule type="expression" dxfId="606" priority="144">
      <formula>NOT($M69)</formula>
    </cfRule>
  </conditionalFormatting>
  <conditionalFormatting sqref="G89 G91 G93">
    <cfRule type="expression" dxfId="605" priority="466">
      <formula>NOT($M89)</formula>
    </cfRule>
  </conditionalFormatting>
  <conditionalFormatting sqref="G98">
    <cfRule type="expression" dxfId="604" priority="362">
      <formula>NOT($M98)</formula>
    </cfRule>
  </conditionalFormatting>
  <conditionalFormatting sqref="G100">
    <cfRule type="expression" dxfId="603" priority="336">
      <formula>NOT($M100)</formula>
    </cfRule>
  </conditionalFormatting>
  <conditionalFormatting sqref="G102">
    <cfRule type="expression" dxfId="602" priority="437">
      <formula>NOT($M102)</formula>
    </cfRule>
  </conditionalFormatting>
  <conditionalFormatting sqref="G104 G106 G108">
    <cfRule type="expression" dxfId="601" priority="408">
      <formula>NOT($M104)</formula>
    </cfRule>
  </conditionalFormatting>
  <conditionalFormatting sqref="G102:J102 G103 J103:K103">
    <cfRule type="expression" dxfId="600" priority="435">
      <formula>NOT($N$3)</formula>
    </cfRule>
  </conditionalFormatting>
  <conditionalFormatting sqref="G31:K42 C31:E42">
    <cfRule type="expression" dxfId="599" priority="1304">
      <formula>NOT($N$3)</formula>
    </cfRule>
  </conditionalFormatting>
  <conditionalFormatting sqref="G46:K57 C46:E57">
    <cfRule type="expression" dxfId="598" priority="1261">
      <formula>NOT($N$3)</formula>
    </cfRule>
  </conditionalFormatting>
  <conditionalFormatting sqref="G89:K89 G90 J90:K90 G91:K91 G92 J92:K92 G93:K93 G94 J94:K94">
    <cfRule type="expression" dxfId="597" priority="464">
      <formula>NOT($N$3)</formula>
    </cfRule>
  </conditionalFormatting>
  <conditionalFormatting sqref="G89:K94 C61:K61 C63:K65 C67:K67 C69:K88 C89:E94">
    <cfRule type="expression" dxfId="596" priority="1123">
      <formula>NOT($N$3)</formula>
    </cfRule>
  </conditionalFormatting>
  <conditionalFormatting sqref="G98:K98 G99 J99:K99">
    <cfRule type="expression" dxfId="595" priority="361">
      <formula>NOT($N$3)</formula>
    </cfRule>
  </conditionalFormatting>
  <conditionalFormatting sqref="G102:K109 C98:K101 C102:E109">
    <cfRule type="expression" dxfId="594" priority="1050">
      <formula>NOT($N$3)</formula>
    </cfRule>
  </conditionalFormatting>
  <conditionalFormatting sqref="H14:I14">
    <cfRule type="expression" dxfId="593" priority="758">
      <formula>M14=FALSE</formula>
    </cfRule>
    <cfRule type="expression" dxfId="592" priority="762">
      <formula>AND(M14,OR(G14="pauschal",J14&lt;&gt;""))</formula>
    </cfRule>
    <cfRule type="expression" dxfId="591" priority="759">
      <formula>AND(M14,H14="",G14&lt;&gt;"pauschal",J14="")</formula>
    </cfRule>
  </conditionalFormatting>
  <conditionalFormatting sqref="H16:I16">
    <cfRule type="expression" dxfId="590" priority="726">
      <formula>AND(M16,OR(G16="pauschal",J16&lt;&gt;""))</formula>
    </cfRule>
    <cfRule type="expression" dxfId="589" priority="723">
      <formula>AND(M16,H16="",G16&lt;&gt;"pauschal",J16="")</formula>
    </cfRule>
    <cfRule type="expression" dxfId="588" priority="722">
      <formula>M16=FALSE</formula>
    </cfRule>
    <cfRule type="expression" dxfId="587" priority="752">
      <formula>M16=FALSE</formula>
    </cfRule>
    <cfRule type="expression" dxfId="586" priority="756">
      <formula>AND(M16,OR(G16="pauschal",J16&lt;&gt;""))</formula>
    </cfRule>
    <cfRule type="expression" dxfId="585" priority="753">
      <formula>AND(M16,H16="",G16&lt;&gt;"pauschal",J16="")</formula>
    </cfRule>
  </conditionalFormatting>
  <conditionalFormatting sqref="H18:I18">
    <cfRule type="expression" dxfId="584" priority="746">
      <formula>M18=FALSE</formula>
    </cfRule>
    <cfRule type="expression" dxfId="583" priority="720">
      <formula>AND(M18,OR(G18="pauschal",J18&lt;&gt;""))</formula>
    </cfRule>
    <cfRule type="expression" dxfId="582" priority="750">
      <formula>AND(M18,OR(G18="pauschal",J18&lt;&gt;""))</formula>
    </cfRule>
    <cfRule type="expression" dxfId="581" priority="717">
      <formula>AND(M18,H18="",G18&lt;&gt;"pauschal",J18="")</formula>
    </cfRule>
    <cfRule type="expression" dxfId="580" priority="716">
      <formula>M18=FALSE</formula>
    </cfRule>
    <cfRule type="expression" dxfId="579" priority="714">
      <formula>AND(M18,OR(G18="pauschal",J18&lt;&gt;""))</formula>
    </cfRule>
    <cfRule type="expression" dxfId="578" priority="711">
      <formula>AND(M18,H18="",G18&lt;&gt;"pauschal",J18="")</formula>
    </cfRule>
    <cfRule type="expression" dxfId="577" priority="710">
      <formula>M18=FALSE</formula>
    </cfRule>
    <cfRule type="expression" dxfId="576" priority="747">
      <formula>AND(M18,H18="",G18&lt;&gt;"pauschal",J18="")</formula>
    </cfRule>
  </conditionalFormatting>
  <conditionalFormatting sqref="H20:I20">
    <cfRule type="expression" dxfId="575" priority="704">
      <formula>M20=FALSE</formula>
    </cfRule>
    <cfRule type="expression" dxfId="574" priority="696">
      <formula>AND(M20,OR(G20="pauschal",J20&lt;&gt;""))</formula>
    </cfRule>
    <cfRule type="expression" dxfId="573" priority="693">
      <formula>AND(M20,H20="",G20&lt;&gt;"pauschal",J20="")</formula>
    </cfRule>
    <cfRule type="expression" dxfId="572" priority="692">
      <formula>M20=FALSE</formula>
    </cfRule>
    <cfRule type="expression" dxfId="571" priority="744">
      <formula>AND(M20,OR(G20="pauschal",J20&lt;&gt;""))</formula>
    </cfRule>
    <cfRule type="expression" dxfId="570" priority="741">
      <formula>AND(M20,H20="",G20&lt;&gt;"pauschal",J20="")</formula>
    </cfRule>
    <cfRule type="expression" dxfId="569" priority="708">
      <formula>AND(M20,OR(G20="pauschal",J20&lt;&gt;""))</formula>
    </cfRule>
    <cfRule type="expression" dxfId="568" priority="740">
      <formula>M20=FALSE</formula>
    </cfRule>
    <cfRule type="expression" dxfId="567" priority="705">
      <formula>AND(M20,H20="",G20&lt;&gt;"pauschal",J20="")</formula>
    </cfRule>
  </conditionalFormatting>
  <conditionalFormatting sqref="H22:I22">
    <cfRule type="expression" dxfId="566" priority="699">
      <formula>AND(M22,H22="",G22&lt;&gt;"pauschal",J22="")</formula>
    </cfRule>
    <cfRule type="expression" dxfId="565" priority="680">
      <formula>M22=FALSE</formula>
    </cfRule>
    <cfRule type="expression" dxfId="564" priority="681">
      <formula>AND(M22,H22="",G22&lt;&gt;"pauschal",J22="")</formula>
    </cfRule>
    <cfRule type="expression" dxfId="563" priority="684">
      <formula>AND(M22,OR(G22="pauschal",J22&lt;&gt;""))</formula>
    </cfRule>
    <cfRule type="expression" dxfId="562" priority="686">
      <formula>M22=FALSE</formula>
    </cfRule>
    <cfRule type="expression" dxfId="561" priority="687">
      <formula>AND(M22,H22="",G22&lt;&gt;"pauschal",J22="")</formula>
    </cfRule>
    <cfRule type="expression" dxfId="560" priority="690">
      <formula>AND(M22,OR(G22="pauschal",J22&lt;&gt;""))</formula>
    </cfRule>
    <cfRule type="expression" dxfId="559" priority="698">
      <formula>M22=FALSE</formula>
    </cfRule>
    <cfRule type="expression" dxfId="558" priority="702">
      <formula>AND(M22,OR(G22="pauschal",J22&lt;&gt;""))</formula>
    </cfRule>
    <cfRule type="expression" dxfId="557" priority="734">
      <formula>M22=FALSE</formula>
    </cfRule>
    <cfRule type="expression" dxfId="556" priority="735">
      <formula>AND(M22,H22="",G22&lt;&gt;"pauschal",J22="")</formula>
    </cfRule>
    <cfRule type="expression" dxfId="555" priority="738">
      <formula>AND(M22,OR(G22="pauschal",J22&lt;&gt;""))</formula>
    </cfRule>
  </conditionalFormatting>
  <conditionalFormatting sqref="H24:I24">
    <cfRule type="expression" dxfId="554" priority="621">
      <formula>M24=FALSE</formula>
    </cfRule>
    <cfRule type="expression" dxfId="553" priority="639">
      <formula>M24=FALSE</formula>
    </cfRule>
    <cfRule type="expression" dxfId="552" priority="634">
      <formula>AND(M24,H24="",G24&lt;&gt;"pauschal",J24="")</formula>
    </cfRule>
    <cfRule type="expression" dxfId="551" priority="627">
      <formula>M24=FALSE</formula>
    </cfRule>
    <cfRule type="expression" dxfId="550" priority="633">
      <formula>M24=FALSE</formula>
    </cfRule>
    <cfRule type="expression" dxfId="549" priority="640">
      <formula>AND(M24,H24="",G24&lt;&gt;"pauschal",J24="")</formula>
    </cfRule>
    <cfRule type="expression" dxfId="548" priority="631">
      <formula>AND(M24,OR(G24="pauschal",J24&lt;&gt;""))</formula>
    </cfRule>
    <cfRule type="expression" dxfId="547" priority="622">
      <formula>AND(M24,H24="",G24&lt;&gt;"pauschal",J24="")</formula>
    </cfRule>
    <cfRule type="expression" dxfId="546" priority="625">
      <formula>AND(M24,OR(G24="pauschal",J24&lt;&gt;""))</formula>
    </cfRule>
    <cfRule type="expression" dxfId="545" priority="643">
      <formula>AND(M24,OR(G24="pauschal",J24&lt;&gt;""))</formula>
    </cfRule>
    <cfRule type="expression" dxfId="544" priority="628">
      <formula>AND(M24,H24="",G24&lt;&gt;"pauschal",J24="")</formula>
    </cfRule>
    <cfRule type="expression" dxfId="543" priority="637">
      <formula>AND(M24,OR(G24="pauschal",J24&lt;&gt;""))</formula>
    </cfRule>
  </conditionalFormatting>
  <conditionalFormatting sqref="H26:I26">
    <cfRule type="expression" dxfId="542" priority="662">
      <formula>M26=FALSE</formula>
    </cfRule>
    <cfRule type="expression" dxfId="541" priority="678">
      <formula>AND(M26,OR(G26="pauschal",J26&lt;&gt;""))</formula>
    </cfRule>
    <cfRule type="expression" dxfId="540" priority="732">
      <formula>AND(M26,OR(G26="pauschal",J26&lt;&gt;""))</formula>
    </cfRule>
    <cfRule type="expression" dxfId="539" priority="729">
      <formula>AND(M26,H26="",G26&lt;&gt;"pauschal",J26="")</formula>
    </cfRule>
    <cfRule type="expression" dxfId="538" priority="663">
      <formula>AND(M26,H26="",G26&lt;&gt;"pauschal",J26="")</formula>
    </cfRule>
    <cfRule type="expression" dxfId="537" priority="666">
      <formula>AND(M26,OR(G26="pauschal",J26&lt;&gt;""))</formula>
    </cfRule>
    <cfRule type="expression" dxfId="536" priority="668">
      <formula>M26=FALSE</formula>
    </cfRule>
    <cfRule type="expression" dxfId="535" priority="669">
      <formula>AND(M26,H26="",G26&lt;&gt;"pauschal",J26="")</formula>
    </cfRule>
    <cfRule type="expression" dxfId="534" priority="728">
      <formula>M26=FALSE</formula>
    </cfRule>
    <cfRule type="expression" dxfId="533" priority="672">
      <formula>AND(M26,OR(G26="pauschal",J26&lt;&gt;""))</formula>
    </cfRule>
    <cfRule type="expression" dxfId="532" priority="674">
      <formula>M26=FALSE</formula>
    </cfRule>
    <cfRule type="expression" dxfId="531" priority="675">
      <formula>AND(M26,H26="",G26&lt;&gt;"pauschal",J26="")</formula>
    </cfRule>
  </conditionalFormatting>
  <conditionalFormatting sqref="H31:I31">
    <cfRule type="expression" dxfId="530" priority="586">
      <formula>M31=FALSE</formula>
    </cfRule>
    <cfRule type="expression" dxfId="529" priority="587">
      <formula>AND(M31,H31="",G31&lt;&gt;"pauschal",J31="")</formula>
    </cfRule>
    <cfRule type="expression" dxfId="528" priority="590">
      <formula>AND(M31,OR(G31="pauschal",J31&lt;&gt;""))</formula>
    </cfRule>
    <cfRule type="expression" dxfId="527" priority="604">
      <formula>M31=FALSE</formula>
    </cfRule>
    <cfRule type="expression" dxfId="526" priority="605">
      <formula>AND(M31,H31="",G31&lt;&gt;"pauschal",J31="")</formula>
    </cfRule>
    <cfRule type="expression" dxfId="525" priority="593">
      <formula>AND(M31,H31="",G31&lt;&gt;"pauschal",J31="")</formula>
    </cfRule>
    <cfRule type="expression" dxfId="524" priority="598">
      <formula>M31=FALSE</formula>
    </cfRule>
    <cfRule type="expression" dxfId="523" priority="599">
      <formula>AND(M31,H31="",G31&lt;&gt;"pauschal",J31="")</formula>
    </cfRule>
    <cfRule type="expression" dxfId="522" priority="596">
      <formula>AND(M31,OR(G31="pauschal",J31&lt;&gt;""))</formula>
    </cfRule>
    <cfRule type="expression" dxfId="521" priority="608">
      <formula>AND(M31,OR(G31="pauschal",J31&lt;&gt;""))</formula>
    </cfRule>
    <cfRule type="expression" dxfId="520" priority="602">
      <formula>AND(M31,OR(G31="pauschal",J31&lt;&gt;""))</formula>
    </cfRule>
    <cfRule type="expression" dxfId="519" priority="592">
      <formula>M31=FALSE</formula>
    </cfRule>
  </conditionalFormatting>
  <conditionalFormatting sqref="H33:I33 H35:I35 H37:I37 H39:I39 H41:I41">
    <cfRule type="expression" dxfId="518" priority="567">
      <formula>AND(M33,OR(G33="pauschal",J33&lt;&gt;""))</formula>
    </cfRule>
    <cfRule type="expression" dxfId="517" priority="569">
      <formula>M33=FALSE</formula>
    </cfRule>
    <cfRule type="expression" dxfId="516" priority="570">
      <formula>AND(M33,H33="",G33&lt;&gt;"pauschal",J33="")</formula>
    </cfRule>
    <cfRule type="expression" dxfId="515" priority="573">
      <formula>AND(M33,OR(G33="pauschal",J33&lt;&gt;""))</formula>
    </cfRule>
    <cfRule type="expression" dxfId="514" priority="575">
      <formula>M33=FALSE</formula>
    </cfRule>
    <cfRule type="expression" dxfId="513" priority="576">
      <formula>AND(M33,H33="",G33&lt;&gt;"pauschal",J33="")</formula>
    </cfRule>
    <cfRule type="expression" dxfId="512" priority="579">
      <formula>AND(M33,OR(G33="pauschal",J33&lt;&gt;""))</formula>
    </cfRule>
    <cfRule type="expression" dxfId="511" priority="557">
      <formula>M33=FALSE</formula>
    </cfRule>
    <cfRule type="expression" dxfId="510" priority="558">
      <formula>AND(M33,H33="",G33&lt;&gt;"pauschal",J33="")</formula>
    </cfRule>
    <cfRule type="expression" dxfId="509" priority="561">
      <formula>AND(M33,OR(G33="pauschal",J33&lt;&gt;""))</formula>
    </cfRule>
    <cfRule type="expression" dxfId="508" priority="563">
      <formula>M33=FALSE</formula>
    </cfRule>
    <cfRule type="expression" dxfId="507" priority="564">
      <formula>AND(M33,H33="",G33&lt;&gt;"pauschal",J33="")</formula>
    </cfRule>
  </conditionalFormatting>
  <conditionalFormatting sqref="H46:I46">
    <cfRule type="expression" dxfId="506" priority="538">
      <formula>AND(M46,OR(G46="pauschal",J46&lt;&gt;""))</formula>
    </cfRule>
    <cfRule type="expression" dxfId="505" priority="529">
      <formula>AND(M46,H46="",G46&lt;&gt;"pauschal",J46="")</formula>
    </cfRule>
    <cfRule type="expression" dxfId="504" priority="528">
      <formula>M46=FALSE</formula>
    </cfRule>
    <cfRule type="expression" dxfId="503" priority="540">
      <formula>M46=FALSE</formula>
    </cfRule>
    <cfRule type="expression" dxfId="502" priority="544">
      <formula>AND(M46,OR(G46="pauschal",J46&lt;&gt;""))</formula>
    </cfRule>
    <cfRule type="expression" dxfId="501" priority="535">
      <formula>AND(M46,H46="",G46&lt;&gt;"pauschal",J46="")</formula>
    </cfRule>
    <cfRule type="expression" dxfId="500" priority="550">
      <formula>AND(M46,OR(G46="pauschal",J46&lt;&gt;""))</formula>
    </cfRule>
    <cfRule type="expression" dxfId="499" priority="534">
      <formula>M46=FALSE</formula>
    </cfRule>
    <cfRule type="expression" dxfId="498" priority="532">
      <formula>AND(M46,OR(G46="pauschal",J46&lt;&gt;""))</formula>
    </cfRule>
    <cfRule type="expression" dxfId="497" priority="547">
      <formula>AND(M46,H46="",G46&lt;&gt;"pauschal",J46="")</formula>
    </cfRule>
    <cfRule type="expression" dxfId="496" priority="541">
      <formula>AND(M46,H46="",G46&lt;&gt;"pauschal",J46="")</formula>
    </cfRule>
    <cfRule type="expression" dxfId="495" priority="546">
      <formula>M46=FALSE</formula>
    </cfRule>
  </conditionalFormatting>
  <conditionalFormatting sqref="H48:I48 H50:I50 H52:I52 H54:I54 H56:I56">
    <cfRule type="expression" dxfId="494" priority="506">
      <formula>AND(M48,H48="",G48&lt;&gt;"pauschal",J48="")</formula>
    </cfRule>
    <cfRule type="expression" dxfId="493" priority="505">
      <formula>M48=FALSE</formula>
    </cfRule>
    <cfRule type="expression" dxfId="492" priority="503">
      <formula>AND(M48,OR(G48="pauschal",J48&lt;&gt;""))</formula>
    </cfRule>
    <cfRule type="expression" dxfId="491" priority="500">
      <formula>AND(M48,H48="",G48&lt;&gt;"pauschal",J48="")</formula>
    </cfRule>
    <cfRule type="expression" dxfId="490" priority="499">
      <formula>M48=FALSE</formula>
    </cfRule>
    <cfRule type="expression" dxfId="489" priority="521">
      <formula>AND(M48,OR(G48="pauschal",J48&lt;&gt;""))</formula>
    </cfRule>
    <cfRule type="expression" dxfId="488" priority="515">
      <formula>AND(M48,OR(G48="pauschal",J48&lt;&gt;""))</formula>
    </cfRule>
    <cfRule type="expression" dxfId="487" priority="517">
      <formula>M48=FALSE</formula>
    </cfRule>
    <cfRule type="expression" dxfId="486" priority="518">
      <formula>AND(M48,H48="",G48&lt;&gt;"pauschal",J48="")</formula>
    </cfRule>
    <cfRule type="expression" dxfId="485" priority="512">
      <formula>AND(M48,H48="",G48&lt;&gt;"pauschal",J48="")</formula>
    </cfRule>
    <cfRule type="expression" dxfId="484" priority="511">
      <formula>M48=FALSE</formula>
    </cfRule>
    <cfRule type="expression" dxfId="483" priority="509">
      <formula>AND(M48,OR(G48="pauschal",J48&lt;&gt;""))</formula>
    </cfRule>
  </conditionalFormatting>
  <conditionalFormatting sqref="H61:I61">
    <cfRule type="expression" dxfId="482" priority="259">
      <formula>AND(M61,OR(G61="pauschal",J61&lt;&gt;""))</formula>
    </cfRule>
    <cfRule type="expression" dxfId="481" priority="262">
      <formula>AND(M61,H61="",G61&lt;&gt;"pauschal",J61="")</formula>
    </cfRule>
    <cfRule type="expression" dxfId="480" priority="274">
      <formula>AND(M61,H61="",G61&lt;&gt;"pauschal",J61="")</formula>
    </cfRule>
    <cfRule type="expression" dxfId="479" priority="265">
      <formula>AND(M61,OR(G61="pauschal",J61&lt;&gt;""))</formula>
    </cfRule>
    <cfRule type="expression" dxfId="478" priority="271">
      <formula>AND(M61,OR(G61="pauschal",J61&lt;&gt;""))</formula>
    </cfRule>
    <cfRule type="expression" dxfId="477" priority="267">
      <formula>M61=FALSE</formula>
    </cfRule>
    <cfRule type="expression" dxfId="476" priority="261">
      <formula>M61=FALSE</formula>
    </cfRule>
    <cfRule type="expression" dxfId="475" priority="277">
      <formula>AND(M61,OR(G61="pauschal",J61&lt;&gt;""))</formula>
    </cfRule>
    <cfRule type="expression" dxfId="474" priority="268">
      <formula>AND(M61,H61="",G61&lt;&gt;"pauschal",J61="")</formula>
    </cfRule>
    <cfRule type="expression" dxfId="473" priority="255">
      <formula>M61=FALSE</formula>
    </cfRule>
    <cfRule type="expression" dxfId="472" priority="256">
      <formula>AND(M61,H61="",G61&lt;&gt;"pauschal",J61="")</formula>
    </cfRule>
    <cfRule type="expression" dxfId="471" priority="273">
      <formula>M61=FALSE</formula>
    </cfRule>
  </conditionalFormatting>
  <conditionalFormatting sqref="H63:I63">
    <cfRule type="expression" dxfId="470" priority="176">
      <formula>M63=FALSE</formula>
    </cfRule>
    <cfRule type="expression" dxfId="469" priority="177">
      <formula>AND(M63,H63="",G63&lt;&gt;"pauschal",J63="")</formula>
    </cfRule>
    <cfRule type="expression" dxfId="468" priority="189">
      <formula>AND(M63,H63="",G63&lt;&gt;"pauschal",J63="")</formula>
    </cfRule>
    <cfRule type="expression" dxfId="467" priority="198">
      <formula>AND(M63,OR(G63="pauschal",J63&lt;&gt;""))</formula>
    </cfRule>
    <cfRule type="expression" dxfId="466" priority="180">
      <formula>AND(M63,OR(G63="pauschal",J63&lt;&gt;""))</formula>
    </cfRule>
    <cfRule type="expression" dxfId="465" priority="182">
      <formula>M63=FALSE</formula>
    </cfRule>
    <cfRule type="expression" dxfId="464" priority="183">
      <formula>AND(M63,H63="",G63&lt;&gt;"pauschal",J63="")</formula>
    </cfRule>
    <cfRule type="expression" dxfId="463" priority="192">
      <formula>AND(M63,OR(G63="pauschal",J63&lt;&gt;""))</formula>
    </cfRule>
    <cfRule type="expression" dxfId="462" priority="194">
      <formula>M63=FALSE</formula>
    </cfRule>
    <cfRule type="expression" dxfId="461" priority="186">
      <formula>AND(M63,OR(G63="pauschal",J63&lt;&gt;""))</formula>
    </cfRule>
    <cfRule type="expression" dxfId="460" priority="195">
      <formula>AND(M63,H63="",G63&lt;&gt;"pauschal",J63="")</formula>
    </cfRule>
    <cfRule type="expression" dxfId="459" priority="188">
      <formula>M63=FALSE</formula>
    </cfRule>
  </conditionalFormatting>
  <conditionalFormatting sqref="H65:I65">
    <cfRule type="expression" dxfId="458" priority="242">
      <formula>AND(M65,H65="",G65&lt;&gt;"pauschal",J65="")</formula>
    </cfRule>
    <cfRule type="expression" dxfId="457" priority="239">
      <formula>AND(M65,OR(G65="pauschal",J65&lt;&gt;""))</formula>
    </cfRule>
    <cfRule type="expression" dxfId="456" priority="241">
      <formula>M65=FALSE</formula>
    </cfRule>
    <cfRule type="expression" dxfId="455" priority="229">
      <formula>M65=FALSE</formula>
    </cfRule>
    <cfRule type="expression" dxfId="454" priority="248">
      <formula>AND(M65,H65="",G65&lt;&gt;"pauschal",J65="")</formula>
    </cfRule>
    <cfRule type="expression" dxfId="453" priority="247">
      <formula>M65=FALSE</formula>
    </cfRule>
    <cfRule type="expression" dxfId="452" priority="251">
      <formula>AND(M65,OR(G65="pauschal",J65&lt;&gt;""))</formula>
    </cfRule>
    <cfRule type="expression" dxfId="451" priority="230">
      <formula>AND(M65,H65="",G65&lt;&gt;"pauschal",J65="")</formula>
    </cfRule>
    <cfRule type="expression" dxfId="450" priority="233">
      <formula>AND(M65,OR(G65="pauschal",J65&lt;&gt;""))</formula>
    </cfRule>
    <cfRule type="expression" dxfId="449" priority="235">
      <formula>M65=FALSE</formula>
    </cfRule>
    <cfRule type="expression" dxfId="448" priority="245">
      <formula>AND(M65,OR(G65="pauschal",J65&lt;&gt;""))</formula>
    </cfRule>
    <cfRule type="expression" dxfId="447" priority="236">
      <formula>AND(M65,H65="",G65&lt;&gt;"pauschal",J65="")</formula>
    </cfRule>
  </conditionalFormatting>
  <conditionalFormatting sqref="H67:I67">
    <cfRule type="expression" dxfId="446" priority="222">
      <formula>AND(M67,H67="",G67&lt;&gt;"pauschal",J67="")</formula>
    </cfRule>
    <cfRule type="expression" dxfId="445" priority="204">
      <formula>AND(M67,H67="",G67&lt;&gt;"pauschal",J67="")</formula>
    </cfRule>
    <cfRule type="expression" dxfId="444" priority="207">
      <formula>AND(M67,OR(G67="pauschal",J67&lt;&gt;""))</formula>
    </cfRule>
    <cfRule type="expression" dxfId="443" priority="216">
      <formula>AND(M67,H67="",G67&lt;&gt;"pauschal",J67="")</formula>
    </cfRule>
    <cfRule type="expression" dxfId="442" priority="209">
      <formula>M67=FALSE</formula>
    </cfRule>
    <cfRule type="expression" dxfId="441" priority="221">
      <formula>M67=FALSE</formula>
    </cfRule>
    <cfRule type="expression" dxfId="440" priority="210">
      <formula>AND(M67,H67="",G67&lt;&gt;"pauschal",J67="")</formula>
    </cfRule>
    <cfRule type="expression" dxfId="439" priority="225">
      <formula>AND(M67,OR(G67="pauschal",J67&lt;&gt;""))</formula>
    </cfRule>
    <cfRule type="expression" dxfId="438" priority="213">
      <formula>AND(M67,OR(G67="pauschal",J67&lt;&gt;""))</formula>
    </cfRule>
    <cfRule type="expression" dxfId="437" priority="215">
      <formula>M67=FALSE</formula>
    </cfRule>
    <cfRule type="expression" dxfId="436" priority="219">
      <formula>AND(M67,OR(G67="pauschal",J67&lt;&gt;""))</formula>
    </cfRule>
    <cfRule type="expression" dxfId="435" priority="203">
      <formula>M67=FALSE</formula>
    </cfRule>
  </conditionalFormatting>
  <conditionalFormatting sqref="H69:I69">
    <cfRule type="expression" dxfId="434" priority="160">
      <formula>AND(M69,H69="",G69&lt;&gt;"pauschal",J69="")</formula>
    </cfRule>
    <cfRule type="expression" dxfId="433" priority="147">
      <formula>M69=FALSE</formula>
    </cfRule>
    <cfRule type="expression" dxfId="432" priority="163">
      <formula>AND(M69,OR(G69="pauschal",J69&lt;&gt;""))</formula>
    </cfRule>
    <cfRule type="expression" dxfId="431" priority="165">
      <formula>M69=FALSE</formula>
    </cfRule>
    <cfRule type="expression" dxfId="430" priority="166">
      <formula>AND(M69,H69="",G69&lt;&gt;"pauschal",J69="")</formula>
    </cfRule>
    <cfRule type="expression" dxfId="429" priority="169">
      <formula>AND(M69,OR(G69="pauschal",J69&lt;&gt;""))</formula>
    </cfRule>
    <cfRule type="expression" dxfId="428" priority="154">
      <formula>AND(M69,H69="",G69&lt;&gt;"pauschal",J69="")</formula>
    </cfRule>
    <cfRule type="expression" dxfId="427" priority="148">
      <formula>AND(M69,H69="",G69&lt;&gt;"pauschal",J69="")</formula>
    </cfRule>
    <cfRule type="expression" dxfId="426" priority="151">
      <formula>AND(M69,OR(G69="pauschal",J69&lt;&gt;""))</formula>
    </cfRule>
    <cfRule type="expression" dxfId="425" priority="153">
      <formula>M69=FALSE</formula>
    </cfRule>
    <cfRule type="expression" dxfId="424" priority="157">
      <formula>AND(M69,OR(G69="pauschal",J69&lt;&gt;""))</formula>
    </cfRule>
    <cfRule type="expression" dxfId="423" priority="159">
      <formula>M69=FALSE</formula>
    </cfRule>
  </conditionalFormatting>
  <conditionalFormatting sqref="H89:I89 H91:I91 H93:I93">
    <cfRule type="expression" dxfId="422" priority="474">
      <formula>AND(M89,OR(G89="pauschal",J89&lt;&gt;""))</formula>
    </cfRule>
    <cfRule type="expression" dxfId="421" priority="488">
      <formula>M89=FALSE</formula>
    </cfRule>
    <cfRule type="expression" dxfId="420" priority="492">
      <formula>AND(M89,OR(G89="pauschal",J89&lt;&gt;""))</formula>
    </cfRule>
    <cfRule type="expression" dxfId="419" priority="483">
      <formula>AND(M89,H89="",G89&lt;&gt;"pauschal",J89="")</formula>
    </cfRule>
    <cfRule type="expression" dxfId="418" priority="480">
      <formula>AND(M89,OR(G89="pauschal",J89&lt;&gt;""))</formula>
    </cfRule>
    <cfRule type="expression" dxfId="417" priority="470">
      <formula>M89=FALSE</formula>
    </cfRule>
    <cfRule type="expression" dxfId="416" priority="471">
      <formula>AND(M89,H89="",G89&lt;&gt;"pauschal",J89="")</formula>
    </cfRule>
    <cfRule type="expression" dxfId="415" priority="489">
      <formula>AND(M89,H89="",G89&lt;&gt;"pauschal",J89="")</formula>
    </cfRule>
    <cfRule type="expression" dxfId="414" priority="476">
      <formula>M89=FALSE</formula>
    </cfRule>
    <cfRule type="expression" dxfId="413" priority="486">
      <formula>AND(M89,OR(G89="pauschal",J89&lt;&gt;""))</formula>
    </cfRule>
    <cfRule type="expression" dxfId="412" priority="482">
      <formula>M89=FALSE</formula>
    </cfRule>
    <cfRule type="expression" dxfId="411" priority="477">
      <formula>AND(M89,H89="",G89&lt;&gt;"pauschal",J89="")</formula>
    </cfRule>
  </conditionalFormatting>
  <conditionalFormatting sqref="H98:I98">
    <cfRule type="expression" dxfId="410" priority="364">
      <formula>M98=FALSE</formula>
    </cfRule>
    <cfRule type="expression" dxfId="409" priority="386">
      <formula>AND(M98,OR(G98="pauschal",J98&lt;&gt;""))</formula>
    </cfRule>
    <cfRule type="expression" dxfId="408" priority="383">
      <formula>AND(M98,H98="",G98&lt;&gt;"pauschal",J98="")</formula>
    </cfRule>
    <cfRule type="expression" dxfId="407" priority="382">
      <formula>M98=FALSE</formula>
    </cfRule>
    <cfRule type="expression" dxfId="406" priority="380">
      <formula>AND(M98,OR(G98="pauschal",J98&lt;&gt;""))</formula>
    </cfRule>
    <cfRule type="expression" dxfId="405" priority="377">
      <formula>AND(M98,H98="",G98&lt;&gt;"pauschal",J98="")</formula>
    </cfRule>
    <cfRule type="expression" dxfId="404" priority="376">
      <formula>M98=FALSE</formula>
    </cfRule>
    <cfRule type="expression" dxfId="403" priority="374">
      <formula>AND(M98,OR(G98="pauschal",J98&lt;&gt;""))</formula>
    </cfRule>
    <cfRule type="expression" dxfId="402" priority="371">
      <formula>AND(M98,H98="",G98&lt;&gt;"pauschal",J98="")</formula>
    </cfRule>
    <cfRule type="expression" dxfId="401" priority="370">
      <formula>M98=FALSE</formula>
    </cfRule>
    <cfRule type="expression" dxfId="400" priority="368">
      <formula>AND(M98,OR(G98="pauschal",J98&lt;&gt;""))</formula>
    </cfRule>
    <cfRule type="expression" dxfId="399" priority="365">
      <formula>AND(M98,H98="",G98&lt;&gt;"pauschal",J98="")</formula>
    </cfRule>
  </conditionalFormatting>
  <conditionalFormatting sqref="H100:I100">
    <cfRule type="expression" dxfId="398" priority="342">
      <formula>AND(M100,OR(G100="pauschal",J100&lt;&gt;""))</formula>
    </cfRule>
    <cfRule type="expression" dxfId="397" priority="350">
      <formula>M100=FALSE</formula>
    </cfRule>
    <cfRule type="expression" dxfId="396" priority="344">
      <formula>M100=FALSE</formula>
    </cfRule>
    <cfRule type="expression" dxfId="395" priority="351">
      <formula>AND(M100,H100="",G100&lt;&gt;"pauschal",J100="")</formula>
    </cfRule>
    <cfRule type="expression" dxfId="394" priority="354">
      <formula>AND(M100,OR(G100="pauschal",J100&lt;&gt;""))</formula>
    </cfRule>
    <cfRule type="expression" dxfId="393" priority="339">
      <formula>AND(M100,H100="",G100&lt;&gt;"pauschal",J100="")</formula>
    </cfRule>
    <cfRule type="expression" dxfId="392" priority="357">
      <formula>AND(M100,H100="",G100&lt;&gt;"pauschal",J100="")</formula>
    </cfRule>
    <cfRule type="expression" dxfId="391" priority="360">
      <formula>AND(M100,OR(G100="pauschal",J100&lt;&gt;""))</formula>
    </cfRule>
    <cfRule type="expression" dxfId="390" priority="338">
      <formula>M100=FALSE</formula>
    </cfRule>
    <cfRule type="expression" dxfId="389" priority="356">
      <formula>M100=FALSE</formula>
    </cfRule>
    <cfRule type="expression" dxfId="388" priority="345">
      <formula>AND(M100,H100="",G100&lt;&gt;"pauschal",J100="")</formula>
    </cfRule>
    <cfRule type="expression" dxfId="387" priority="348">
      <formula>AND(M100,OR(G100="pauschal",J100&lt;&gt;""))</formula>
    </cfRule>
  </conditionalFormatting>
  <conditionalFormatting sqref="H102:I102">
    <cfRule type="expression" dxfId="386" priority="454">
      <formula>AND(M102,H102="",G102&lt;&gt;"pauschal",J102="")</formula>
    </cfRule>
    <cfRule type="expression" dxfId="385" priority="451">
      <formula>AND(M102,OR(G102="pauschal",J102&lt;&gt;""))</formula>
    </cfRule>
    <cfRule type="expression" dxfId="384" priority="447">
      <formula>M102=FALSE</formula>
    </cfRule>
    <cfRule type="expression" dxfId="383" priority="448">
      <formula>AND(M102,H102="",G102&lt;&gt;"pauschal",J102="")</formula>
    </cfRule>
    <cfRule type="expression" dxfId="382" priority="463">
      <formula>AND(M102,OR(G102="pauschal",J102&lt;&gt;""))</formula>
    </cfRule>
    <cfRule type="expression" dxfId="381" priority="460">
      <formula>AND(M102,H102="",G102&lt;&gt;"pauschal",J102="")</formula>
    </cfRule>
    <cfRule type="expression" dxfId="380" priority="457">
      <formula>AND(M102,OR(G102="pauschal",J102&lt;&gt;""))</formula>
    </cfRule>
    <cfRule type="expression" dxfId="379" priority="441">
      <formula>M102=FALSE</formula>
    </cfRule>
    <cfRule type="expression" dxfId="378" priority="442">
      <formula>AND(M102,H102="",G102&lt;&gt;"pauschal",J102="")</formula>
    </cfRule>
    <cfRule type="expression" dxfId="377" priority="453">
      <formula>M102=FALSE</formula>
    </cfRule>
    <cfRule type="expression" dxfId="376" priority="459">
      <formula>M102=FALSE</formula>
    </cfRule>
    <cfRule type="expression" dxfId="375" priority="445">
      <formula>AND(M102,OR(G102="pauschal",J102&lt;&gt;""))</formula>
    </cfRule>
  </conditionalFormatting>
  <conditionalFormatting sqref="H104:I104 H106:I106 H108:I108">
    <cfRule type="expression" dxfId="374" priority="428">
      <formula>AND(M104,OR(G104="pauschal",J104&lt;&gt;""))</formula>
    </cfRule>
    <cfRule type="expression" dxfId="373" priority="418">
      <formula>M104=FALSE</formula>
    </cfRule>
    <cfRule type="expression" dxfId="372" priority="425">
      <formula>AND(M104,H104="",G104&lt;&gt;"pauschal",J104="")</formula>
    </cfRule>
    <cfRule type="expression" dxfId="371" priority="416">
      <formula>AND(M104,OR(G104="pauschal",J104&lt;&gt;""))</formula>
    </cfRule>
    <cfRule type="expression" dxfId="370" priority="424">
      <formula>M104=FALSE</formula>
    </cfRule>
    <cfRule type="expression" dxfId="369" priority="419">
      <formula>AND(M104,H104="",G104&lt;&gt;"pauschal",J104="")</formula>
    </cfRule>
    <cfRule type="expression" dxfId="368" priority="413">
      <formula>AND(M104,H104="",G104&lt;&gt;"pauschal",J104="")</formula>
    </cfRule>
    <cfRule type="expression" dxfId="367" priority="412">
      <formula>M104=FALSE</formula>
    </cfRule>
    <cfRule type="expression" dxfId="366" priority="422">
      <formula>AND(M104,OR(G104="pauschal",J104&lt;&gt;""))</formula>
    </cfRule>
    <cfRule type="expression" dxfId="365" priority="430">
      <formula>M104=FALSE</formula>
    </cfRule>
    <cfRule type="expression" dxfId="364" priority="434">
      <formula>AND(M104,OR(G104="pauschal",J104&lt;&gt;""))</formula>
    </cfRule>
    <cfRule type="expression" dxfId="363" priority="431">
      <formula>AND(M104,H104="",G104&lt;&gt;"pauschal",J104="")</formula>
    </cfRule>
  </conditionalFormatting>
  <conditionalFormatting sqref="J14">
    <cfRule type="expression" dxfId="362" priority="761">
      <formula>AND(M14,G14="v.H.-Satz")</formula>
    </cfRule>
    <cfRule type="expression" dxfId="361" priority="757">
      <formula>M14=FALSE</formula>
    </cfRule>
    <cfRule type="expression" dxfId="360" priority="760">
      <formula>AND(M14,J14="",G14&lt;&gt;"v.H.-Satz",H14="")</formula>
    </cfRule>
  </conditionalFormatting>
  <conditionalFormatting sqref="J16">
    <cfRule type="expression" dxfId="359" priority="724">
      <formula>AND(M16,J16="",G16&lt;&gt;"v.H.-Satz",H16="")</formula>
    </cfRule>
    <cfRule type="expression" dxfId="358" priority="751">
      <formula>M16=FALSE</formula>
    </cfRule>
    <cfRule type="expression" dxfId="357" priority="725">
      <formula>AND(M16,G16="v.H.-Satz")</formula>
    </cfRule>
    <cfRule type="expression" dxfId="356" priority="755">
      <formula>AND(M16,G16="v.H.-Satz")</formula>
    </cfRule>
    <cfRule type="expression" dxfId="355" priority="721">
      <formula>M16=FALSE</formula>
    </cfRule>
    <cfRule type="expression" dxfId="354" priority="754">
      <formula>AND(M16,J16="",G16&lt;&gt;"v.H.-Satz",H16="")</formula>
    </cfRule>
  </conditionalFormatting>
  <conditionalFormatting sqref="J18">
    <cfRule type="expression" dxfId="353" priority="709">
      <formula>M18=FALSE</formula>
    </cfRule>
    <cfRule type="expression" dxfId="352" priority="712">
      <formula>AND(M18,J18="",G18&lt;&gt;"v.H.-Satz",H18="")</formula>
    </cfRule>
    <cfRule type="expression" dxfId="351" priority="748">
      <formula>AND(M18,J18="",G18&lt;&gt;"v.H.-Satz",H18="")</formula>
    </cfRule>
    <cfRule type="expression" dxfId="350" priority="715">
      <formula>M18=FALSE</formula>
    </cfRule>
    <cfRule type="expression" dxfId="349" priority="718">
      <formula>AND(M18,J18="",G18&lt;&gt;"v.H.-Satz",H18="")</formula>
    </cfRule>
    <cfRule type="expression" dxfId="348" priority="719">
      <formula>AND(M18,G18="v.H.-Satz")</formula>
    </cfRule>
    <cfRule type="expression" dxfId="347" priority="745">
      <formula>M18=FALSE</formula>
    </cfRule>
    <cfRule type="expression" dxfId="346" priority="713">
      <formula>AND(M18,G18="v.H.-Satz")</formula>
    </cfRule>
    <cfRule type="expression" dxfId="345" priority="749">
      <formula>AND(M18,G18="v.H.-Satz")</formula>
    </cfRule>
  </conditionalFormatting>
  <conditionalFormatting sqref="J20">
    <cfRule type="expression" dxfId="344" priority="703">
      <formula>M20=FALSE</formula>
    </cfRule>
    <cfRule type="expression" dxfId="343" priority="695">
      <formula>AND(M20,G20="v.H.-Satz")</formula>
    </cfRule>
    <cfRule type="expression" dxfId="342" priority="694">
      <formula>AND(M20,J20="",G20&lt;&gt;"v.H.-Satz",H20="")</formula>
    </cfRule>
    <cfRule type="expression" dxfId="341" priority="691">
      <formula>M20=FALSE</formula>
    </cfRule>
    <cfRule type="expression" dxfId="340" priority="743">
      <formula>AND(M20,G20="v.H.-Satz")</formula>
    </cfRule>
    <cfRule type="expression" dxfId="339" priority="707">
      <formula>AND(M20,G20="v.H.-Satz")</formula>
    </cfRule>
    <cfRule type="expression" dxfId="338" priority="739">
      <formula>M20=FALSE</formula>
    </cfRule>
    <cfRule type="expression" dxfId="337" priority="706">
      <formula>AND(M20,J20="",G20&lt;&gt;"v.H.-Satz",H20="")</formula>
    </cfRule>
    <cfRule type="expression" dxfId="336" priority="742">
      <formula>AND(M20,J20="",G20&lt;&gt;"v.H.-Satz",H20="")</formula>
    </cfRule>
  </conditionalFormatting>
  <conditionalFormatting sqref="J22">
    <cfRule type="expression" dxfId="335" priority="697">
      <formula>M22=FALSE</formula>
    </cfRule>
    <cfRule type="expression" dxfId="334" priority="737">
      <formula>AND(M22,G22="v.H.-Satz")</formula>
    </cfRule>
    <cfRule type="expression" dxfId="333" priority="700">
      <formula>AND(M22,J22="",G22&lt;&gt;"v.H.-Satz",H22="")</formula>
    </cfRule>
    <cfRule type="expression" dxfId="332" priority="679">
      <formula>M22=FALSE</formula>
    </cfRule>
    <cfRule type="expression" dxfId="331" priority="701">
      <formula>AND(M22,G22="v.H.-Satz")</formula>
    </cfRule>
    <cfRule type="expression" dxfId="330" priority="682">
      <formula>AND(M22,J22="",G22&lt;&gt;"v.H.-Satz",H22="")</formula>
    </cfRule>
    <cfRule type="expression" dxfId="329" priority="685">
      <formula>M22=FALSE</formula>
    </cfRule>
    <cfRule type="expression" dxfId="328" priority="689">
      <formula>AND(M22,G22="v.H.-Satz")</formula>
    </cfRule>
    <cfRule type="expression" dxfId="327" priority="683">
      <formula>AND(M22,G22="v.H.-Satz")</formula>
    </cfRule>
    <cfRule type="expression" dxfId="326" priority="733">
      <formula>M22=FALSE</formula>
    </cfRule>
    <cfRule type="expression" dxfId="325" priority="688">
      <formula>AND(M22,J22="",G22&lt;&gt;"v.H.-Satz",H22="")</formula>
    </cfRule>
    <cfRule type="expression" dxfId="324" priority="736">
      <formula>AND(M22,J22="",G22&lt;&gt;"v.H.-Satz",H22="")</formula>
    </cfRule>
  </conditionalFormatting>
  <conditionalFormatting sqref="J24">
    <cfRule type="expression" dxfId="323" priority="626">
      <formula>M24=FALSE</formula>
    </cfRule>
    <cfRule type="expression" dxfId="322" priority="630">
      <formula>AND(M24,G24="v.H.-Satz")</formula>
    </cfRule>
    <cfRule type="expression" dxfId="321" priority="629">
      <formula>AND(M24,J24="",G24&lt;&gt;"v.H.-Satz",H24="")</formula>
    </cfRule>
    <cfRule type="expression" dxfId="320" priority="642">
      <formula>AND(M24,G24="v.H.-Satz")</formula>
    </cfRule>
    <cfRule type="expression" dxfId="319" priority="638">
      <formula>M24=FALSE</formula>
    </cfRule>
    <cfRule type="expression" dxfId="318" priority="641">
      <formula>AND(M24,J24="",G24&lt;&gt;"v.H.-Satz",H24="")</formula>
    </cfRule>
    <cfRule type="expression" dxfId="317" priority="636">
      <formula>AND(M24,G24="v.H.-Satz")</formula>
    </cfRule>
    <cfRule type="expression" dxfId="316" priority="620">
      <formula>M24=FALSE</formula>
    </cfRule>
    <cfRule type="expression" dxfId="315" priority="635">
      <formula>AND(M24,J24="",G24&lt;&gt;"v.H.-Satz",H24="")</formula>
    </cfRule>
    <cfRule type="expression" dxfId="314" priority="624">
      <formula>AND(M24,G24="v.H.-Satz")</formula>
    </cfRule>
    <cfRule type="expression" dxfId="313" priority="623">
      <formula>AND(M24,J24="",G24&lt;&gt;"v.H.-Satz",H24="")</formula>
    </cfRule>
    <cfRule type="expression" dxfId="312" priority="632">
      <formula>M24=FALSE</formula>
    </cfRule>
  </conditionalFormatting>
  <conditionalFormatting sqref="J26">
    <cfRule type="expression" dxfId="311" priority="671">
      <formula>AND(M26,G26="v.H.-Satz")</formula>
    </cfRule>
    <cfRule type="expression" dxfId="310" priority="727">
      <formula>M26=FALSE</formula>
    </cfRule>
    <cfRule type="expression" dxfId="309" priority="730">
      <formula>AND(M26,J26="",G26&lt;&gt;"v.H.-Satz",H26="")</formula>
    </cfRule>
    <cfRule type="expression" dxfId="308" priority="665">
      <formula>AND(M26,G26="v.H.-Satz")</formula>
    </cfRule>
    <cfRule type="expression" dxfId="307" priority="677">
      <formula>AND(M26,G26="v.H.-Satz")</formula>
    </cfRule>
    <cfRule type="expression" dxfId="306" priority="676">
      <formula>AND(M26,J26="",G26&lt;&gt;"v.H.-Satz",H26="")</formula>
    </cfRule>
    <cfRule type="expression" dxfId="305" priority="664">
      <formula>AND(M26,J26="",G26&lt;&gt;"v.H.-Satz",H26="")</formula>
    </cfRule>
    <cfRule type="expression" dxfId="304" priority="661">
      <formula>M26=FALSE</formula>
    </cfRule>
    <cfRule type="expression" dxfId="303" priority="673">
      <formula>M26=FALSE</formula>
    </cfRule>
    <cfRule type="expression" dxfId="302" priority="670">
      <formula>AND(M26,J26="",G26&lt;&gt;"v.H.-Satz",H26="")</formula>
    </cfRule>
    <cfRule type="expression" dxfId="301" priority="731">
      <formula>AND(M26,G26="v.H.-Satz")</formula>
    </cfRule>
    <cfRule type="expression" dxfId="300" priority="667">
      <formula>M26=FALSE</formula>
    </cfRule>
  </conditionalFormatting>
  <conditionalFormatting sqref="J31">
    <cfRule type="expression" dxfId="299" priority="600">
      <formula>AND(M31,J31="",G31&lt;&gt;"v.H.-Satz",H31="")</formula>
    </cfRule>
    <cfRule type="expression" dxfId="298" priority="603">
      <formula>M31=FALSE</formula>
    </cfRule>
    <cfRule type="expression" dxfId="297" priority="606">
      <formula>AND(M31,J31="",G31&lt;&gt;"v.H.-Satz",H31="")</formula>
    </cfRule>
    <cfRule type="expression" dxfId="296" priority="607">
      <formula>AND(M31,G31="v.H.-Satz")</formula>
    </cfRule>
    <cfRule type="expression" dxfId="295" priority="601">
      <formula>AND(M31,G31="v.H.-Satz")</formula>
    </cfRule>
    <cfRule type="expression" dxfId="294" priority="585">
      <formula>M31=FALSE</formula>
    </cfRule>
    <cfRule type="expression" dxfId="293" priority="588">
      <formula>AND(M31,J31="",G31&lt;&gt;"v.H.-Satz",H31="")</formula>
    </cfRule>
    <cfRule type="expression" dxfId="292" priority="589">
      <formula>AND(M31,G31="v.H.-Satz")</formula>
    </cfRule>
    <cfRule type="expression" dxfId="291" priority="591">
      <formula>M31=FALSE</formula>
    </cfRule>
    <cfRule type="expression" dxfId="290" priority="594">
      <formula>AND(M31,J31="",G31&lt;&gt;"v.H.-Satz",H31="")</formula>
    </cfRule>
    <cfRule type="expression" dxfId="289" priority="595">
      <formula>AND(M31,G31="v.H.-Satz")</formula>
    </cfRule>
    <cfRule type="expression" dxfId="288" priority="597">
      <formula>M31=FALSE</formula>
    </cfRule>
  </conditionalFormatting>
  <conditionalFormatting sqref="J33 J35 J37 J39 J41">
    <cfRule type="expression" dxfId="287" priority="578">
      <formula>AND(M33,G33="v.H.-Satz")</formula>
    </cfRule>
    <cfRule type="expression" dxfId="286" priority="571">
      <formula>AND(M33,J33="",G33&lt;&gt;"v.H.-Satz",H33="")</formula>
    </cfRule>
    <cfRule type="expression" dxfId="285" priority="556">
      <formula>M33=FALSE</formula>
    </cfRule>
    <cfRule type="expression" dxfId="284" priority="560">
      <formula>AND(M33,G33="v.H.-Satz")</formula>
    </cfRule>
    <cfRule type="expression" dxfId="283" priority="572">
      <formula>AND(M33,G33="v.H.-Satz")</formula>
    </cfRule>
    <cfRule type="expression" dxfId="282" priority="568">
      <formula>M33=FALSE</formula>
    </cfRule>
    <cfRule type="expression" dxfId="281" priority="562">
      <formula>M33=FALSE</formula>
    </cfRule>
    <cfRule type="expression" dxfId="280" priority="559">
      <formula>AND(M33,J33="",G33&lt;&gt;"v.H.-Satz",H33="")</formula>
    </cfRule>
    <cfRule type="expression" dxfId="279" priority="574">
      <formula>M33=FALSE</formula>
    </cfRule>
    <cfRule type="expression" dxfId="278" priority="566">
      <formula>AND(M33,G33="v.H.-Satz")</formula>
    </cfRule>
    <cfRule type="expression" dxfId="277" priority="565">
      <formula>AND(M33,J33="",G33&lt;&gt;"v.H.-Satz",H33="")</formula>
    </cfRule>
    <cfRule type="expression" dxfId="276" priority="577">
      <formula>AND(M33,J33="",G33&lt;&gt;"v.H.-Satz",H33="")</formula>
    </cfRule>
  </conditionalFormatting>
  <conditionalFormatting sqref="J46">
    <cfRule type="expression" dxfId="275" priority="527">
      <formula>M46=FALSE</formula>
    </cfRule>
    <cfRule type="expression" dxfId="274" priority="531">
      <formula>AND(M46,G46="v.H.-Satz")</formula>
    </cfRule>
    <cfRule type="expression" dxfId="273" priority="548">
      <formula>AND(M46,J46="",G46&lt;&gt;"v.H.-Satz",H46="")</formula>
    </cfRule>
    <cfRule type="expression" dxfId="272" priority="536">
      <formula>AND(M46,J46="",G46&lt;&gt;"v.H.-Satz",H46="")</formula>
    </cfRule>
    <cfRule type="expression" dxfId="271" priority="537">
      <formula>AND(M46,G46="v.H.-Satz")</formula>
    </cfRule>
    <cfRule type="expression" dxfId="270" priority="530">
      <formula>AND(M46,J46="",G46&lt;&gt;"v.H.-Satz",H46="")</formula>
    </cfRule>
    <cfRule type="expression" dxfId="269" priority="545">
      <formula>M46=FALSE</formula>
    </cfRule>
    <cfRule type="expression" dxfId="268" priority="533">
      <formula>M46=FALSE</formula>
    </cfRule>
    <cfRule type="expression" dxfId="267" priority="539">
      <formula>M46=FALSE</formula>
    </cfRule>
    <cfRule type="expression" dxfId="266" priority="543">
      <formula>AND(M46,G46="v.H.-Satz")</formula>
    </cfRule>
    <cfRule type="expression" dxfId="265" priority="542">
      <formula>AND(M46,J46="",G46&lt;&gt;"v.H.-Satz",H46="")</formula>
    </cfRule>
    <cfRule type="expression" dxfId="264" priority="549">
      <formula>AND(M46,G46="v.H.-Satz")</formula>
    </cfRule>
  </conditionalFormatting>
  <conditionalFormatting sqref="J48 J50 J52 J54 J56">
    <cfRule type="expression" dxfId="263" priority="498">
      <formula>M48=FALSE</formula>
    </cfRule>
    <cfRule type="expression" dxfId="262" priority="508">
      <formula>AND(M48,G48="v.H.-Satz")</formula>
    </cfRule>
    <cfRule type="expression" dxfId="261" priority="510">
      <formula>M48=FALSE</formula>
    </cfRule>
    <cfRule type="expression" dxfId="260" priority="519">
      <formula>AND(M48,J48="",G48&lt;&gt;"v.H.-Satz",H48="")</formula>
    </cfRule>
    <cfRule type="expression" dxfId="259" priority="513">
      <formula>AND(M48,J48="",G48&lt;&gt;"v.H.-Satz",H48="")</formula>
    </cfRule>
    <cfRule type="expression" dxfId="258" priority="504">
      <formula>M48=FALSE</formula>
    </cfRule>
    <cfRule type="expression" dxfId="257" priority="516">
      <formula>M48=FALSE</formula>
    </cfRule>
    <cfRule type="expression" dxfId="256" priority="501">
      <formula>AND(M48,J48="",G48&lt;&gt;"v.H.-Satz",H48="")</formula>
    </cfRule>
    <cfRule type="expression" dxfId="255" priority="514">
      <formula>AND(M48,G48="v.H.-Satz")</formula>
    </cfRule>
    <cfRule type="expression" dxfId="254" priority="502">
      <formula>AND(M48,G48="v.H.-Satz")</formula>
    </cfRule>
    <cfRule type="expression" dxfId="253" priority="507">
      <formula>AND(M48,J48="",G48&lt;&gt;"v.H.-Satz",H48="")</formula>
    </cfRule>
    <cfRule type="expression" dxfId="252" priority="520">
      <formula>AND(M48,G48="v.H.-Satz")</formula>
    </cfRule>
  </conditionalFormatting>
  <conditionalFormatting sqref="J61">
    <cfRule type="expression" dxfId="251" priority="270">
      <formula>AND(M61,G61="v.H.-Satz")</formula>
    </cfRule>
    <cfRule type="expression" dxfId="250" priority="276">
      <formula>AND(M61,G61="v.H.-Satz")</formula>
    </cfRule>
    <cfRule type="expression" dxfId="249" priority="275">
      <formula>AND(M61,J61="",G61&lt;&gt;"v.H.-Satz",H61="")</formula>
    </cfRule>
    <cfRule type="expression" dxfId="248" priority="272">
      <formula>M61=FALSE</formula>
    </cfRule>
    <cfRule type="expression" dxfId="247" priority="269">
      <formula>AND(M61,J61="",G61&lt;&gt;"v.H.-Satz",H61="")</formula>
    </cfRule>
    <cfRule type="expression" dxfId="246" priority="266">
      <formula>M61=FALSE</formula>
    </cfRule>
    <cfRule type="expression" dxfId="245" priority="264">
      <formula>AND(M61,G61="v.H.-Satz")</formula>
    </cfRule>
    <cfRule type="expression" dxfId="244" priority="263">
      <formula>AND(M61,J61="",G61&lt;&gt;"v.H.-Satz",H61="")</formula>
    </cfRule>
    <cfRule type="expression" dxfId="243" priority="260">
      <formula>M61=FALSE</formula>
    </cfRule>
    <cfRule type="expression" dxfId="242" priority="258">
      <formula>AND(M61,G61="v.H.-Satz")</formula>
    </cfRule>
    <cfRule type="expression" dxfId="241" priority="257">
      <formula>AND(M61,J61="",G61&lt;&gt;"v.H.-Satz",H61="")</formula>
    </cfRule>
    <cfRule type="expression" dxfId="240" priority="254">
      <formula>M61=FALSE</formula>
    </cfRule>
  </conditionalFormatting>
  <conditionalFormatting sqref="J63">
    <cfRule type="expression" dxfId="239" priority="181">
      <formula>M63=FALSE</formula>
    </cfRule>
    <cfRule type="expression" dxfId="238" priority="185">
      <formula>AND(M63,G63="v.H.-Satz")</formula>
    </cfRule>
    <cfRule type="expression" dxfId="237" priority="175">
      <formula>M63=FALSE</formula>
    </cfRule>
    <cfRule type="expression" dxfId="236" priority="178">
      <formula>AND(M63,J63="",G63&lt;&gt;"v.H.-Satz",H63="")</formula>
    </cfRule>
    <cfRule type="expression" dxfId="235" priority="179">
      <formula>AND(M63,G63="v.H.-Satz")</formula>
    </cfRule>
    <cfRule type="expression" dxfId="234" priority="184">
      <formula>AND(M63,J63="",G63&lt;&gt;"v.H.-Satz",H63="")</formula>
    </cfRule>
    <cfRule type="expression" dxfId="233" priority="187">
      <formula>M63=FALSE</formula>
    </cfRule>
    <cfRule type="expression" dxfId="232" priority="197">
      <formula>AND(M63,G63="v.H.-Satz")</formula>
    </cfRule>
    <cfRule type="expression" dxfId="231" priority="196">
      <formula>AND(M63,J63="",G63&lt;&gt;"v.H.-Satz",H63="")</formula>
    </cfRule>
    <cfRule type="expression" dxfId="230" priority="193">
      <formula>M63=FALSE</formula>
    </cfRule>
    <cfRule type="expression" dxfId="229" priority="191">
      <formula>AND(M63,G63="v.H.-Satz")</formula>
    </cfRule>
    <cfRule type="expression" dxfId="228" priority="190">
      <formula>AND(M63,J63="",G63&lt;&gt;"v.H.-Satz",H63="")</formula>
    </cfRule>
  </conditionalFormatting>
  <conditionalFormatting sqref="J65">
    <cfRule type="expression" dxfId="227" priority="234">
      <formula>M65=FALSE</formula>
    </cfRule>
    <cfRule type="expression" dxfId="226" priority="232">
      <formula>AND(M65,G65="v.H.-Satz")</formula>
    </cfRule>
    <cfRule type="expression" dxfId="225" priority="231">
      <formula>AND(M65,J65="",G65&lt;&gt;"v.H.-Satz",H65="")</formula>
    </cfRule>
    <cfRule type="expression" dxfId="224" priority="228">
      <formula>M65=FALSE</formula>
    </cfRule>
    <cfRule type="expression" dxfId="223" priority="250">
      <formula>AND(M65,G65="v.H.-Satz")</formula>
    </cfRule>
    <cfRule type="expression" dxfId="222" priority="243">
      <formula>AND(M65,J65="",G65&lt;&gt;"v.H.-Satz",H65="")</formula>
    </cfRule>
    <cfRule type="expression" dxfId="221" priority="244">
      <formula>AND(M65,G65="v.H.-Satz")</formula>
    </cfRule>
    <cfRule type="expression" dxfId="220" priority="246">
      <formula>M65=FALSE</formula>
    </cfRule>
    <cfRule type="expression" dxfId="219" priority="249">
      <formula>AND(M65,J65="",G65&lt;&gt;"v.H.-Satz",H65="")</formula>
    </cfRule>
    <cfRule type="expression" dxfId="218" priority="238">
      <formula>AND(M65,G65="v.H.-Satz")</formula>
    </cfRule>
    <cfRule type="expression" dxfId="217" priority="237">
      <formula>AND(M65,J65="",G65&lt;&gt;"v.H.-Satz",H65="")</formula>
    </cfRule>
    <cfRule type="expression" dxfId="216" priority="240">
      <formula>M65=FALSE</formula>
    </cfRule>
  </conditionalFormatting>
  <conditionalFormatting sqref="J67">
    <cfRule type="expression" dxfId="215" priority="224">
      <formula>AND(M67,G67="v.H.-Satz")</formula>
    </cfRule>
    <cfRule type="expression" dxfId="214" priority="220">
      <formula>M67=FALSE</formula>
    </cfRule>
    <cfRule type="expression" dxfId="213" priority="218">
      <formula>AND(M67,G67="v.H.-Satz")</formula>
    </cfRule>
    <cfRule type="expression" dxfId="212" priority="217">
      <formula>AND(M67,J67="",G67&lt;&gt;"v.H.-Satz",H67="")</formula>
    </cfRule>
    <cfRule type="expression" dxfId="211" priority="214">
      <formula>M67=FALSE</formula>
    </cfRule>
    <cfRule type="expression" dxfId="210" priority="211">
      <formula>AND(M67,J67="",G67&lt;&gt;"v.H.-Satz",H67="")</formula>
    </cfRule>
    <cfRule type="expression" dxfId="209" priority="223">
      <formula>AND(M67,J67="",G67&lt;&gt;"v.H.-Satz",H67="")</formula>
    </cfRule>
    <cfRule type="expression" dxfId="208" priority="202">
      <formula>M67=FALSE</formula>
    </cfRule>
    <cfRule type="expression" dxfId="207" priority="212">
      <formula>AND(M67,G67="v.H.-Satz")</formula>
    </cfRule>
    <cfRule type="expression" dxfId="206" priority="206">
      <formula>AND(M67,G67="v.H.-Satz")</formula>
    </cfRule>
    <cfRule type="expression" dxfId="205" priority="205">
      <formula>AND(M67,J67="",G67&lt;&gt;"v.H.-Satz",H67="")</formula>
    </cfRule>
    <cfRule type="expression" dxfId="204" priority="208">
      <formula>M67=FALSE</formula>
    </cfRule>
  </conditionalFormatting>
  <conditionalFormatting sqref="J69">
    <cfRule type="expression" dxfId="203" priority="167">
      <formula>AND(M69,J69="",G69&lt;&gt;"v.H.-Satz",H69="")</formula>
    </cfRule>
    <cfRule type="expression" dxfId="202" priority="164">
      <formula>M69=FALSE</formula>
    </cfRule>
    <cfRule type="expression" dxfId="201" priority="161">
      <formula>AND(M69,J69="",G69&lt;&gt;"v.H.-Satz",H69="")</formula>
    </cfRule>
    <cfRule type="expression" dxfId="200" priority="158">
      <formula>M69=FALSE</formula>
    </cfRule>
    <cfRule type="expression" dxfId="199" priority="156">
      <formula>AND(M69,G69="v.H.-Satz")</formula>
    </cfRule>
    <cfRule type="expression" dxfId="198" priority="162">
      <formula>AND(M69,G69="v.H.-Satz")</formula>
    </cfRule>
    <cfRule type="expression" dxfId="197" priority="155">
      <formula>AND(M69,J69="",G69&lt;&gt;"v.H.-Satz",H69="")</formula>
    </cfRule>
    <cfRule type="expression" dxfId="196" priority="152">
      <formula>M69=FALSE</formula>
    </cfRule>
    <cfRule type="expression" dxfId="195" priority="150">
      <formula>AND(M69,G69="v.H.-Satz")</formula>
    </cfRule>
    <cfRule type="expression" dxfId="194" priority="149">
      <formula>AND(M69,J69="",G69&lt;&gt;"v.H.-Satz",H69="")</formula>
    </cfRule>
    <cfRule type="expression" dxfId="193" priority="146">
      <formula>M69=FALSE</formula>
    </cfRule>
    <cfRule type="expression" dxfId="192" priority="168">
      <formula>AND(M69,G69="v.H.-Satz")</formula>
    </cfRule>
  </conditionalFormatting>
  <conditionalFormatting sqref="J89 J91 J93">
    <cfRule type="expression" dxfId="191" priority="491">
      <formula>AND(M89,G89="v.H.-Satz")</formula>
    </cfRule>
    <cfRule type="expression" dxfId="190" priority="490">
      <formula>AND(M89,J89="",G89&lt;&gt;"v.H.-Satz",H89="")</formula>
    </cfRule>
    <cfRule type="expression" dxfId="189" priority="472">
      <formula>AND(M89,J89="",G89&lt;&gt;"v.H.-Satz",H89="")</formula>
    </cfRule>
    <cfRule type="expression" dxfId="188" priority="469">
      <formula>M89=FALSE</formula>
    </cfRule>
    <cfRule type="expression" dxfId="187" priority="487">
      <formula>M89=FALSE</formula>
    </cfRule>
    <cfRule type="expression" dxfId="186" priority="475">
      <formula>M89=FALSE</formula>
    </cfRule>
    <cfRule type="expression" dxfId="185" priority="485">
      <formula>AND(M89,G89="v.H.-Satz")</formula>
    </cfRule>
    <cfRule type="expression" dxfId="184" priority="484">
      <formula>AND(M89,J89="",G89&lt;&gt;"v.H.-Satz",H89="")</formula>
    </cfRule>
    <cfRule type="expression" dxfId="183" priority="473">
      <formula>AND(M89,G89="v.H.-Satz")</formula>
    </cfRule>
    <cfRule type="expression" dxfId="182" priority="481">
      <formula>M89=FALSE</formula>
    </cfRule>
    <cfRule type="expression" dxfId="181" priority="479">
      <formula>AND(M89,G89="v.H.-Satz")</formula>
    </cfRule>
    <cfRule type="expression" dxfId="180" priority="478">
      <formula>AND(M89,J89="",G89&lt;&gt;"v.H.-Satz",H89="")</formula>
    </cfRule>
  </conditionalFormatting>
  <conditionalFormatting sqref="J98">
    <cfRule type="expression" dxfId="179" priority="363">
      <formula>M98=FALSE</formula>
    </cfRule>
    <cfRule type="expression" dxfId="178" priority="385">
      <formula>AND(M98,G98="v.H.-Satz")</formula>
    </cfRule>
    <cfRule type="expression" dxfId="177" priority="366">
      <formula>AND(M98,J98="",G98&lt;&gt;"v.H.-Satz",H98="")</formula>
    </cfRule>
    <cfRule type="expression" dxfId="176" priority="367">
      <formula>AND(M98,G98="v.H.-Satz")</formula>
    </cfRule>
    <cfRule type="expression" dxfId="175" priority="369">
      <formula>M98=FALSE</formula>
    </cfRule>
    <cfRule type="expression" dxfId="174" priority="381">
      <formula>M98=FALSE</formula>
    </cfRule>
    <cfRule type="expression" dxfId="173" priority="384">
      <formula>AND(M98,J98="",G98&lt;&gt;"v.H.-Satz",H98="")</formula>
    </cfRule>
    <cfRule type="expression" dxfId="172" priority="378">
      <formula>AND(M98,J98="",G98&lt;&gt;"v.H.-Satz",H98="")</formula>
    </cfRule>
    <cfRule type="expression" dxfId="171" priority="372">
      <formula>AND(M98,J98="",G98&lt;&gt;"v.H.-Satz",H98="")</formula>
    </cfRule>
    <cfRule type="expression" dxfId="170" priority="373">
      <formula>AND(M98,G98="v.H.-Satz")</formula>
    </cfRule>
    <cfRule type="expression" dxfId="169" priority="375">
      <formula>M98=FALSE</formula>
    </cfRule>
    <cfRule type="expression" dxfId="168" priority="379">
      <formula>AND(M98,G98="v.H.-Satz")</formula>
    </cfRule>
  </conditionalFormatting>
  <conditionalFormatting sqref="J100">
    <cfRule type="expression" dxfId="167" priority="359">
      <formula>AND(M100,G100="v.H.-Satz")</formula>
    </cfRule>
    <cfRule type="expression" dxfId="166" priority="341">
      <formula>AND(M100,G100="v.H.-Satz")</formula>
    </cfRule>
    <cfRule type="expression" dxfId="165" priority="337">
      <formula>M100=FALSE</formula>
    </cfRule>
    <cfRule type="expression" dxfId="164" priority="343">
      <formula>M100=FALSE</formula>
    </cfRule>
    <cfRule type="expression" dxfId="163" priority="346">
      <formula>AND(M100,J100="",G100&lt;&gt;"v.H.-Satz",H100="")</formula>
    </cfRule>
    <cfRule type="expression" dxfId="162" priority="347">
      <formula>AND(M100,G100="v.H.-Satz")</formula>
    </cfRule>
    <cfRule type="expression" dxfId="161" priority="349">
      <formula>M100=FALSE</formula>
    </cfRule>
    <cfRule type="expression" dxfId="160" priority="352">
      <formula>AND(M100,J100="",G100&lt;&gt;"v.H.-Satz",H100="")</formula>
    </cfRule>
    <cfRule type="expression" dxfId="159" priority="355">
      <formula>M100=FALSE</formula>
    </cfRule>
    <cfRule type="expression" dxfId="158" priority="353">
      <formula>AND(M100,G100="v.H.-Satz")</formula>
    </cfRule>
    <cfRule type="expression" dxfId="157" priority="358">
      <formula>AND(M100,J100="",G100&lt;&gt;"v.H.-Satz",H100="")</formula>
    </cfRule>
    <cfRule type="expression" dxfId="156" priority="340">
      <formula>AND(M100,J100="",G100&lt;&gt;"v.H.-Satz",H100="")</formula>
    </cfRule>
  </conditionalFormatting>
  <conditionalFormatting sqref="J102">
    <cfRule type="expression" dxfId="155" priority="450">
      <formula>AND(M102,G102="v.H.-Satz")</formula>
    </cfRule>
    <cfRule type="expression" dxfId="154" priority="449">
      <formula>AND(M102,J102="",G102&lt;&gt;"v.H.-Satz",H102="")</formula>
    </cfRule>
    <cfRule type="expression" dxfId="153" priority="443">
      <formula>AND(M102,J102="",G102&lt;&gt;"v.H.-Satz",H102="")</formula>
    </cfRule>
    <cfRule type="expression" dxfId="152" priority="444">
      <formula>AND(M102,G102="v.H.-Satz")</formula>
    </cfRule>
    <cfRule type="expression" dxfId="151" priority="446">
      <formula>M102=FALSE</formula>
    </cfRule>
    <cfRule type="expression" dxfId="150" priority="456">
      <formula>AND(M102,G102="v.H.-Satz")</formula>
    </cfRule>
    <cfRule type="expression" dxfId="149" priority="458">
      <formula>M102=FALSE</formula>
    </cfRule>
    <cfRule type="expression" dxfId="148" priority="455">
      <formula>AND(M102,J102="",G102&lt;&gt;"v.H.-Satz",H102="")</formula>
    </cfRule>
    <cfRule type="expression" dxfId="147" priority="461">
      <formula>AND(M102,J102="",G102&lt;&gt;"v.H.-Satz",H102="")</formula>
    </cfRule>
    <cfRule type="expression" dxfId="146" priority="452">
      <formula>M102=FALSE</formula>
    </cfRule>
    <cfRule type="expression" dxfId="145" priority="462">
      <formula>AND(M102,G102="v.H.-Satz")</formula>
    </cfRule>
    <cfRule type="expression" dxfId="144" priority="440">
      <formula>M102=FALSE</formula>
    </cfRule>
  </conditionalFormatting>
  <conditionalFormatting sqref="J104 J106 J108">
    <cfRule type="expression" dxfId="143" priority="421">
      <formula>AND(M104,G104="v.H.-Satz")</formula>
    </cfRule>
    <cfRule type="expression" dxfId="142" priority="429">
      <formula>M104=FALSE</formula>
    </cfRule>
    <cfRule type="expression" dxfId="141" priority="417">
      <formula>M104=FALSE</formula>
    </cfRule>
    <cfRule type="expression" dxfId="140" priority="411">
      <formula>M104=FALSE</formula>
    </cfRule>
    <cfRule type="expression" dxfId="139" priority="432">
      <formula>AND(M104,J104="",G104&lt;&gt;"v.H.-Satz",H104="")</formula>
    </cfRule>
    <cfRule type="expression" dxfId="138" priority="433">
      <formula>AND(M104,G104="v.H.-Satz")</formula>
    </cfRule>
    <cfRule type="expression" dxfId="137" priority="415">
      <formula>AND(M104,G104="v.H.-Satz")</formula>
    </cfRule>
    <cfRule type="expression" dxfId="136" priority="427">
      <formula>AND(M104,G104="v.H.-Satz")</formula>
    </cfRule>
    <cfRule type="expression" dxfId="135" priority="426">
      <formula>AND(M104,J104="",G104&lt;&gt;"v.H.-Satz",H104="")</formula>
    </cfRule>
    <cfRule type="expression" dxfId="134" priority="423">
      <formula>M104=FALSE</formula>
    </cfRule>
    <cfRule type="expression" dxfId="133" priority="414">
      <formula>AND(M104,J104="",G104&lt;&gt;"v.H.-Satz",H104="")</formula>
    </cfRule>
    <cfRule type="expression" dxfId="132" priority="420">
      <formula>AND(M104,J104="",G104&lt;&gt;"v.H.-Satz",H104="")</formula>
    </cfRule>
  </conditionalFormatting>
  <dataValidations count="1">
    <dataValidation type="list" allowBlank="1" showInputMessage="1" showErrorMessage="1" sqref="G20 G14 H26 G24 G22 G16 G41 G33 G35 G37 G39 G46 G61 G67 G63 G52 G54 G56 G100 G108 G98 G18 G89 G91 G102 G31 G93 G48 G50 G104 G106 G65 G69" xr:uid="{00000000-0002-0000-0800-000000000000}">
      <formula1>"v.H.-Satz,pauschal"</formula1>
    </dataValidation>
  </dataValidations>
  <pageMargins left="0.39370078740157483" right="0.19685039370078741" top="0.39370078740157483" bottom="0.47244094488188981" header="0.31496062992125984" footer="0.31496062992125984"/>
  <pageSetup paperSize="9" scale="84" fitToHeight="0" orientation="portrait" r:id="rId1"/>
  <headerFooter scaleWithDoc="0">
    <oddFooter>&amp;L&amp;8©  VHF Bayern - Stand Februar 2023&amp;R&amp;P</oddFooter>
  </headerFooter>
  <rowBreaks count="3" manualBreakCount="3">
    <brk id="44" max="24" man="1"/>
    <brk id="59" max="24" man="1"/>
    <brk id="96"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ltText="">
                <anchor moveWithCells="1">
                  <from>
                    <xdr:col>1</xdr:col>
                    <xdr:colOff>0</xdr:colOff>
                    <xdr:row>13</xdr:row>
                    <xdr:rowOff>0</xdr:rowOff>
                  </from>
                  <to>
                    <xdr:col>2</xdr:col>
                    <xdr:colOff>7315</xdr:colOff>
                    <xdr:row>13</xdr:row>
                    <xdr:rowOff>219456</xdr:rowOff>
                  </to>
                </anchor>
              </controlPr>
            </control>
          </mc:Choice>
        </mc:AlternateContent>
        <mc:AlternateContent xmlns:mc="http://schemas.openxmlformats.org/markup-compatibility/2006">
          <mc:Choice Requires="x14">
            <control shapeId="51202" r:id="rId5" name="Check Box 2">
              <controlPr defaultSize="0" autoFill="0" autoLine="0" autoPict="0" altText="">
                <anchor moveWithCells="1">
                  <from>
                    <xdr:col>1</xdr:col>
                    <xdr:colOff>0</xdr:colOff>
                    <xdr:row>19</xdr:row>
                    <xdr:rowOff>21946</xdr:rowOff>
                  </from>
                  <to>
                    <xdr:col>2</xdr:col>
                    <xdr:colOff>7315</xdr:colOff>
                    <xdr:row>19</xdr:row>
                    <xdr:rowOff>219456</xdr:rowOff>
                  </to>
                </anchor>
              </controlPr>
            </control>
          </mc:Choice>
        </mc:AlternateContent>
        <mc:AlternateContent xmlns:mc="http://schemas.openxmlformats.org/markup-compatibility/2006">
          <mc:Choice Requires="x14">
            <control shapeId="51203" r:id="rId6" name="Check Box 3">
              <controlPr defaultSize="0" autoFill="0" autoLine="0" autoPict="0" altText="">
                <anchor moveWithCells="1">
                  <from>
                    <xdr:col>1</xdr:col>
                    <xdr:colOff>0</xdr:colOff>
                    <xdr:row>25</xdr:row>
                    <xdr:rowOff>0</xdr:rowOff>
                  </from>
                  <to>
                    <xdr:col>2</xdr:col>
                    <xdr:colOff>7315</xdr:colOff>
                    <xdr:row>25</xdr:row>
                    <xdr:rowOff>212141</xdr:rowOff>
                  </to>
                </anchor>
              </controlPr>
            </control>
          </mc:Choice>
        </mc:AlternateContent>
        <mc:AlternateContent xmlns:mc="http://schemas.openxmlformats.org/markup-compatibility/2006">
          <mc:Choice Requires="x14">
            <control shapeId="51212" r:id="rId7" name="Check Box 12">
              <controlPr defaultSize="0" autoFill="0" autoLine="0" autoPict="0" altText="">
                <anchor moveWithCells="1">
                  <from>
                    <xdr:col>1</xdr:col>
                    <xdr:colOff>0</xdr:colOff>
                    <xdr:row>30</xdr:row>
                    <xdr:rowOff>0</xdr:rowOff>
                  </from>
                  <to>
                    <xdr:col>2</xdr:col>
                    <xdr:colOff>7315</xdr:colOff>
                    <xdr:row>31</xdr:row>
                    <xdr:rowOff>7315</xdr:rowOff>
                  </to>
                </anchor>
              </controlPr>
            </control>
          </mc:Choice>
        </mc:AlternateContent>
        <mc:AlternateContent xmlns:mc="http://schemas.openxmlformats.org/markup-compatibility/2006">
          <mc:Choice Requires="x14">
            <control shapeId="51213" r:id="rId8" name="Check Box 13">
              <controlPr defaultSize="0" autoFill="0" autoLine="0" autoPict="0" altText="">
                <anchor moveWithCells="1">
                  <from>
                    <xdr:col>1</xdr:col>
                    <xdr:colOff>0</xdr:colOff>
                    <xdr:row>32</xdr:row>
                    <xdr:rowOff>0</xdr:rowOff>
                  </from>
                  <to>
                    <xdr:col>2</xdr:col>
                    <xdr:colOff>7315</xdr:colOff>
                    <xdr:row>33</xdr:row>
                    <xdr:rowOff>7315</xdr:rowOff>
                  </to>
                </anchor>
              </controlPr>
            </control>
          </mc:Choice>
        </mc:AlternateContent>
        <mc:AlternateContent xmlns:mc="http://schemas.openxmlformats.org/markup-compatibility/2006">
          <mc:Choice Requires="x14">
            <control shapeId="51214" r:id="rId9" name="Check Box 14">
              <controlPr defaultSize="0" autoFill="0" autoLine="0" autoPict="0" altText="">
                <anchor moveWithCells="1">
                  <from>
                    <xdr:col>1</xdr:col>
                    <xdr:colOff>0</xdr:colOff>
                    <xdr:row>40</xdr:row>
                    <xdr:rowOff>0</xdr:rowOff>
                  </from>
                  <to>
                    <xdr:col>2</xdr:col>
                    <xdr:colOff>7315</xdr:colOff>
                    <xdr:row>41</xdr:row>
                    <xdr:rowOff>7315</xdr:rowOff>
                  </to>
                </anchor>
              </controlPr>
            </control>
          </mc:Choice>
        </mc:AlternateContent>
        <mc:AlternateContent xmlns:mc="http://schemas.openxmlformats.org/markup-compatibility/2006">
          <mc:Choice Requires="x14">
            <control shapeId="51215" r:id="rId10" name="Check Box 15">
              <controlPr defaultSize="0" autoFill="0" autoLine="0" autoPict="0" altText="">
                <anchor moveWithCells="1">
                  <from>
                    <xdr:col>1</xdr:col>
                    <xdr:colOff>0</xdr:colOff>
                    <xdr:row>45</xdr:row>
                    <xdr:rowOff>0</xdr:rowOff>
                  </from>
                  <to>
                    <xdr:col>2</xdr:col>
                    <xdr:colOff>7315</xdr:colOff>
                    <xdr:row>46</xdr:row>
                    <xdr:rowOff>7315</xdr:rowOff>
                  </to>
                </anchor>
              </controlPr>
            </control>
          </mc:Choice>
        </mc:AlternateContent>
        <mc:AlternateContent xmlns:mc="http://schemas.openxmlformats.org/markup-compatibility/2006">
          <mc:Choice Requires="x14">
            <control shapeId="51216" r:id="rId11" name="Check Box 16">
              <controlPr defaultSize="0" autoFill="0" autoLine="0" autoPict="0" altText="">
                <anchor moveWithCells="1">
                  <from>
                    <xdr:col>1</xdr:col>
                    <xdr:colOff>0</xdr:colOff>
                    <xdr:row>47</xdr:row>
                    <xdr:rowOff>0</xdr:rowOff>
                  </from>
                  <to>
                    <xdr:col>2</xdr:col>
                    <xdr:colOff>7315</xdr:colOff>
                    <xdr:row>48</xdr:row>
                    <xdr:rowOff>0</xdr:rowOff>
                  </to>
                </anchor>
              </controlPr>
            </control>
          </mc:Choice>
        </mc:AlternateContent>
        <mc:AlternateContent xmlns:mc="http://schemas.openxmlformats.org/markup-compatibility/2006">
          <mc:Choice Requires="x14">
            <control shapeId="51217" r:id="rId12" name="Check Box 17">
              <controlPr defaultSize="0" autoFill="0" autoLine="0" autoPict="0" altText="">
                <anchor moveWithCells="1">
                  <from>
                    <xdr:col>1</xdr:col>
                    <xdr:colOff>0</xdr:colOff>
                    <xdr:row>49</xdr:row>
                    <xdr:rowOff>0</xdr:rowOff>
                  </from>
                  <to>
                    <xdr:col>2</xdr:col>
                    <xdr:colOff>7315</xdr:colOff>
                    <xdr:row>50</xdr:row>
                    <xdr:rowOff>7315</xdr:rowOff>
                  </to>
                </anchor>
              </controlPr>
            </control>
          </mc:Choice>
        </mc:AlternateContent>
        <mc:AlternateContent xmlns:mc="http://schemas.openxmlformats.org/markup-compatibility/2006">
          <mc:Choice Requires="x14">
            <control shapeId="51218" r:id="rId13" name="Check Box 18">
              <controlPr defaultSize="0" autoFill="0" autoLine="0" autoPict="0" altText="">
                <anchor moveWithCells="1">
                  <from>
                    <xdr:col>1</xdr:col>
                    <xdr:colOff>0</xdr:colOff>
                    <xdr:row>51</xdr:row>
                    <xdr:rowOff>0</xdr:rowOff>
                  </from>
                  <to>
                    <xdr:col>2</xdr:col>
                    <xdr:colOff>7315</xdr:colOff>
                    <xdr:row>52</xdr:row>
                    <xdr:rowOff>7315</xdr:rowOff>
                  </to>
                </anchor>
              </controlPr>
            </control>
          </mc:Choice>
        </mc:AlternateContent>
        <mc:AlternateContent xmlns:mc="http://schemas.openxmlformats.org/markup-compatibility/2006">
          <mc:Choice Requires="x14">
            <control shapeId="51219" r:id="rId14" name="Check Box 19">
              <controlPr defaultSize="0" autoFill="0" autoLine="0" autoPict="0" altText="">
                <anchor moveWithCells="1">
                  <from>
                    <xdr:col>1</xdr:col>
                    <xdr:colOff>0</xdr:colOff>
                    <xdr:row>53</xdr:row>
                    <xdr:rowOff>0</xdr:rowOff>
                  </from>
                  <to>
                    <xdr:col>2</xdr:col>
                    <xdr:colOff>7315</xdr:colOff>
                    <xdr:row>54</xdr:row>
                    <xdr:rowOff>0</xdr:rowOff>
                  </to>
                </anchor>
              </controlPr>
            </control>
          </mc:Choice>
        </mc:AlternateContent>
        <mc:AlternateContent xmlns:mc="http://schemas.openxmlformats.org/markup-compatibility/2006">
          <mc:Choice Requires="x14">
            <control shapeId="51220" r:id="rId15" name="Check Box 20">
              <controlPr defaultSize="0" autoFill="0" autoLine="0" autoPict="0" altText="">
                <anchor moveWithCells="1">
                  <from>
                    <xdr:col>1</xdr:col>
                    <xdr:colOff>0</xdr:colOff>
                    <xdr:row>55</xdr:row>
                    <xdr:rowOff>0</xdr:rowOff>
                  </from>
                  <to>
                    <xdr:col>2</xdr:col>
                    <xdr:colOff>7315</xdr:colOff>
                    <xdr:row>56</xdr:row>
                    <xdr:rowOff>7315</xdr:rowOff>
                  </to>
                </anchor>
              </controlPr>
            </control>
          </mc:Choice>
        </mc:AlternateContent>
        <mc:AlternateContent xmlns:mc="http://schemas.openxmlformats.org/markup-compatibility/2006">
          <mc:Choice Requires="x14">
            <control shapeId="51221" r:id="rId16" name="Check Box 21">
              <controlPr defaultSize="0" autoFill="0" autoLine="0" autoPict="0" altText="3 Fahrstreifen">
                <anchor moveWithCells="1">
                  <from>
                    <xdr:col>1</xdr:col>
                    <xdr:colOff>0</xdr:colOff>
                    <xdr:row>97</xdr:row>
                    <xdr:rowOff>0</xdr:rowOff>
                  </from>
                  <to>
                    <xdr:col>2</xdr:col>
                    <xdr:colOff>7315</xdr:colOff>
                    <xdr:row>98</xdr:row>
                    <xdr:rowOff>0</xdr:rowOff>
                  </to>
                </anchor>
              </controlPr>
            </control>
          </mc:Choice>
        </mc:AlternateContent>
        <mc:AlternateContent xmlns:mc="http://schemas.openxmlformats.org/markup-compatibility/2006">
          <mc:Choice Requires="x14">
            <control shapeId="51222" r:id="rId17" name="Check Box 22">
              <controlPr defaultSize="0" autoFill="0" autoLine="0" autoPict="0" altText="3 Fahrstreifen">
                <anchor moveWithCells="1">
                  <from>
                    <xdr:col>1</xdr:col>
                    <xdr:colOff>0</xdr:colOff>
                    <xdr:row>101</xdr:row>
                    <xdr:rowOff>0</xdr:rowOff>
                  </from>
                  <to>
                    <xdr:col>2</xdr:col>
                    <xdr:colOff>7315</xdr:colOff>
                    <xdr:row>102</xdr:row>
                    <xdr:rowOff>7315</xdr:rowOff>
                  </to>
                </anchor>
              </controlPr>
            </control>
          </mc:Choice>
        </mc:AlternateContent>
        <mc:AlternateContent xmlns:mc="http://schemas.openxmlformats.org/markup-compatibility/2006">
          <mc:Choice Requires="x14">
            <control shapeId="51223" r:id="rId18" name="Check Box 23">
              <controlPr defaultSize="0" autoFill="0" autoLine="0" autoPict="0" altText="">
                <anchor moveWithCells="1">
                  <from>
                    <xdr:col>1</xdr:col>
                    <xdr:colOff>0</xdr:colOff>
                    <xdr:row>62</xdr:row>
                    <xdr:rowOff>0</xdr:rowOff>
                  </from>
                  <to>
                    <xdr:col>2</xdr:col>
                    <xdr:colOff>7315</xdr:colOff>
                    <xdr:row>63</xdr:row>
                    <xdr:rowOff>7315</xdr:rowOff>
                  </to>
                </anchor>
              </controlPr>
            </control>
          </mc:Choice>
        </mc:AlternateContent>
        <mc:AlternateContent xmlns:mc="http://schemas.openxmlformats.org/markup-compatibility/2006">
          <mc:Choice Requires="x14">
            <control shapeId="51224" r:id="rId19" name="Check Box 24">
              <controlPr defaultSize="0" autoFill="0" autoLine="0" autoPict="0" altText="">
                <anchor moveWithCells="1">
                  <from>
                    <xdr:col>1</xdr:col>
                    <xdr:colOff>0</xdr:colOff>
                    <xdr:row>60</xdr:row>
                    <xdr:rowOff>0</xdr:rowOff>
                  </from>
                  <to>
                    <xdr:col>2</xdr:col>
                    <xdr:colOff>7315</xdr:colOff>
                    <xdr:row>61</xdr:row>
                    <xdr:rowOff>7315</xdr:rowOff>
                  </to>
                </anchor>
              </controlPr>
            </control>
          </mc:Choice>
        </mc:AlternateContent>
        <mc:AlternateContent xmlns:mc="http://schemas.openxmlformats.org/markup-compatibility/2006">
          <mc:Choice Requires="x14">
            <control shapeId="51225" r:id="rId20" name="Check Box 25">
              <controlPr defaultSize="0" autoFill="0" autoLine="0" autoPict="0" altText="">
                <anchor moveWithCells="1">
                  <from>
                    <xdr:col>1</xdr:col>
                    <xdr:colOff>0</xdr:colOff>
                    <xdr:row>64</xdr:row>
                    <xdr:rowOff>0</xdr:rowOff>
                  </from>
                  <to>
                    <xdr:col>2</xdr:col>
                    <xdr:colOff>7315</xdr:colOff>
                    <xdr:row>65</xdr:row>
                    <xdr:rowOff>7315</xdr:rowOff>
                  </to>
                </anchor>
              </controlPr>
            </control>
          </mc:Choice>
        </mc:AlternateContent>
        <mc:AlternateContent xmlns:mc="http://schemas.openxmlformats.org/markup-compatibility/2006">
          <mc:Choice Requires="x14">
            <control shapeId="51226" r:id="rId21" name="Check Box 26">
              <controlPr defaultSize="0" autoFill="0" autoLine="0" autoPict="0" altText="">
                <anchor moveWithCells="1">
                  <from>
                    <xdr:col>1</xdr:col>
                    <xdr:colOff>0</xdr:colOff>
                    <xdr:row>66</xdr:row>
                    <xdr:rowOff>0</xdr:rowOff>
                  </from>
                  <to>
                    <xdr:col>2</xdr:col>
                    <xdr:colOff>7315</xdr:colOff>
                    <xdr:row>67</xdr:row>
                    <xdr:rowOff>7315</xdr:rowOff>
                  </to>
                </anchor>
              </controlPr>
            </control>
          </mc:Choice>
        </mc:AlternateContent>
        <mc:AlternateContent xmlns:mc="http://schemas.openxmlformats.org/markup-compatibility/2006">
          <mc:Choice Requires="x14">
            <control shapeId="51227" r:id="rId22" name="Check Box 27">
              <controlPr defaultSize="0" autoFill="0" autoLine="0" autoPict="0" altText="3 Fahrstreifen">
                <anchor moveWithCells="1">
                  <from>
                    <xdr:col>1</xdr:col>
                    <xdr:colOff>0</xdr:colOff>
                    <xdr:row>92</xdr:row>
                    <xdr:rowOff>0</xdr:rowOff>
                  </from>
                  <to>
                    <xdr:col>2</xdr:col>
                    <xdr:colOff>7315</xdr:colOff>
                    <xdr:row>93</xdr:row>
                    <xdr:rowOff>7315</xdr:rowOff>
                  </to>
                </anchor>
              </controlPr>
            </control>
          </mc:Choice>
        </mc:AlternateContent>
        <mc:AlternateContent xmlns:mc="http://schemas.openxmlformats.org/markup-compatibility/2006">
          <mc:Choice Requires="x14">
            <control shapeId="51228" r:id="rId23" name="Check Box 28">
              <controlPr defaultSize="0" autoFill="0" autoLine="0" autoPict="0" altText="">
                <anchor moveWithCells="1">
                  <from>
                    <xdr:col>1</xdr:col>
                    <xdr:colOff>0</xdr:colOff>
                    <xdr:row>68</xdr:row>
                    <xdr:rowOff>0</xdr:rowOff>
                  </from>
                  <to>
                    <xdr:col>2</xdr:col>
                    <xdr:colOff>7315</xdr:colOff>
                    <xdr:row>69</xdr:row>
                    <xdr:rowOff>7315</xdr:rowOff>
                  </to>
                </anchor>
              </controlPr>
            </control>
          </mc:Choice>
        </mc:AlternateContent>
        <mc:AlternateContent xmlns:mc="http://schemas.openxmlformats.org/markup-compatibility/2006">
          <mc:Choice Requires="x14">
            <control shapeId="51229" r:id="rId24" name="Check Box 29">
              <controlPr defaultSize="0" autoFill="0" autoLine="0" autoPict="0">
                <anchor moveWithCells="1">
                  <from>
                    <xdr:col>1</xdr:col>
                    <xdr:colOff>0</xdr:colOff>
                    <xdr:row>90</xdr:row>
                    <xdr:rowOff>0</xdr:rowOff>
                  </from>
                  <to>
                    <xdr:col>2</xdr:col>
                    <xdr:colOff>7315</xdr:colOff>
                    <xdr:row>91</xdr:row>
                    <xdr:rowOff>7315</xdr:rowOff>
                  </to>
                </anchor>
              </controlPr>
            </control>
          </mc:Choice>
        </mc:AlternateContent>
        <mc:AlternateContent xmlns:mc="http://schemas.openxmlformats.org/markup-compatibility/2006">
          <mc:Choice Requires="x14">
            <control shapeId="51230" r:id="rId25" name="Check Box 30">
              <controlPr defaultSize="0" autoFill="0" autoLine="0" autoPict="0">
                <anchor moveWithCells="1">
                  <from>
                    <xdr:col>1</xdr:col>
                    <xdr:colOff>0</xdr:colOff>
                    <xdr:row>88</xdr:row>
                    <xdr:rowOff>0</xdr:rowOff>
                  </from>
                  <to>
                    <xdr:col>2</xdr:col>
                    <xdr:colOff>7315</xdr:colOff>
                    <xdr:row>89</xdr:row>
                    <xdr:rowOff>7315</xdr:rowOff>
                  </to>
                </anchor>
              </controlPr>
            </control>
          </mc:Choice>
        </mc:AlternateContent>
        <mc:AlternateContent xmlns:mc="http://schemas.openxmlformats.org/markup-compatibility/2006">
          <mc:Choice Requires="x14">
            <control shapeId="51234" r:id="rId26" name="Check Box 34">
              <controlPr defaultSize="0" autoFill="0" autoLine="0" autoPict="0" altText="">
                <anchor moveWithCells="1">
                  <from>
                    <xdr:col>1</xdr:col>
                    <xdr:colOff>0</xdr:colOff>
                    <xdr:row>55</xdr:row>
                    <xdr:rowOff>0</xdr:rowOff>
                  </from>
                  <to>
                    <xdr:col>2</xdr:col>
                    <xdr:colOff>7315</xdr:colOff>
                    <xdr:row>56</xdr:row>
                    <xdr:rowOff>7315</xdr:rowOff>
                  </to>
                </anchor>
              </controlPr>
            </control>
          </mc:Choice>
        </mc:AlternateContent>
        <mc:AlternateContent xmlns:mc="http://schemas.openxmlformats.org/markup-compatibility/2006">
          <mc:Choice Requires="x14">
            <control shapeId="51235" r:id="rId27" name="Check Box 35">
              <controlPr defaultSize="0" autoFill="0" autoLine="0" autoPict="0">
                <anchor moveWithCells="1">
                  <from>
                    <xdr:col>4</xdr:col>
                    <xdr:colOff>0</xdr:colOff>
                    <xdr:row>70</xdr:row>
                    <xdr:rowOff>0</xdr:rowOff>
                  </from>
                  <to>
                    <xdr:col>5</xdr:col>
                    <xdr:colOff>36576</xdr:colOff>
                    <xdr:row>71</xdr:row>
                    <xdr:rowOff>0</xdr:rowOff>
                  </to>
                </anchor>
              </controlPr>
            </control>
          </mc:Choice>
        </mc:AlternateContent>
        <mc:AlternateContent xmlns:mc="http://schemas.openxmlformats.org/markup-compatibility/2006">
          <mc:Choice Requires="x14">
            <control shapeId="51236" r:id="rId28" name="Check Box 36">
              <controlPr defaultSize="0" autoFill="0" autoLine="0" autoPict="0">
                <anchor moveWithCells="1">
                  <from>
                    <xdr:col>4</xdr:col>
                    <xdr:colOff>0</xdr:colOff>
                    <xdr:row>71</xdr:row>
                    <xdr:rowOff>0</xdr:rowOff>
                  </from>
                  <to>
                    <xdr:col>5</xdr:col>
                    <xdr:colOff>36576</xdr:colOff>
                    <xdr:row>72</xdr:row>
                    <xdr:rowOff>21946</xdr:rowOff>
                  </to>
                </anchor>
              </controlPr>
            </control>
          </mc:Choice>
        </mc:AlternateContent>
        <mc:AlternateContent xmlns:mc="http://schemas.openxmlformats.org/markup-compatibility/2006">
          <mc:Choice Requires="x14">
            <control shapeId="51237" r:id="rId29" name="Check Box 37">
              <controlPr defaultSize="0" autoFill="0" autoLine="0" autoPict="0">
                <anchor moveWithCells="1">
                  <from>
                    <xdr:col>4</xdr:col>
                    <xdr:colOff>0</xdr:colOff>
                    <xdr:row>78</xdr:row>
                    <xdr:rowOff>0</xdr:rowOff>
                  </from>
                  <to>
                    <xdr:col>5</xdr:col>
                    <xdr:colOff>36576</xdr:colOff>
                    <xdr:row>79</xdr:row>
                    <xdr:rowOff>0</xdr:rowOff>
                  </to>
                </anchor>
              </controlPr>
            </control>
          </mc:Choice>
        </mc:AlternateContent>
        <mc:AlternateContent xmlns:mc="http://schemas.openxmlformats.org/markup-compatibility/2006">
          <mc:Choice Requires="x14">
            <control shapeId="51238" r:id="rId30" name="Check Box 38">
              <controlPr defaultSize="0" autoFill="0" autoLine="0" autoPict="0">
                <anchor moveWithCells="1">
                  <from>
                    <xdr:col>4</xdr:col>
                    <xdr:colOff>0</xdr:colOff>
                    <xdr:row>80</xdr:row>
                    <xdr:rowOff>0</xdr:rowOff>
                  </from>
                  <to>
                    <xdr:col>5</xdr:col>
                    <xdr:colOff>36576</xdr:colOff>
                    <xdr:row>81</xdr:row>
                    <xdr:rowOff>0</xdr:rowOff>
                  </to>
                </anchor>
              </controlPr>
            </control>
          </mc:Choice>
        </mc:AlternateContent>
        <mc:AlternateContent xmlns:mc="http://schemas.openxmlformats.org/markup-compatibility/2006">
          <mc:Choice Requires="x14">
            <control shapeId="51239" r:id="rId31" name="Check Box 39">
              <controlPr defaultSize="0" autoFill="0" autoLine="0" autoPict="0">
                <anchor moveWithCells="1">
                  <from>
                    <xdr:col>4</xdr:col>
                    <xdr:colOff>0</xdr:colOff>
                    <xdr:row>81</xdr:row>
                    <xdr:rowOff>0</xdr:rowOff>
                  </from>
                  <to>
                    <xdr:col>5</xdr:col>
                    <xdr:colOff>36576</xdr:colOff>
                    <xdr:row>82</xdr:row>
                    <xdr:rowOff>0</xdr:rowOff>
                  </to>
                </anchor>
              </controlPr>
            </control>
          </mc:Choice>
        </mc:AlternateContent>
        <mc:AlternateContent xmlns:mc="http://schemas.openxmlformats.org/markup-compatibility/2006">
          <mc:Choice Requires="x14">
            <control shapeId="51240" r:id="rId32" name="Check Box 40">
              <controlPr defaultSize="0" autoFill="0" autoLine="0" autoPict="0">
                <anchor moveWithCells="1">
                  <from>
                    <xdr:col>4</xdr:col>
                    <xdr:colOff>0</xdr:colOff>
                    <xdr:row>82</xdr:row>
                    <xdr:rowOff>0</xdr:rowOff>
                  </from>
                  <to>
                    <xdr:col>5</xdr:col>
                    <xdr:colOff>36576</xdr:colOff>
                    <xdr:row>83</xdr:row>
                    <xdr:rowOff>0</xdr:rowOff>
                  </to>
                </anchor>
              </controlPr>
            </control>
          </mc:Choice>
        </mc:AlternateContent>
        <mc:AlternateContent xmlns:mc="http://schemas.openxmlformats.org/markup-compatibility/2006">
          <mc:Choice Requires="x14">
            <control shapeId="51241" r:id="rId33" name="Check Box 41">
              <controlPr defaultSize="0" autoFill="0" autoLine="0" autoPict="0">
                <anchor moveWithCells="1">
                  <from>
                    <xdr:col>4</xdr:col>
                    <xdr:colOff>0</xdr:colOff>
                    <xdr:row>84</xdr:row>
                    <xdr:rowOff>0</xdr:rowOff>
                  </from>
                  <to>
                    <xdr:col>5</xdr:col>
                    <xdr:colOff>36576</xdr:colOff>
                    <xdr:row>85</xdr:row>
                    <xdr:rowOff>0</xdr:rowOff>
                  </to>
                </anchor>
              </controlPr>
            </control>
          </mc:Choice>
        </mc:AlternateContent>
        <mc:AlternateContent xmlns:mc="http://schemas.openxmlformats.org/markup-compatibility/2006">
          <mc:Choice Requires="x14">
            <control shapeId="51242" r:id="rId34" name="Check Box 42">
              <controlPr defaultSize="0" autoFill="0" autoLine="0" autoPict="0">
                <anchor moveWithCells="1">
                  <from>
                    <xdr:col>4</xdr:col>
                    <xdr:colOff>0</xdr:colOff>
                    <xdr:row>86</xdr:row>
                    <xdr:rowOff>0</xdr:rowOff>
                  </from>
                  <to>
                    <xdr:col>5</xdr:col>
                    <xdr:colOff>36576</xdr:colOff>
                    <xdr:row>87</xdr:row>
                    <xdr:rowOff>0</xdr:rowOff>
                  </to>
                </anchor>
              </controlPr>
            </control>
          </mc:Choice>
        </mc:AlternateContent>
        <mc:AlternateContent xmlns:mc="http://schemas.openxmlformats.org/markup-compatibility/2006">
          <mc:Choice Requires="x14">
            <control shapeId="51243" r:id="rId35" name="Check Box 43">
              <controlPr defaultSize="0" autoFill="0" autoLine="0" autoPict="0" altText="3 Fahrstreifen">
                <anchor moveWithCells="1">
                  <from>
                    <xdr:col>1</xdr:col>
                    <xdr:colOff>0</xdr:colOff>
                    <xdr:row>99</xdr:row>
                    <xdr:rowOff>0</xdr:rowOff>
                  </from>
                  <to>
                    <xdr:col>2</xdr:col>
                    <xdr:colOff>7315</xdr:colOff>
                    <xdr:row>100</xdr:row>
                    <xdr:rowOff>7315</xdr:rowOff>
                  </to>
                </anchor>
              </controlPr>
            </control>
          </mc:Choice>
        </mc:AlternateContent>
        <mc:AlternateContent xmlns:mc="http://schemas.openxmlformats.org/markup-compatibility/2006">
          <mc:Choice Requires="x14">
            <control shapeId="51244" r:id="rId36" name="Check Box 44">
              <controlPr defaultSize="0" autoFill="0" autoLine="0" autoPict="0" altText="3 Fahrstreifen">
                <anchor moveWithCells="1">
                  <from>
                    <xdr:col>1</xdr:col>
                    <xdr:colOff>0</xdr:colOff>
                    <xdr:row>107</xdr:row>
                    <xdr:rowOff>0</xdr:rowOff>
                  </from>
                  <to>
                    <xdr:col>2</xdr:col>
                    <xdr:colOff>7315</xdr:colOff>
                    <xdr:row>108</xdr:row>
                    <xdr:rowOff>7315</xdr:rowOff>
                  </to>
                </anchor>
              </controlPr>
            </control>
          </mc:Choice>
        </mc:AlternateContent>
        <mc:AlternateContent xmlns:mc="http://schemas.openxmlformats.org/markup-compatibility/2006">
          <mc:Choice Requires="x14">
            <control shapeId="51245" r:id="rId37" name="Check Box 45">
              <controlPr defaultSize="0" autoFill="0" autoLine="0" autoPict="0">
                <anchor moveWithCells="1">
                  <from>
                    <xdr:col>1</xdr:col>
                    <xdr:colOff>0</xdr:colOff>
                    <xdr:row>105</xdr:row>
                    <xdr:rowOff>0</xdr:rowOff>
                  </from>
                  <to>
                    <xdr:col>2</xdr:col>
                    <xdr:colOff>7315</xdr:colOff>
                    <xdr:row>106</xdr:row>
                    <xdr:rowOff>7315</xdr:rowOff>
                  </to>
                </anchor>
              </controlPr>
            </control>
          </mc:Choice>
        </mc:AlternateContent>
        <mc:AlternateContent xmlns:mc="http://schemas.openxmlformats.org/markup-compatibility/2006">
          <mc:Choice Requires="x14">
            <control shapeId="51246" r:id="rId38" name="Check Box 46">
              <controlPr defaultSize="0" autoFill="0" autoLine="0" autoPict="0">
                <anchor moveWithCells="1">
                  <from>
                    <xdr:col>1</xdr:col>
                    <xdr:colOff>0</xdr:colOff>
                    <xdr:row>103</xdr:row>
                    <xdr:rowOff>0</xdr:rowOff>
                  </from>
                  <to>
                    <xdr:col>2</xdr:col>
                    <xdr:colOff>7315</xdr:colOff>
                    <xdr:row>104</xdr:row>
                    <xdr:rowOff>7315</xdr:rowOff>
                  </to>
                </anchor>
              </controlPr>
            </control>
          </mc:Choice>
        </mc:AlternateContent>
        <mc:AlternateContent xmlns:mc="http://schemas.openxmlformats.org/markup-compatibility/2006">
          <mc:Choice Requires="x14">
            <control shapeId="51248" r:id="rId39" name="Check Box 48">
              <controlPr defaultSize="0" autoFill="0" autoLine="0" autoPict="0" altText="">
                <anchor moveWithCells="1">
                  <from>
                    <xdr:col>1</xdr:col>
                    <xdr:colOff>0</xdr:colOff>
                    <xdr:row>17</xdr:row>
                    <xdr:rowOff>21946</xdr:rowOff>
                  </from>
                  <to>
                    <xdr:col>2</xdr:col>
                    <xdr:colOff>7315</xdr:colOff>
                    <xdr:row>17</xdr:row>
                    <xdr:rowOff>219456</xdr:rowOff>
                  </to>
                </anchor>
              </controlPr>
            </control>
          </mc:Choice>
        </mc:AlternateContent>
        <mc:AlternateContent xmlns:mc="http://schemas.openxmlformats.org/markup-compatibility/2006">
          <mc:Choice Requires="x14">
            <control shapeId="51249" r:id="rId40" name="Check Box 49">
              <controlPr defaultSize="0" autoFill="0" autoLine="0" autoPict="0" altText="">
                <anchor moveWithCells="1">
                  <from>
                    <xdr:col>1</xdr:col>
                    <xdr:colOff>0</xdr:colOff>
                    <xdr:row>15</xdr:row>
                    <xdr:rowOff>21946</xdr:rowOff>
                  </from>
                  <to>
                    <xdr:col>2</xdr:col>
                    <xdr:colOff>7315</xdr:colOff>
                    <xdr:row>15</xdr:row>
                    <xdr:rowOff>219456</xdr:rowOff>
                  </to>
                </anchor>
              </controlPr>
            </control>
          </mc:Choice>
        </mc:AlternateContent>
        <mc:AlternateContent xmlns:mc="http://schemas.openxmlformats.org/markup-compatibility/2006">
          <mc:Choice Requires="x14">
            <control shapeId="51250" r:id="rId41" name="Check Box 50">
              <controlPr defaultSize="0" autoFill="0" autoLine="0" autoPict="0" altText="">
                <anchor moveWithCells="1">
                  <from>
                    <xdr:col>1</xdr:col>
                    <xdr:colOff>0</xdr:colOff>
                    <xdr:row>21</xdr:row>
                    <xdr:rowOff>21946</xdr:rowOff>
                  </from>
                  <to>
                    <xdr:col>2</xdr:col>
                    <xdr:colOff>7315</xdr:colOff>
                    <xdr:row>21</xdr:row>
                    <xdr:rowOff>219456</xdr:rowOff>
                  </to>
                </anchor>
              </controlPr>
            </control>
          </mc:Choice>
        </mc:AlternateContent>
        <mc:AlternateContent xmlns:mc="http://schemas.openxmlformats.org/markup-compatibility/2006">
          <mc:Choice Requires="x14">
            <control shapeId="51251" r:id="rId42" name="Check Box 51">
              <controlPr defaultSize="0" autoFill="0" autoLine="0" autoPict="0" altText="">
                <anchor moveWithCells="1">
                  <from>
                    <xdr:col>1</xdr:col>
                    <xdr:colOff>0</xdr:colOff>
                    <xdr:row>23</xdr:row>
                    <xdr:rowOff>21946</xdr:rowOff>
                  </from>
                  <to>
                    <xdr:col>2</xdr:col>
                    <xdr:colOff>7315</xdr:colOff>
                    <xdr:row>23</xdr:row>
                    <xdr:rowOff>219456</xdr:rowOff>
                  </to>
                </anchor>
              </controlPr>
            </control>
          </mc:Choice>
        </mc:AlternateContent>
        <mc:AlternateContent xmlns:mc="http://schemas.openxmlformats.org/markup-compatibility/2006">
          <mc:Choice Requires="x14">
            <control shapeId="51252" r:id="rId43" name="Check Box 52">
              <controlPr defaultSize="0" autoFill="0" autoLine="0" autoPict="0" altText="">
                <anchor moveWithCells="1">
                  <from>
                    <xdr:col>1</xdr:col>
                    <xdr:colOff>0</xdr:colOff>
                    <xdr:row>34</xdr:row>
                    <xdr:rowOff>0</xdr:rowOff>
                  </from>
                  <to>
                    <xdr:col>2</xdr:col>
                    <xdr:colOff>7315</xdr:colOff>
                    <xdr:row>35</xdr:row>
                    <xdr:rowOff>7315</xdr:rowOff>
                  </to>
                </anchor>
              </controlPr>
            </control>
          </mc:Choice>
        </mc:AlternateContent>
        <mc:AlternateContent xmlns:mc="http://schemas.openxmlformats.org/markup-compatibility/2006">
          <mc:Choice Requires="x14">
            <control shapeId="51253" r:id="rId44" name="Check Box 53">
              <controlPr defaultSize="0" autoFill="0" autoLine="0" autoPict="0" altText="">
                <anchor moveWithCells="1">
                  <from>
                    <xdr:col>1</xdr:col>
                    <xdr:colOff>0</xdr:colOff>
                    <xdr:row>36</xdr:row>
                    <xdr:rowOff>0</xdr:rowOff>
                  </from>
                  <to>
                    <xdr:col>2</xdr:col>
                    <xdr:colOff>7315</xdr:colOff>
                    <xdr:row>37</xdr:row>
                    <xdr:rowOff>7315</xdr:rowOff>
                  </to>
                </anchor>
              </controlPr>
            </control>
          </mc:Choice>
        </mc:AlternateContent>
        <mc:AlternateContent xmlns:mc="http://schemas.openxmlformats.org/markup-compatibility/2006">
          <mc:Choice Requires="x14">
            <control shapeId="51254" r:id="rId45" name="Check Box 54">
              <controlPr defaultSize="0" autoFill="0" autoLine="0" autoPict="0" altText="">
                <anchor moveWithCells="1">
                  <from>
                    <xdr:col>1</xdr:col>
                    <xdr:colOff>0</xdr:colOff>
                    <xdr:row>38</xdr:row>
                    <xdr:rowOff>0</xdr:rowOff>
                  </from>
                  <to>
                    <xdr:col>2</xdr:col>
                    <xdr:colOff>7315</xdr:colOff>
                    <xdr:row>39</xdr:row>
                    <xdr:rowOff>7315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36</vt:i4>
      </vt:variant>
    </vt:vector>
  </HeadingPairs>
  <TitlesOfParts>
    <vt:vector size="49" baseType="lpstr">
      <vt:lpstr>Projektgrundlagen</vt:lpstr>
      <vt:lpstr>A anrechb Kosten</vt:lpstr>
      <vt:lpstr>B HZone</vt:lpstr>
      <vt:lpstr>StB-C1 Grundlstg</vt:lpstr>
      <vt:lpstr>HB-C1 Grundlstg Land</vt:lpstr>
      <vt:lpstr>HB-C2 Grundlstg Bund</vt:lpstr>
      <vt:lpstr>StB-D1 Besondere Lstg</vt:lpstr>
      <vt:lpstr>HB-D1 Besondere Lstg Land</vt:lpstr>
      <vt:lpstr>HB-D2 Besondere Lstg Bund</vt:lpstr>
      <vt:lpstr>E Honorarberechnung</vt:lpstr>
      <vt:lpstr>F Honorarübersicht</vt:lpstr>
      <vt:lpstr>G Honorarabrechnung</vt:lpstr>
      <vt:lpstr>H §48 HOAI</vt:lpstr>
      <vt:lpstr>'E Honorarberechnung'!an_summe_angebot</vt:lpstr>
      <vt:lpstr>'A anrechb Kosten'!Druckbereich</vt:lpstr>
      <vt:lpstr>'B HZone'!Druckbereich</vt:lpstr>
      <vt:lpstr>'E Honorarberechnung'!Druckbereich</vt:lpstr>
      <vt:lpstr>'F Honorarübersicht'!Druckbereich</vt:lpstr>
      <vt:lpstr>'G Honorarabrechnung'!Druckbereich</vt:lpstr>
      <vt:lpstr>'H §48 HOAI'!Druckbereich</vt:lpstr>
      <vt:lpstr>'HB-C1 Grundlstg Land'!Druckbereich</vt:lpstr>
      <vt:lpstr>'HB-C2 Grundlstg Bund'!Druckbereich</vt:lpstr>
      <vt:lpstr>'HB-D1 Besondere Lstg Land'!Druckbereich</vt:lpstr>
      <vt:lpstr>'HB-D2 Besondere Lstg Bund'!Druckbereich</vt:lpstr>
      <vt:lpstr>Projektgrundlagen!Druckbereich</vt:lpstr>
      <vt:lpstr>'StB-C1 Grundlstg'!Druckbereich</vt:lpstr>
      <vt:lpstr>'StB-D1 Besondere Lstg'!Druckbereich</vt:lpstr>
      <vt:lpstr>'A anrechb Kosten'!Drucktitel</vt:lpstr>
      <vt:lpstr>'E Honorarberechnung'!Drucktitel</vt:lpstr>
      <vt:lpstr>'F Honorarübersicht'!Drucktitel</vt:lpstr>
      <vt:lpstr>'G Honorarabrechnung'!Drucktitel</vt:lpstr>
      <vt:lpstr>'HB-C1 Grundlstg Land'!Drucktitel</vt:lpstr>
      <vt:lpstr>'HB-C2 Grundlstg Bund'!Drucktitel</vt:lpstr>
      <vt:lpstr>'HB-D1 Besondere Lstg Land'!Drucktitel</vt:lpstr>
      <vt:lpstr>'HB-D2 Besondere Lstg Bund'!Drucktitel</vt:lpstr>
      <vt:lpstr>'StB-C1 Grundlstg'!Drucktitel</vt:lpstr>
      <vt:lpstr>'StB-D1 Besondere Lstg'!Drucktitel</vt:lpstr>
      <vt:lpstr>Link_A_anrKosten</vt:lpstr>
      <vt:lpstr>Link_B_HonorarZ</vt:lpstr>
      <vt:lpstr>Link_E_Honorar</vt:lpstr>
      <vt:lpstr>Link_F_Uebersicht</vt:lpstr>
      <vt:lpstr>Link_G_Abrechnung</vt:lpstr>
      <vt:lpstr>Link_H_HOAI</vt:lpstr>
      <vt:lpstr>Link_HBC1_Grundlstg</vt:lpstr>
      <vt:lpstr>Link_HBC2_Grundlstg</vt:lpstr>
      <vt:lpstr>Link_HBD1_BesLstg</vt:lpstr>
      <vt:lpstr>Link_HBD2_BesLstg</vt:lpstr>
      <vt:lpstr>Link_StBC1_Grundlstg</vt:lpstr>
      <vt:lpstr>Link_StBD1_BesLstg</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 Daniela (StBA Ansbach);Referat-23@stmb.bayern.de</dc:creator>
  <cp:lastModifiedBy>Reichert, Max (StBA Freising)</cp:lastModifiedBy>
  <cp:lastPrinted>2024-05-06T15:35:24Z</cp:lastPrinted>
  <dcterms:created xsi:type="dcterms:W3CDTF">2015-04-17T04:22:38Z</dcterms:created>
  <dcterms:modified xsi:type="dcterms:W3CDTF">2026-01-28T13:57:25Z</dcterms:modified>
</cp:coreProperties>
</file>