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5.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drawings/drawing7.xml" ContentType="application/vnd.openxmlformats-officedocument.drawing+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drawings/drawing8.xml" ContentType="application/vnd.openxmlformats-officedocument.drawing+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drawings/drawing9.xml" ContentType="application/vnd.openxmlformats-officedocument.drawing+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drawings/drawing10.xml" ContentType="application/vnd.openxmlformats-officedocument.drawing+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drawings/drawing11.xml" ContentType="application/vnd.openxmlformats-officedocument.drawing+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drawings/drawing12.xml" ContentType="application/vnd.openxmlformats-officedocument.drawing+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DieseArbeitsmappe" defaultThemeVersion="124226"/>
  <mc:AlternateContent xmlns:mc="http://schemas.openxmlformats.org/markup-compatibility/2006">
    <mc:Choice Requires="x15">
      <x15ac:absPath xmlns:x15ac="http://schemas.microsoft.com/office/spreadsheetml/2010/11/ac" url="O:\TUM\OTTOB\15070_CAMPUS\15070A0001_Städteb_Entwicklung\2_FBT\H\26-004187_Wettbeweblicher Dialog_H2352\01_Vergabe_VgV\03_Vertrag\03_Abschluss_T_zUpload_VP\Honorarangebot\"/>
    </mc:Choice>
  </mc:AlternateContent>
  <xr:revisionPtr revIDLastSave="0" documentId="13_ncr:1_{247F4ADB-7CCE-4E4E-8A45-5DE028491861}" xr6:coauthVersionLast="47" xr6:coauthVersionMax="47" xr10:uidLastSave="{00000000-0000-0000-0000-000000000000}"/>
  <bookViews>
    <workbookView xWindow="-108" yWindow="-108" windowWidth="23256" windowHeight="12456" tabRatio="867" firstSheet="4" activeTab="10" xr2:uid="{00000000-000D-0000-FFFF-FFFF00000000}"/>
  </bookViews>
  <sheets>
    <sheet name="Projektgrundlagen" sheetId="16" r:id="rId1"/>
    <sheet name="A anrechb Kosten" sheetId="11" r:id="rId2"/>
    <sheet name="B HZone" sheetId="6" r:id="rId3"/>
    <sheet name="StB-C1 Grundlstg -entfällt-" sheetId="24" state="veryHidden" r:id="rId4"/>
    <sheet name="HB-C1 Grundlstg Land" sheetId="8" r:id="rId5"/>
    <sheet name="HB-C2 Grundlstg Bund" sheetId="17" state="hidden" r:id="rId6"/>
    <sheet name="StB-D1 BesondereLstg -entfällt-" sheetId="25" state="veryHidden" r:id="rId7"/>
    <sheet name="HB-D1 Besondere Lstg Land" sheetId="9" r:id="rId8"/>
    <sheet name="HB-D2 Besondere Lstg Bund" sheetId="18" state="hidden" r:id="rId9"/>
    <sheet name="HB-D2 Besondere Lstg BS" sheetId="27" r:id="rId10"/>
    <sheet name="E Honorarberechnung" sheetId="12" r:id="rId11"/>
    <sheet name="F Honorarübersicht" sheetId="13" state="hidden" r:id="rId12"/>
    <sheet name="G Honorarabrechnung" sheetId="23" state="hidden" r:id="rId13"/>
    <sheet name="H §35 HOAI" sheetId="4" state="hidden" r:id="rId14"/>
    <sheet name="RifT-Tabelle" sheetId="28" state="hidden" r:id="rId15"/>
    <sheet name="Z Preisspiegel" sheetId="26" state="veryHidden" r:id="rId16"/>
  </sheets>
  <externalReferences>
    <externalReference r:id="rId17"/>
    <externalReference r:id="rId18"/>
    <externalReference r:id="rId19"/>
  </externalReferences>
  <definedNames>
    <definedName name="an_summe_angebot" localSheetId="9">'[1]E Honorarberechnung'!#REF!</definedName>
    <definedName name="an_summe_angebot">'E Honorarberechnung'!$J$144</definedName>
    <definedName name="_xlnm.Print_Area" localSheetId="1">'A anrechb Kosten'!$A$1:$H$40</definedName>
    <definedName name="_xlnm.Print_Area" localSheetId="2">'B HZone'!$A$1:$J$42</definedName>
    <definedName name="_xlnm.Print_Area" localSheetId="10">'E Honorarberechnung'!$A$1:$K$146</definedName>
    <definedName name="_xlnm.Print_Area" localSheetId="11">'F Honorarübersicht'!$A$1:$P$30</definedName>
    <definedName name="_xlnm.Print_Area" localSheetId="12">'G Honorarabrechnung'!$A$1:$J$49</definedName>
    <definedName name="_xlnm.Print_Area" localSheetId="13">'H §35 HOAI'!$A$1:$L$37</definedName>
    <definedName name="_xlnm.Print_Area" localSheetId="4">'HB-C1 Grundlstg Land'!$A$1:$K$198</definedName>
    <definedName name="_xlnm.Print_Area" localSheetId="5">'HB-C2 Grundlstg Bund'!$A$1:$K$207</definedName>
    <definedName name="_xlnm.Print_Area" localSheetId="7">'HB-D1 Besondere Lstg Land'!$A$1:$L$193</definedName>
    <definedName name="_xlnm.Print_Area" localSheetId="9">'HB-D2 Besondere Lstg BS'!$A$1:$L$140</definedName>
    <definedName name="_xlnm.Print_Area" localSheetId="8">'HB-D2 Besondere Lstg Bund'!$A$1:$L$143</definedName>
    <definedName name="_xlnm.Print_Area" localSheetId="0">Projektgrundlagen!$A$1:$H$49</definedName>
    <definedName name="_xlnm.Print_Area" localSheetId="3">'StB-C1 Grundlstg -entfällt-'!$A$1:$K$124</definedName>
    <definedName name="_xlnm.Print_Area" localSheetId="6">'StB-D1 BesondereLstg -entfällt-'!$A$1:$L$95</definedName>
    <definedName name="_xlnm.Print_Titles" localSheetId="10">'E Honorarberechnung'!$1:$12</definedName>
    <definedName name="_xlnm.Print_Titles" localSheetId="11">'F Honorarübersicht'!$1:$9</definedName>
    <definedName name="_xlnm.Print_Titles" localSheetId="12">'G Honorarabrechnung'!$1:$9</definedName>
    <definedName name="_xlnm.Print_Titles" localSheetId="4">'HB-C1 Grundlstg Land'!$1:$12</definedName>
    <definedName name="_xlnm.Print_Titles" localSheetId="5">'HB-C2 Grundlstg Bund'!$1:$12</definedName>
    <definedName name="_xlnm.Print_Titles" localSheetId="7">'HB-D1 Besondere Lstg Land'!$1:$12</definedName>
    <definedName name="_xlnm.Print_Titles" localSheetId="9">'HB-D2 Besondere Lstg BS'!$1:$14</definedName>
    <definedName name="_xlnm.Print_Titles" localSheetId="8">'HB-D2 Besondere Lstg Bund'!$1:$12</definedName>
    <definedName name="_xlnm.Print_Titles" localSheetId="3">'StB-C1 Grundlstg -entfällt-'!$1:$12</definedName>
    <definedName name="_xlnm.Print_Titles" localSheetId="6">'StB-D1 BesondereLstg -entfällt-'!$1:$12</definedName>
    <definedName name="HB_D2_Besondere_Lstg_BS">Projektgrundlagen!$F$30</definedName>
    <definedName name="Link_A_anrKosten">'A anrechb Kosten'!$E$5</definedName>
    <definedName name="Link_B_HonorarZ">'B HZone'!$D$5:$F$5</definedName>
    <definedName name="Link_E_Honorar">'E Honorarberechnung'!$F$5:$H$5</definedName>
    <definedName name="Link_F_Uebersicht">'F Honorarübersicht'!$D$5:$I$5</definedName>
    <definedName name="Link_G_Abrechnung">'G Honorarabrechnung'!$D$6:$I$6</definedName>
    <definedName name="Link_H_HOAI">'H §35 HOAI'!$B$2</definedName>
    <definedName name="Link_HBC1_Grundlstg">'HB-C1 Grundlstg Land'!$F$5</definedName>
    <definedName name="Link_HBC2_Grundlstg">'HB-C2 Grundlstg Bund'!$F$5</definedName>
    <definedName name="Link_HBD1_BesLstg" localSheetId="9">'HB-D2 Besondere Lstg BS'!$F$5:$G$5</definedName>
    <definedName name="Link_HBD1_BesLstg">'HB-D1 Besondere Lstg Land'!$F$5:$G$5</definedName>
    <definedName name="Link_HBD2_BesLstg">'HB-D2 Besondere Lstg Bund'!$F$5:$G$5</definedName>
    <definedName name="Link_StBC1_Grundlstg">'StB-C1 Grundlstg -entfällt-'!$F$5</definedName>
    <definedName name="Link_StBD1_BesLstg">'StB-D1 BesondereLstg -entfällt-'!$F$5:$G$5</definedName>
    <definedName name="PS_MASSN_NR" localSheetId="14">[2]Projektgrundlagen!$E$5</definedName>
    <definedName name="PS_MASSN_NR">[1]Projektgrundlagen!$E$5</definedName>
    <definedName name="PS_MASSNAHME_1" localSheetId="14">[2]Projektgrundlagen!$E$6</definedName>
    <definedName name="PS_MASSNAHME_1">[1]Projektgrundlagen!$E$6</definedName>
    <definedName name="PS_VERGABE_NR" localSheetId="14">[2]Projektgrundlagen!$G$5</definedName>
    <definedName name="PS_VERGABE_NR">[1]Projektgrundlagen!$G$5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1" i="28" l="1"/>
  <c r="R17" i="28"/>
  <c r="O22" i="28" s="1"/>
  <c r="F8" i="27" l="1"/>
  <c r="P133" i="27" l="1"/>
  <c r="F6" i="27"/>
  <c r="J5" i="27"/>
  <c r="F5" i="27"/>
  <c r="P140" i="27"/>
  <c r="O140" i="27"/>
  <c r="P139" i="27"/>
  <c r="O139" i="27"/>
  <c r="P138" i="27"/>
  <c r="O138" i="27"/>
  <c r="P137" i="27"/>
  <c r="O137" i="27"/>
  <c r="K137" i="27" s="1"/>
  <c r="P136" i="27"/>
  <c r="O136" i="27"/>
  <c r="P135" i="27"/>
  <c r="O135" i="27"/>
  <c r="P134" i="27"/>
  <c r="O134" i="27"/>
  <c r="O133" i="27"/>
  <c r="P121" i="27"/>
  <c r="O121" i="27"/>
  <c r="P120" i="27"/>
  <c r="O120" i="27"/>
  <c r="P119" i="27"/>
  <c r="O119" i="27"/>
  <c r="P118" i="27"/>
  <c r="O118" i="27"/>
  <c r="P117" i="27"/>
  <c r="O117" i="27"/>
  <c r="P116" i="27"/>
  <c r="O116" i="27"/>
  <c r="P115" i="27"/>
  <c r="O115" i="27"/>
  <c r="P114" i="27"/>
  <c r="O114" i="27"/>
  <c r="P113" i="27"/>
  <c r="O113" i="27"/>
  <c r="P112" i="27"/>
  <c r="O112" i="27"/>
  <c r="P111" i="27"/>
  <c r="O111" i="27"/>
  <c r="P110" i="27"/>
  <c r="O110" i="27"/>
  <c r="P109" i="27"/>
  <c r="O109" i="27"/>
  <c r="P108" i="27"/>
  <c r="O108" i="27"/>
  <c r="P107" i="27"/>
  <c r="O107" i="27"/>
  <c r="P105" i="27"/>
  <c r="O105" i="27"/>
  <c r="K104" i="27"/>
  <c r="P103" i="27"/>
  <c r="O103" i="27"/>
  <c r="K103" i="27"/>
  <c r="K102" i="27"/>
  <c r="P101" i="27"/>
  <c r="O101" i="27"/>
  <c r="K101" i="27"/>
  <c r="K100" i="27"/>
  <c r="P99" i="27"/>
  <c r="O99" i="27"/>
  <c r="K98" i="27"/>
  <c r="P97" i="27"/>
  <c r="O97" i="27"/>
  <c r="K96" i="27"/>
  <c r="P95" i="27"/>
  <c r="O95" i="27"/>
  <c r="P92" i="27"/>
  <c r="O92" i="27"/>
  <c r="P91" i="27"/>
  <c r="O91" i="27"/>
  <c r="P90" i="27"/>
  <c r="O90" i="27"/>
  <c r="P89" i="27"/>
  <c r="O89" i="27"/>
  <c r="P88" i="27"/>
  <c r="O88" i="27"/>
  <c r="P87" i="27"/>
  <c r="O87" i="27"/>
  <c r="P85" i="27"/>
  <c r="O85" i="27"/>
  <c r="P84" i="27"/>
  <c r="O84" i="27"/>
  <c r="P83" i="27"/>
  <c r="O83" i="27"/>
  <c r="P81" i="27"/>
  <c r="O81" i="27"/>
  <c r="P79" i="27"/>
  <c r="O79" i="27"/>
  <c r="K79" i="27" s="1"/>
  <c r="P77" i="27"/>
  <c r="O77" i="27"/>
  <c r="K77" i="27" s="1"/>
  <c r="K76" i="27"/>
  <c r="P75" i="27"/>
  <c r="O75" i="27"/>
  <c r="K75" i="27" s="1"/>
  <c r="K74" i="27"/>
  <c r="P73" i="27"/>
  <c r="O73" i="27"/>
  <c r="P70" i="27"/>
  <c r="O70" i="27"/>
  <c r="K69" i="27"/>
  <c r="P68" i="27"/>
  <c r="O68" i="27"/>
  <c r="K62" i="27"/>
  <c r="P61" i="27"/>
  <c r="O61" i="27"/>
  <c r="P58" i="27"/>
  <c r="O58" i="27"/>
  <c r="K58" i="27"/>
  <c r="P57" i="27"/>
  <c r="O57" i="27"/>
  <c r="P56" i="27"/>
  <c r="O56" i="27"/>
  <c r="K56" i="27"/>
  <c r="P55" i="27"/>
  <c r="O55" i="27"/>
  <c r="P54" i="27"/>
  <c r="O54" i="27"/>
  <c r="P53" i="27"/>
  <c r="O53" i="27"/>
  <c r="P52" i="27"/>
  <c r="O52" i="27"/>
  <c r="P51" i="27"/>
  <c r="O51" i="27"/>
  <c r="P50" i="27"/>
  <c r="O50" i="27"/>
  <c r="P49" i="27"/>
  <c r="O49" i="27"/>
  <c r="P48" i="27"/>
  <c r="O48" i="27"/>
  <c r="P42" i="27"/>
  <c r="O42" i="27"/>
  <c r="P41" i="27"/>
  <c r="O41" i="27"/>
  <c r="P40" i="27"/>
  <c r="O40" i="27"/>
  <c r="P39" i="27"/>
  <c r="O39" i="27"/>
  <c r="K39" i="27"/>
  <c r="P36" i="27"/>
  <c r="O36" i="27"/>
  <c r="P35" i="27"/>
  <c r="O35" i="27"/>
  <c r="P34" i="27"/>
  <c r="O34" i="27"/>
  <c r="P33" i="27"/>
  <c r="O33" i="27"/>
  <c r="P32" i="27"/>
  <c r="O32" i="27"/>
  <c r="P31" i="27"/>
  <c r="O31" i="27"/>
  <c r="P30" i="27"/>
  <c r="O30" i="27"/>
  <c r="P29" i="27"/>
  <c r="O29" i="27"/>
  <c r="P28" i="27"/>
  <c r="O28" i="27"/>
  <c r="P27" i="27"/>
  <c r="O27" i="27"/>
  <c r="P26" i="27"/>
  <c r="O26" i="27"/>
  <c r="P23" i="27"/>
  <c r="O23" i="27"/>
  <c r="P22" i="27"/>
  <c r="O22" i="27"/>
  <c r="B8" i="27"/>
  <c r="F7" i="27"/>
  <c r="B7" i="27"/>
  <c r="B6" i="27"/>
  <c r="H5" i="27"/>
  <c r="B5" i="27"/>
  <c r="P3" i="27"/>
  <c r="J3" i="27"/>
  <c r="H3" i="27"/>
  <c r="H2" i="27"/>
  <c r="K99" i="27" l="1"/>
  <c r="B45" i="26"/>
  <c r="B49" i="26"/>
  <c r="B47" i="26"/>
  <c r="B50" i="26" l="1"/>
  <c r="B48" i="26"/>
  <c r="B46" i="26"/>
  <c r="B44" i="26"/>
  <c r="C12" i="26"/>
  <c r="C11" i="26"/>
  <c r="B3" i="26" l="1"/>
  <c r="C48" i="26"/>
  <c r="C46" i="26"/>
  <c r="C44" i="26"/>
  <c r="C41" i="26"/>
  <c r="C38" i="26"/>
  <c r="C16" i="26"/>
  <c r="C15" i="26"/>
  <c r="C14" i="26"/>
  <c r="F3" i="26"/>
  <c r="E3" i="26"/>
  <c r="D3" i="26"/>
  <c r="C3" i="26"/>
  <c r="H53" i="12" l="1"/>
  <c r="A6" i="16" l="1"/>
  <c r="A5" i="16"/>
  <c r="C45" i="8" l="1"/>
  <c r="C161" i="8" l="1"/>
  <c r="C162" i="8" l="1"/>
  <c r="C67" i="8"/>
  <c r="C66" i="8"/>
  <c r="C46" i="8"/>
  <c r="L193" i="8" l="1"/>
  <c r="L86" i="17"/>
  <c r="B39" i="11" l="1"/>
  <c r="K148" i="9" l="1"/>
  <c r="O53" i="12" l="1"/>
  <c r="O52" i="12"/>
  <c r="I96" i="8"/>
  <c r="D134" i="12" l="1"/>
  <c r="D133" i="12"/>
  <c r="D132" i="12"/>
  <c r="G31" i="6" l="1"/>
  <c r="J180" i="17" l="1"/>
  <c r="J177" i="17"/>
  <c r="J174" i="17"/>
  <c r="J169" i="17"/>
  <c r="J167" i="17"/>
  <c r="J165" i="17"/>
  <c r="J163" i="17"/>
  <c r="J161" i="17"/>
  <c r="J159" i="17"/>
  <c r="J157" i="17"/>
  <c r="J155" i="17"/>
  <c r="J132" i="17"/>
  <c r="I132" i="17"/>
  <c r="J129" i="17"/>
  <c r="J124" i="17"/>
  <c r="J118" i="17"/>
  <c r="I118" i="17"/>
  <c r="I114" i="17"/>
  <c r="J48" i="17"/>
  <c r="J46" i="17"/>
  <c r="J44" i="17"/>
  <c r="J42" i="17"/>
  <c r="J40" i="17"/>
  <c r="J38" i="17"/>
  <c r="J36" i="17"/>
  <c r="J34" i="17"/>
  <c r="J32" i="17"/>
  <c r="A15" i="17"/>
  <c r="A14" i="17"/>
  <c r="A13" i="17"/>
  <c r="M13" i="17"/>
  <c r="P20" i="18"/>
  <c r="O20" i="18"/>
  <c r="K20" i="18"/>
  <c r="P18" i="18"/>
  <c r="O18" i="18"/>
  <c r="K18" i="18"/>
  <c r="P16" i="18"/>
  <c r="O16" i="18"/>
  <c r="K16" i="18" s="1"/>
  <c r="J173" i="8" l="1"/>
  <c r="J170" i="8"/>
  <c r="J167" i="8"/>
  <c r="J160" i="8"/>
  <c r="J154" i="8"/>
  <c r="J152" i="8"/>
  <c r="J150" i="8"/>
  <c r="I127" i="8"/>
  <c r="J127" i="8" s="1"/>
  <c r="J113" i="8"/>
  <c r="I113" i="8"/>
  <c r="I111" i="8"/>
  <c r="A15" i="8"/>
  <c r="A14" i="8"/>
  <c r="A13" i="8"/>
  <c r="M13" i="8"/>
  <c r="J50" i="8" l="1"/>
  <c r="J40" i="8"/>
  <c r="J34" i="8"/>
  <c r="J32" i="8"/>
  <c r="P176" i="9" l="1"/>
  <c r="O176" i="9"/>
  <c r="K176" i="9"/>
  <c r="P174" i="9"/>
  <c r="O174" i="9"/>
  <c r="K174" i="9" s="1"/>
  <c r="P137" i="9"/>
  <c r="O137" i="9"/>
  <c r="K137" i="9" s="1"/>
  <c r="P112" i="9"/>
  <c r="O112" i="9"/>
  <c r="K112" i="9" s="1"/>
  <c r="P114" i="9"/>
  <c r="O114" i="9"/>
  <c r="K114" i="9" s="1"/>
  <c r="P87" i="9"/>
  <c r="O87" i="9"/>
  <c r="K87" i="9" s="1"/>
  <c r="P85" i="9"/>
  <c r="O85" i="9"/>
  <c r="K85" i="9" s="1"/>
  <c r="P83" i="9"/>
  <c r="O83" i="9"/>
  <c r="K83" i="9" s="1"/>
  <c r="P93" i="9"/>
  <c r="O93" i="9"/>
  <c r="K93" i="9"/>
  <c r="P91" i="9"/>
  <c r="O91" i="9"/>
  <c r="K91" i="9"/>
  <c r="P89" i="9"/>
  <c r="O89" i="9"/>
  <c r="K89" i="9" s="1"/>
  <c r="P97" i="9"/>
  <c r="O97" i="9"/>
  <c r="K97" i="9" s="1"/>
  <c r="P95" i="9"/>
  <c r="O95" i="9"/>
  <c r="K95" i="9" s="1"/>
  <c r="P70" i="9"/>
  <c r="O70" i="9"/>
  <c r="K70" i="9" s="1"/>
  <c r="P72" i="9"/>
  <c r="O72" i="9"/>
  <c r="K72" i="9"/>
  <c r="P59" i="9"/>
  <c r="O59" i="9"/>
  <c r="P57" i="9"/>
  <c r="O57" i="9"/>
  <c r="P116" i="18"/>
  <c r="O116" i="18"/>
  <c r="P110" i="18"/>
  <c r="O110" i="18"/>
  <c r="P108" i="18"/>
  <c r="O108" i="18"/>
  <c r="K108" i="18"/>
  <c r="P32" i="18"/>
  <c r="O32" i="18"/>
  <c r="K32" i="18"/>
  <c r="P30" i="18"/>
  <c r="O30" i="18"/>
  <c r="K30" i="18"/>
  <c r="P36" i="18"/>
  <c r="O36" i="18"/>
  <c r="K36" i="18"/>
  <c r="P34" i="18"/>
  <c r="O34" i="18"/>
  <c r="K34" i="18"/>
  <c r="P28" i="18"/>
  <c r="O28" i="18"/>
  <c r="K28" i="18"/>
  <c r="P26" i="18"/>
  <c r="O26" i="18"/>
  <c r="K26" i="18"/>
  <c r="I157" i="17"/>
  <c r="I155" i="17"/>
  <c r="I165" i="17"/>
  <c r="I167" i="17"/>
  <c r="I140" i="17"/>
  <c r="I142" i="17"/>
  <c r="I135" i="17"/>
  <c r="I124" i="17"/>
  <c r="I101" i="17"/>
  <c r="I116" i="17"/>
  <c r="I112" i="17"/>
  <c r="I110" i="17"/>
  <c r="I108" i="17"/>
  <c r="I99" i="17"/>
  <c r="I97" i="17"/>
  <c r="I95" i="17"/>
  <c r="I93" i="17"/>
  <c r="I91" i="17"/>
  <c r="I82" i="17"/>
  <c r="J101" i="17"/>
  <c r="J99" i="17"/>
  <c r="I80" i="17"/>
  <c r="I77" i="17"/>
  <c r="I68" i="17"/>
  <c r="I66" i="17"/>
  <c r="I62" i="17"/>
  <c r="I60" i="17"/>
  <c r="I58" i="17"/>
  <c r="I42" i="17"/>
  <c r="I46" i="17"/>
  <c r="I44" i="17"/>
  <c r="I36" i="17"/>
  <c r="I38" i="8"/>
  <c r="J38" i="8" s="1"/>
  <c r="I146" i="8" l="1"/>
  <c r="I148" i="8"/>
  <c r="I156" i="8"/>
  <c r="J156" i="8" s="1"/>
  <c r="I158" i="8"/>
  <c r="J158" i="8" s="1"/>
  <c r="I137" i="8"/>
  <c r="J178" i="8"/>
  <c r="J176" i="8"/>
  <c r="J164" i="8"/>
  <c r="I135" i="8"/>
  <c r="I130" i="8"/>
  <c r="I119" i="8"/>
  <c r="I109" i="8"/>
  <c r="I107" i="8"/>
  <c r="I105" i="8"/>
  <c r="I103" i="8"/>
  <c r="I98" i="8"/>
  <c r="I94" i="8"/>
  <c r="I92" i="8"/>
  <c r="I90" i="8"/>
  <c r="I88" i="8"/>
  <c r="I83" i="8"/>
  <c r="J98" i="8"/>
  <c r="J96" i="8"/>
  <c r="I81" i="8"/>
  <c r="I78" i="8"/>
  <c r="I63" i="8"/>
  <c r="I71" i="8"/>
  <c r="I69" i="8"/>
  <c r="I61" i="8"/>
  <c r="I59" i="8"/>
  <c r="I48" i="8"/>
  <c r="J48" i="8" s="1"/>
  <c r="I36" i="8"/>
  <c r="J36" i="8" s="1"/>
  <c r="I42" i="8"/>
  <c r="J42" i="8" s="1"/>
  <c r="I44" i="8"/>
  <c r="J44" i="8" s="1"/>
  <c r="I27" i="6"/>
  <c r="G26" i="11" l="1"/>
  <c r="G29" i="11" s="1"/>
  <c r="G30" i="11" s="1"/>
  <c r="G34" i="11" s="1"/>
  <c r="I33" i="6" l="1"/>
  <c r="I30" i="6"/>
  <c r="I24" i="6"/>
  <c r="I21" i="6"/>
  <c r="I18" i="6"/>
  <c r="I35" i="6" l="1"/>
  <c r="I36" i="6" s="1"/>
  <c r="H34" i="6" l="1"/>
  <c r="G34" i="6"/>
  <c r="F34" i="6"/>
  <c r="E34" i="6"/>
  <c r="D34" i="6"/>
  <c r="C33" i="6"/>
  <c r="H31" i="6"/>
  <c r="F31" i="6"/>
  <c r="E31" i="6"/>
  <c r="D31" i="6"/>
  <c r="C30" i="6"/>
  <c r="C27" i="6"/>
  <c r="H25" i="6"/>
  <c r="G25" i="6"/>
  <c r="F25" i="6"/>
  <c r="E25" i="6"/>
  <c r="D25" i="6"/>
  <c r="C24" i="6"/>
  <c r="H22" i="6"/>
  <c r="G22" i="6"/>
  <c r="F22" i="6"/>
  <c r="E22" i="6"/>
  <c r="D22" i="6"/>
  <c r="C21" i="6"/>
  <c r="C18" i="6"/>
  <c r="J100" i="24" l="1"/>
  <c r="J88" i="24"/>
  <c r="J34" i="24"/>
  <c r="J31" i="24"/>
  <c r="J28" i="24"/>
  <c r="E5" i="11" l="1"/>
  <c r="A13" i="16"/>
  <c r="A20" i="16"/>
  <c r="L19" i="16"/>
  <c r="L20" i="16" s="1"/>
  <c r="B2" i="12" s="1"/>
  <c r="A19" i="16"/>
  <c r="B2" i="6" l="1"/>
  <c r="B2" i="24"/>
  <c r="B2" i="18"/>
  <c r="B2" i="8"/>
  <c r="B2" i="13"/>
  <c r="B2" i="9"/>
  <c r="B2" i="25"/>
  <c r="B2" i="23"/>
  <c r="D95" i="12"/>
  <c r="C98" i="12"/>
  <c r="B2" i="11"/>
  <c r="B2" i="17"/>
  <c r="P3" i="25" l="1"/>
  <c r="P3" i="9"/>
  <c r="A18" i="12" l="1"/>
  <c r="A17" i="12"/>
  <c r="A74" i="12"/>
  <c r="A75" i="12"/>
  <c r="A76" i="12"/>
  <c r="A73" i="12"/>
  <c r="A63" i="12"/>
  <c r="A28" i="12"/>
  <c r="A55" i="12"/>
  <c r="A52" i="12"/>
  <c r="A50" i="12"/>
  <c r="A14" i="16"/>
  <c r="A33" i="12"/>
  <c r="A15" i="6"/>
  <c r="A12" i="6"/>
  <c r="A13" i="11"/>
  <c r="A12" i="11"/>
  <c r="A17" i="16"/>
  <c r="A16" i="16"/>
  <c r="A11" i="11"/>
  <c r="C27" i="13" l="1"/>
  <c r="C26" i="13"/>
  <c r="C24" i="13"/>
  <c r="C23" i="13"/>
  <c r="C22" i="13"/>
  <c r="C20" i="13"/>
  <c r="C19" i="13"/>
  <c r="C18" i="13"/>
  <c r="C17" i="13"/>
  <c r="D126" i="12"/>
  <c r="D124" i="12"/>
  <c r="D122" i="12"/>
  <c r="D120" i="12"/>
  <c r="D118" i="12"/>
  <c r="D116" i="12"/>
  <c r="D114" i="12"/>
  <c r="D112" i="12"/>
  <c r="D108" i="12"/>
  <c r="F8" i="12" l="1"/>
  <c r="F2" i="11" l="1"/>
  <c r="I2" i="12"/>
  <c r="D136" i="12"/>
  <c r="G16" i="23"/>
  <c r="I16" i="23"/>
  <c r="M14" i="13"/>
  <c r="I142" i="12"/>
  <c r="C144" i="12" s="1"/>
  <c r="O14" i="13" l="1"/>
  <c r="E16" i="23" s="1"/>
  <c r="D65" i="12"/>
  <c r="D64" i="12"/>
  <c r="D23" i="12"/>
  <c r="D22" i="12"/>
  <c r="J151" i="17" l="1"/>
  <c r="J142" i="8"/>
  <c r="P46" i="18" l="1"/>
  <c r="O46" i="18"/>
  <c r="K46" i="18"/>
  <c r="J19" i="17"/>
  <c r="J21" i="17"/>
  <c r="J23" i="17"/>
  <c r="J25" i="17"/>
  <c r="J27" i="17"/>
  <c r="C108" i="12" l="1"/>
  <c r="K106" i="18" l="1"/>
  <c r="K136" i="18"/>
  <c r="K132" i="18"/>
  <c r="K130" i="18"/>
  <c r="K101" i="18"/>
  <c r="K99" i="18"/>
  <c r="K97" i="18"/>
  <c r="K82" i="18"/>
  <c r="K80" i="18"/>
  <c r="K78" i="18"/>
  <c r="K76" i="18"/>
  <c r="K74" i="18"/>
  <c r="K67" i="18"/>
  <c r="K65" i="18"/>
  <c r="K63" i="18"/>
  <c r="K61" i="18"/>
  <c r="K59" i="18"/>
  <c r="K158" i="9"/>
  <c r="K156" i="9"/>
  <c r="K150" i="9"/>
  <c r="K50" i="9"/>
  <c r="D27" i="12" l="1"/>
  <c r="N12" i="13" l="1"/>
  <c r="I98" i="12"/>
  <c r="D32" i="12" l="1"/>
  <c r="O55" i="12" l="1"/>
  <c r="N50" i="12"/>
  <c r="M50" i="12"/>
  <c r="O50" i="12" l="1"/>
  <c r="I15" i="13" l="1"/>
  <c r="D57" i="12"/>
  <c r="D54" i="12"/>
  <c r="B14" i="13"/>
  <c r="I64" i="12"/>
  <c r="M17" i="12"/>
  <c r="N17" i="12"/>
  <c r="O14" i="18" l="1"/>
  <c r="K14" i="18" s="1"/>
  <c r="D7" i="23" l="1"/>
  <c r="D6" i="23"/>
  <c r="B6" i="23"/>
  <c r="H5" i="23"/>
  <c r="G5" i="23"/>
  <c r="D5" i="23"/>
  <c r="B5" i="23"/>
  <c r="D8" i="23"/>
  <c r="H3" i="23"/>
  <c r="G3" i="23"/>
  <c r="G2" i="23"/>
  <c r="D7" i="13"/>
  <c r="D6" i="13"/>
  <c r="B6" i="13"/>
  <c r="K5" i="13"/>
  <c r="J5" i="13"/>
  <c r="D5" i="13"/>
  <c r="B5" i="13"/>
  <c r="D8" i="13"/>
  <c r="K3" i="13"/>
  <c r="J3" i="13"/>
  <c r="J2" i="13"/>
  <c r="F7" i="12"/>
  <c r="F6" i="12"/>
  <c r="B6" i="12"/>
  <c r="J5" i="12"/>
  <c r="I5" i="12"/>
  <c r="F5" i="12"/>
  <c r="B5" i="12"/>
  <c r="J3" i="12"/>
  <c r="I3" i="12"/>
  <c r="F7" i="18"/>
  <c r="B7" i="18"/>
  <c r="F6" i="18"/>
  <c r="B6" i="18"/>
  <c r="J5" i="18"/>
  <c r="H5" i="18"/>
  <c r="F5" i="18"/>
  <c r="B5" i="18"/>
  <c r="F8" i="18"/>
  <c r="B8" i="18"/>
  <c r="J3" i="18"/>
  <c r="H3" i="18"/>
  <c r="H2" i="18"/>
  <c r="F7" i="9"/>
  <c r="B7" i="9"/>
  <c r="F6" i="9"/>
  <c r="B6" i="9"/>
  <c r="J5" i="9"/>
  <c r="H5" i="9"/>
  <c r="F5" i="9"/>
  <c r="B5" i="9"/>
  <c r="F8" i="9"/>
  <c r="B8" i="9"/>
  <c r="J3" i="9"/>
  <c r="H3" i="9"/>
  <c r="H2" i="9"/>
  <c r="F7" i="25"/>
  <c r="B7" i="25"/>
  <c r="F6" i="25"/>
  <c r="B6" i="25"/>
  <c r="J5" i="25"/>
  <c r="H5" i="25"/>
  <c r="F5" i="25"/>
  <c r="B5" i="25"/>
  <c r="F8" i="25"/>
  <c r="B8" i="25"/>
  <c r="J3" i="25"/>
  <c r="H3" i="25"/>
  <c r="H2" i="25"/>
  <c r="G2" i="17"/>
  <c r="G2" i="8"/>
  <c r="G2" i="24"/>
  <c r="F7" i="17"/>
  <c r="B7" i="17"/>
  <c r="F6" i="17"/>
  <c r="B6" i="17"/>
  <c r="I5" i="17"/>
  <c r="G5" i="17"/>
  <c r="F5" i="17"/>
  <c r="B5" i="17"/>
  <c r="F8" i="17"/>
  <c r="B8" i="17"/>
  <c r="I3" i="17"/>
  <c r="G3" i="17"/>
  <c r="F7" i="8"/>
  <c r="B7" i="8"/>
  <c r="F6" i="8"/>
  <c r="B6" i="8"/>
  <c r="I5" i="8"/>
  <c r="G5" i="8"/>
  <c r="F5" i="8"/>
  <c r="B5" i="8"/>
  <c r="F8" i="8"/>
  <c r="B8" i="8"/>
  <c r="I3" i="8"/>
  <c r="G3" i="8"/>
  <c r="B8" i="24"/>
  <c r="B5" i="24"/>
  <c r="B7" i="24"/>
  <c r="B6" i="24"/>
  <c r="F6" i="24"/>
  <c r="F5" i="24"/>
  <c r="F7" i="24"/>
  <c r="F8" i="24"/>
  <c r="D5" i="6" l="1"/>
  <c r="D6" i="6"/>
  <c r="B5" i="6"/>
  <c r="B6" i="6"/>
  <c r="D6" i="11" l="1"/>
  <c r="C6" i="11"/>
  <c r="B6" i="11"/>
  <c r="D5" i="11"/>
  <c r="C5" i="11"/>
  <c r="B5" i="11"/>
  <c r="F5" i="11"/>
  <c r="E6" i="11" l="1"/>
  <c r="I20" i="23" l="1"/>
  <c r="I22" i="23"/>
  <c r="I23" i="23"/>
  <c r="I24" i="23"/>
  <c r="I26" i="23"/>
  <c r="I27" i="23"/>
  <c r="I28" i="23"/>
  <c r="I35" i="23" l="1"/>
  <c r="I36" i="23"/>
  <c r="I37" i="23"/>
  <c r="I38" i="23"/>
  <c r="I39" i="23"/>
  <c r="I34" i="23"/>
  <c r="M73" i="12" l="1"/>
  <c r="N73" i="12"/>
  <c r="O75" i="12"/>
  <c r="O74" i="12"/>
  <c r="J171" i="17" l="1"/>
  <c r="J137" i="17"/>
  <c r="J126" i="17"/>
  <c r="L187" i="17"/>
  <c r="L72" i="17"/>
  <c r="L51" i="17"/>
  <c r="L180" i="8"/>
  <c r="J180" i="8" s="1"/>
  <c r="L73" i="8"/>
  <c r="J73" i="8" s="1"/>
  <c r="L52" i="8"/>
  <c r="J52" i="8" s="1"/>
  <c r="P89" i="18"/>
  <c r="O89" i="18"/>
  <c r="K89" i="18" s="1"/>
  <c r="P154" i="9"/>
  <c r="O154" i="9"/>
  <c r="K154" i="9" l="1"/>
  <c r="J72" i="17"/>
  <c r="J187" i="17"/>
  <c r="J51" i="17"/>
  <c r="L40" i="12"/>
  <c r="O40" i="12" s="1"/>
  <c r="L41" i="12"/>
  <c r="O41" i="12" s="1"/>
  <c r="M39" i="12" l="1"/>
  <c r="L3" i="16"/>
  <c r="P93" i="18" l="1"/>
  <c r="O93" i="18"/>
  <c r="K93" i="18" s="1"/>
  <c r="P91" i="18"/>
  <c r="O91" i="18"/>
  <c r="K91" i="18" s="1"/>
  <c r="P120" i="18"/>
  <c r="O120" i="18"/>
  <c r="P106" i="18"/>
  <c r="O106" i="18"/>
  <c r="P130" i="18"/>
  <c r="O130" i="18"/>
  <c r="P95" i="18"/>
  <c r="O95" i="18"/>
  <c r="K95" i="18" s="1"/>
  <c r="P101" i="18"/>
  <c r="O101" i="18"/>
  <c r="P99" i="18"/>
  <c r="O99" i="18"/>
  <c r="P97" i="18"/>
  <c r="O97" i="18"/>
  <c r="P136" i="18"/>
  <c r="O136" i="18"/>
  <c r="P134" i="18"/>
  <c r="O134" i="18"/>
  <c r="K134" i="18" s="1"/>
  <c r="P132" i="18"/>
  <c r="O132" i="18"/>
  <c r="P87" i="18"/>
  <c r="O87" i="18"/>
  <c r="K87" i="18" s="1"/>
  <c r="P82" i="18"/>
  <c r="O82" i="18"/>
  <c r="P80" i="18"/>
  <c r="O80" i="18"/>
  <c r="P78" i="18"/>
  <c r="O78" i="18"/>
  <c r="P76" i="18"/>
  <c r="O76" i="18"/>
  <c r="P74" i="18"/>
  <c r="O74" i="18"/>
  <c r="P72" i="18"/>
  <c r="O72" i="18"/>
  <c r="K72" i="18" s="1"/>
  <c r="P67" i="18"/>
  <c r="O67" i="18"/>
  <c r="P65" i="18"/>
  <c r="O65" i="18"/>
  <c r="P63" i="18"/>
  <c r="O63" i="18"/>
  <c r="P61" i="18"/>
  <c r="O61" i="18"/>
  <c r="P59" i="18"/>
  <c r="O59" i="18"/>
  <c r="P53" i="18"/>
  <c r="O53" i="18"/>
  <c r="K53" i="18" s="1"/>
  <c r="P48" i="18"/>
  <c r="O48" i="18"/>
  <c r="K48" i="18" s="1"/>
  <c r="P44" i="18"/>
  <c r="O44" i="18"/>
  <c r="K44" i="18" s="1"/>
  <c r="P38" i="18"/>
  <c r="O38" i="18"/>
  <c r="P24" i="18"/>
  <c r="O24" i="18"/>
  <c r="K24" i="18" s="1"/>
  <c r="P22" i="18"/>
  <c r="O22" i="18"/>
  <c r="K22" i="18" s="1"/>
  <c r="P14" i="18"/>
  <c r="P152" i="9"/>
  <c r="O152" i="9"/>
  <c r="K152" i="9" s="1"/>
  <c r="P182" i="9"/>
  <c r="O182" i="9"/>
  <c r="K182" i="9" s="1"/>
  <c r="P180" i="9"/>
  <c r="O180" i="9"/>
  <c r="P178" i="9"/>
  <c r="O178" i="9"/>
  <c r="P172" i="9"/>
  <c r="O172" i="9"/>
  <c r="K172" i="9" s="1"/>
  <c r="P170" i="9"/>
  <c r="O170" i="9"/>
  <c r="K170" i="9" s="1"/>
  <c r="P168" i="9"/>
  <c r="O168" i="9"/>
  <c r="K168" i="9" s="1"/>
  <c r="P160" i="9"/>
  <c r="O160" i="9"/>
  <c r="K160" i="9" s="1"/>
  <c r="P158" i="9"/>
  <c r="O158" i="9"/>
  <c r="P156" i="9"/>
  <c r="O156" i="9"/>
  <c r="P150" i="9"/>
  <c r="O150" i="9"/>
  <c r="P148" i="9"/>
  <c r="O148" i="9"/>
  <c r="P146" i="9"/>
  <c r="O146" i="9"/>
  <c r="K146" i="9" s="1"/>
  <c r="P141" i="9"/>
  <c r="O141" i="9"/>
  <c r="K141" i="9" s="1"/>
  <c r="P139" i="9"/>
  <c r="O139" i="9"/>
  <c r="K139" i="9" s="1"/>
  <c r="P135" i="9"/>
  <c r="O135" i="9"/>
  <c r="K135" i="9" s="1"/>
  <c r="P130" i="9"/>
  <c r="O130" i="9"/>
  <c r="K130" i="9" s="1"/>
  <c r="P128" i="9"/>
  <c r="O128" i="9"/>
  <c r="K128" i="9" s="1"/>
  <c r="P126" i="9"/>
  <c r="O126" i="9"/>
  <c r="P118" i="9"/>
  <c r="O118" i="9"/>
  <c r="P116" i="9"/>
  <c r="O116" i="9"/>
  <c r="K116" i="9" s="1"/>
  <c r="P110" i="9"/>
  <c r="O110" i="9"/>
  <c r="P101" i="9"/>
  <c r="O101" i="9"/>
  <c r="K101" i="9" s="1"/>
  <c r="P99" i="9"/>
  <c r="O99" i="9"/>
  <c r="K99" i="9" s="1"/>
  <c r="P81" i="9"/>
  <c r="O81" i="9"/>
  <c r="P76" i="9"/>
  <c r="O76" i="9"/>
  <c r="P74" i="9"/>
  <c r="O74" i="9"/>
  <c r="P68" i="9"/>
  <c r="O68" i="9"/>
  <c r="P63" i="9"/>
  <c r="O63" i="9"/>
  <c r="P61" i="9"/>
  <c r="O61" i="9"/>
  <c r="P55" i="9"/>
  <c r="O55" i="9"/>
  <c r="G22" i="23"/>
  <c r="G23" i="23"/>
  <c r="G24" i="23"/>
  <c r="G26" i="23"/>
  <c r="G27" i="23"/>
  <c r="G28" i="23"/>
  <c r="C19" i="23"/>
  <c r="C20" i="23"/>
  <c r="C21" i="23"/>
  <c r="C23" i="23"/>
  <c r="C24" i="23"/>
  <c r="C25" i="23"/>
  <c r="C27" i="23"/>
  <c r="C28" i="23"/>
  <c r="C18" i="23"/>
  <c r="P50" i="9"/>
  <c r="O50" i="9"/>
  <c r="P44" i="9"/>
  <c r="O44" i="9"/>
  <c r="K44" i="9" s="1"/>
  <c r="O14" i="9"/>
  <c r="P14" i="9"/>
  <c r="I26" i="16" l="1"/>
  <c r="I25" i="16"/>
  <c r="K162" i="9" l="1"/>
  <c r="B13" i="27"/>
  <c r="B59" i="26"/>
  <c r="J191" i="17"/>
  <c r="T113" i="12"/>
  <c r="O85" i="12" s="1"/>
  <c r="T110" i="12"/>
  <c r="O81" i="12" s="1"/>
  <c r="D60" i="26"/>
  <c r="D64" i="26"/>
  <c r="D68" i="26"/>
  <c r="D72" i="26"/>
  <c r="D76" i="26"/>
  <c r="D80" i="26"/>
  <c r="D84" i="26"/>
  <c r="D88" i="26"/>
  <c r="D92" i="26"/>
  <c r="D96" i="26"/>
  <c r="D100" i="26"/>
  <c r="D104" i="26"/>
  <c r="D108" i="26"/>
  <c r="D112" i="26"/>
  <c r="D116" i="26"/>
  <c r="D120" i="26"/>
  <c r="D124" i="26"/>
  <c r="D128" i="26"/>
  <c r="D132" i="26"/>
  <c r="D136" i="26"/>
  <c r="D140" i="26"/>
  <c r="D144" i="26"/>
  <c r="D148" i="26"/>
  <c r="D152" i="26"/>
  <c r="D156" i="26"/>
  <c r="D160" i="26"/>
  <c r="D164" i="26"/>
  <c r="D168" i="26"/>
  <c r="D172" i="26"/>
  <c r="D176" i="26"/>
  <c r="D180" i="26"/>
  <c r="D184" i="26"/>
  <c r="D188" i="26"/>
  <c r="D192" i="26"/>
  <c r="D196" i="26"/>
  <c r="D200" i="26"/>
  <c r="D204" i="26"/>
  <c r="D208" i="26"/>
  <c r="D212" i="26"/>
  <c r="D216" i="26"/>
  <c r="D220" i="26"/>
  <c r="D224" i="26"/>
  <c r="D228" i="26"/>
  <c r="D232" i="26"/>
  <c r="D236" i="26"/>
  <c r="D240" i="26"/>
  <c r="D244" i="26"/>
  <c r="D248" i="26"/>
  <c r="D61" i="26"/>
  <c r="D65" i="26"/>
  <c r="D69" i="26"/>
  <c r="D73" i="26"/>
  <c r="D77" i="26"/>
  <c r="D81" i="26"/>
  <c r="D85" i="26"/>
  <c r="D89" i="26"/>
  <c r="D93" i="26"/>
  <c r="D97" i="26"/>
  <c r="D101" i="26"/>
  <c r="D105" i="26"/>
  <c r="D109" i="26"/>
  <c r="D113" i="26"/>
  <c r="D117" i="26"/>
  <c r="D121" i="26"/>
  <c r="D125" i="26"/>
  <c r="D129" i="26"/>
  <c r="D133" i="26"/>
  <c r="D137" i="26"/>
  <c r="D141" i="26"/>
  <c r="D145" i="26"/>
  <c r="D149" i="26"/>
  <c r="D153" i="26"/>
  <c r="D157" i="26"/>
  <c r="D161" i="26"/>
  <c r="D165" i="26"/>
  <c r="D169" i="26"/>
  <c r="D173" i="26"/>
  <c r="D177" i="26"/>
  <c r="D181" i="26"/>
  <c r="D185" i="26"/>
  <c r="D189" i="26"/>
  <c r="D193" i="26"/>
  <c r="D197" i="26"/>
  <c r="D201" i="26"/>
  <c r="D205" i="26"/>
  <c r="D209" i="26"/>
  <c r="D62" i="26"/>
  <c r="D66" i="26"/>
  <c r="D70" i="26"/>
  <c r="D74" i="26"/>
  <c r="D78" i="26"/>
  <c r="D82" i="26"/>
  <c r="D86" i="26"/>
  <c r="D90" i="26"/>
  <c r="D94" i="26"/>
  <c r="D98" i="26"/>
  <c r="D102" i="26"/>
  <c r="D106" i="26"/>
  <c r="D110" i="26"/>
  <c r="D114" i="26"/>
  <c r="D118" i="26"/>
  <c r="D63" i="26"/>
  <c r="D79" i="26"/>
  <c r="D95" i="26"/>
  <c r="D111" i="26"/>
  <c r="D123" i="26"/>
  <c r="D131" i="26"/>
  <c r="D139" i="26"/>
  <c r="D147" i="26"/>
  <c r="D155" i="26"/>
  <c r="D163" i="26"/>
  <c r="D171" i="26"/>
  <c r="D179" i="26"/>
  <c r="D187" i="26"/>
  <c r="D195" i="26"/>
  <c r="D203" i="26"/>
  <c r="D211" i="26"/>
  <c r="D217" i="26"/>
  <c r="D222" i="26"/>
  <c r="D227" i="26"/>
  <c r="D233" i="26"/>
  <c r="D238" i="26"/>
  <c r="D243" i="26"/>
  <c r="D249" i="26"/>
  <c r="D67" i="26"/>
  <c r="D83" i="26"/>
  <c r="D99" i="26"/>
  <c r="D115" i="26"/>
  <c r="D126" i="26"/>
  <c r="D134" i="26"/>
  <c r="D142" i="26"/>
  <c r="D150" i="26"/>
  <c r="D158" i="26"/>
  <c r="D166" i="26"/>
  <c r="D174" i="26"/>
  <c r="D182" i="26"/>
  <c r="D190" i="26"/>
  <c r="D198" i="26"/>
  <c r="D206" i="26"/>
  <c r="D213" i="26"/>
  <c r="D218" i="26"/>
  <c r="D223" i="26"/>
  <c r="D229" i="26"/>
  <c r="D234" i="26"/>
  <c r="D239" i="26"/>
  <c r="D245" i="26"/>
  <c r="D250" i="26"/>
  <c r="D71" i="26"/>
  <c r="D87" i="26"/>
  <c r="D103" i="26"/>
  <c r="D119" i="26"/>
  <c r="D127" i="26"/>
  <c r="D135" i="26"/>
  <c r="D143" i="26"/>
  <c r="D151" i="26"/>
  <c r="D159" i="26"/>
  <c r="D167" i="26"/>
  <c r="D175" i="26"/>
  <c r="D183" i="26"/>
  <c r="D191" i="26"/>
  <c r="D199" i="26"/>
  <c r="D207" i="26"/>
  <c r="D214" i="26"/>
  <c r="D219" i="26"/>
  <c r="D225" i="26"/>
  <c r="D230" i="26"/>
  <c r="D235" i="26"/>
  <c r="D241" i="26"/>
  <c r="D246" i="26"/>
  <c r="D75" i="26"/>
  <c r="D130" i="26"/>
  <c r="D162" i="26"/>
  <c r="D194" i="26"/>
  <c r="D221" i="26"/>
  <c r="D242" i="26"/>
  <c r="E60" i="26"/>
  <c r="E64" i="26"/>
  <c r="E68" i="26"/>
  <c r="E72" i="26"/>
  <c r="E76" i="26"/>
  <c r="E80" i="26"/>
  <c r="E84" i="26"/>
  <c r="E88" i="26"/>
  <c r="E92" i="26"/>
  <c r="E96" i="26"/>
  <c r="E100" i="26"/>
  <c r="E104" i="26"/>
  <c r="E108" i="26"/>
  <c r="E112" i="26"/>
  <c r="E116" i="26"/>
  <c r="E120" i="26"/>
  <c r="E124" i="26"/>
  <c r="E128" i="26"/>
  <c r="E132" i="26"/>
  <c r="E136" i="26"/>
  <c r="E140" i="26"/>
  <c r="E144" i="26"/>
  <c r="E148" i="26"/>
  <c r="E152" i="26"/>
  <c r="E156" i="26"/>
  <c r="E160" i="26"/>
  <c r="E164" i="26"/>
  <c r="E168" i="26"/>
  <c r="E172" i="26"/>
  <c r="E176" i="26"/>
  <c r="E180" i="26"/>
  <c r="E184" i="26"/>
  <c r="E188" i="26"/>
  <c r="E192" i="26"/>
  <c r="E196" i="26"/>
  <c r="E200" i="26"/>
  <c r="E204" i="26"/>
  <c r="E208" i="26"/>
  <c r="E212" i="26"/>
  <c r="E216" i="26"/>
  <c r="E220" i="26"/>
  <c r="E224" i="26"/>
  <c r="E228" i="26"/>
  <c r="E232" i="26"/>
  <c r="E236" i="26"/>
  <c r="E240" i="26"/>
  <c r="E244" i="26"/>
  <c r="E248" i="26"/>
  <c r="D91" i="26"/>
  <c r="D138" i="26"/>
  <c r="D170" i="26"/>
  <c r="D202" i="26"/>
  <c r="D226" i="26"/>
  <c r="D247" i="26"/>
  <c r="E61" i="26"/>
  <c r="E65" i="26"/>
  <c r="E69" i="26"/>
  <c r="E73" i="26"/>
  <c r="E77" i="26"/>
  <c r="E81" i="26"/>
  <c r="E85" i="26"/>
  <c r="E89" i="26"/>
  <c r="E93" i="26"/>
  <c r="E97" i="26"/>
  <c r="E101" i="26"/>
  <c r="E105" i="26"/>
  <c r="E109" i="26"/>
  <c r="E113" i="26"/>
  <c r="E117" i="26"/>
  <c r="E121" i="26"/>
  <c r="E125" i="26"/>
  <c r="E129" i="26"/>
  <c r="E133" i="26"/>
  <c r="E137" i="26"/>
  <c r="E141" i="26"/>
  <c r="E145" i="26"/>
  <c r="E149" i="26"/>
  <c r="E153" i="26"/>
  <c r="E157" i="26"/>
  <c r="E161" i="26"/>
  <c r="E165" i="26"/>
  <c r="E169" i="26"/>
  <c r="E173" i="26"/>
  <c r="E177" i="26"/>
  <c r="E181" i="26"/>
  <c r="E185" i="26"/>
  <c r="E189" i="26"/>
  <c r="E193" i="26"/>
  <c r="E197" i="26"/>
  <c r="E201" i="26"/>
  <c r="E205" i="26"/>
  <c r="E209" i="26"/>
  <c r="E213" i="26"/>
  <c r="E217" i="26"/>
  <c r="E221" i="26"/>
  <c r="E225" i="26"/>
  <c r="E229" i="26"/>
  <c r="E233" i="26"/>
  <c r="E237" i="26"/>
  <c r="E241" i="26"/>
  <c r="E245" i="26"/>
  <c r="E249" i="26"/>
  <c r="D107" i="26"/>
  <c r="D178" i="26"/>
  <c r="D231" i="26"/>
  <c r="E66" i="26"/>
  <c r="E74" i="26"/>
  <c r="E82" i="26"/>
  <c r="E90" i="26"/>
  <c r="E98" i="26"/>
  <c r="E106" i="26"/>
  <c r="E114" i="26"/>
  <c r="E122" i="26"/>
  <c r="E130" i="26"/>
  <c r="E138" i="26"/>
  <c r="E146" i="26"/>
  <c r="E154" i="26"/>
  <c r="E162" i="26"/>
  <c r="E170" i="26"/>
  <c r="E178" i="26"/>
  <c r="E186" i="26"/>
  <c r="E194" i="26"/>
  <c r="E202" i="26"/>
  <c r="E210" i="26"/>
  <c r="E218" i="26"/>
  <c r="E226" i="26"/>
  <c r="E234" i="26"/>
  <c r="E242" i="26"/>
  <c r="E250" i="26"/>
  <c r="D122" i="26"/>
  <c r="D186" i="26"/>
  <c r="D237" i="26"/>
  <c r="E59" i="26"/>
  <c r="E67" i="26"/>
  <c r="E75" i="26"/>
  <c r="E83" i="26"/>
  <c r="E91" i="26"/>
  <c r="E99" i="26"/>
  <c r="E107" i="26"/>
  <c r="E115" i="26"/>
  <c r="E123" i="26"/>
  <c r="E131" i="26"/>
  <c r="E139" i="26"/>
  <c r="E147" i="26"/>
  <c r="E155" i="26"/>
  <c r="E163" i="26"/>
  <c r="E171" i="26"/>
  <c r="E179" i="26"/>
  <c r="E187" i="26"/>
  <c r="E195" i="26"/>
  <c r="E203" i="26"/>
  <c r="E211" i="26"/>
  <c r="E219" i="26"/>
  <c r="E227" i="26"/>
  <c r="E235" i="26"/>
  <c r="E243" i="26"/>
  <c r="D146" i="26"/>
  <c r="E62" i="26"/>
  <c r="E78" i="26"/>
  <c r="E94" i="26"/>
  <c r="E110" i="26"/>
  <c r="E126" i="26"/>
  <c r="E142" i="26"/>
  <c r="E158" i="26"/>
  <c r="E174" i="26"/>
  <c r="E190" i="26"/>
  <c r="E206" i="26"/>
  <c r="E222" i="26"/>
  <c r="E238" i="26"/>
  <c r="B62" i="26"/>
  <c r="B66" i="26"/>
  <c r="B70" i="26"/>
  <c r="B74" i="26"/>
  <c r="B78" i="26"/>
  <c r="B82" i="26"/>
  <c r="B86" i="26"/>
  <c r="B90" i="26"/>
  <c r="B94" i="26"/>
  <c r="B98" i="26"/>
  <c r="B102" i="26"/>
  <c r="B106" i="26"/>
  <c r="B110" i="26"/>
  <c r="B114" i="26"/>
  <c r="B118" i="26"/>
  <c r="B122" i="26"/>
  <c r="B126" i="26"/>
  <c r="B130" i="26"/>
  <c r="B134" i="26"/>
  <c r="B138" i="26"/>
  <c r="B142" i="26"/>
  <c r="B146" i="26"/>
  <c r="B150" i="26"/>
  <c r="B154" i="26"/>
  <c r="B158" i="26"/>
  <c r="B162" i="26"/>
  <c r="B166" i="26"/>
  <c r="B170" i="26"/>
  <c r="B174" i="26"/>
  <c r="B178" i="26"/>
  <c r="B182" i="26"/>
  <c r="B186" i="26"/>
  <c r="B190" i="26"/>
  <c r="B194" i="26"/>
  <c r="B198" i="26"/>
  <c r="B202" i="26"/>
  <c r="B206" i="26"/>
  <c r="B210" i="26"/>
  <c r="B214" i="26"/>
  <c r="B218" i="26"/>
  <c r="B222" i="26"/>
  <c r="B226" i="26"/>
  <c r="B230" i="26"/>
  <c r="B234" i="26"/>
  <c r="B238" i="26"/>
  <c r="B242" i="26"/>
  <c r="B246" i="26"/>
  <c r="B250" i="26"/>
  <c r="D154" i="26"/>
  <c r="E63" i="26"/>
  <c r="E79" i="26"/>
  <c r="E95" i="26"/>
  <c r="E111" i="26"/>
  <c r="E127" i="26"/>
  <c r="E143" i="26"/>
  <c r="E159" i="26"/>
  <c r="E175" i="26"/>
  <c r="E191" i="26"/>
  <c r="E207" i="26"/>
  <c r="E223" i="26"/>
  <c r="E239" i="26"/>
  <c r="B63" i="26"/>
  <c r="B67" i="26"/>
  <c r="B71" i="26"/>
  <c r="B75" i="26"/>
  <c r="B79" i="26"/>
  <c r="B83" i="26"/>
  <c r="B87" i="26"/>
  <c r="B91" i="26"/>
  <c r="B95" i="26"/>
  <c r="B99" i="26"/>
  <c r="B103" i="26"/>
  <c r="B107" i="26"/>
  <c r="B111" i="26"/>
  <c r="B115" i="26"/>
  <c r="B119" i="26"/>
  <c r="B123" i="26"/>
  <c r="B127" i="26"/>
  <c r="B131" i="26"/>
  <c r="B135" i="26"/>
  <c r="B139" i="26"/>
  <c r="B143" i="26"/>
  <c r="B147" i="26"/>
  <c r="B151" i="26"/>
  <c r="B155" i="26"/>
  <c r="B159" i="26"/>
  <c r="B163" i="26"/>
  <c r="B167" i="26"/>
  <c r="B171" i="26"/>
  <c r="B175" i="26"/>
  <c r="B179" i="26"/>
  <c r="B183" i="26"/>
  <c r="B187" i="26"/>
  <c r="B191" i="26"/>
  <c r="B195" i="26"/>
  <c r="B199" i="26"/>
  <c r="B203" i="26"/>
  <c r="B207" i="26"/>
  <c r="B211" i="26"/>
  <c r="B215" i="26"/>
  <c r="B219" i="26"/>
  <c r="B223" i="26"/>
  <c r="B227" i="26"/>
  <c r="B231" i="26"/>
  <c r="B235" i="26"/>
  <c r="B239" i="26"/>
  <c r="B243" i="26"/>
  <c r="B247" i="26"/>
  <c r="D210" i="26"/>
  <c r="E70" i="26"/>
  <c r="E102" i="26"/>
  <c r="E134" i="26"/>
  <c r="E166" i="26"/>
  <c r="E198" i="26"/>
  <c r="E230" i="26"/>
  <c r="B60" i="26"/>
  <c r="B68" i="26"/>
  <c r="B76" i="26"/>
  <c r="B84" i="26"/>
  <c r="B92" i="26"/>
  <c r="B100" i="26"/>
  <c r="B108" i="26"/>
  <c r="B116" i="26"/>
  <c r="B124" i="26"/>
  <c r="B132" i="26"/>
  <c r="B140" i="26"/>
  <c r="B148" i="26"/>
  <c r="B156" i="26"/>
  <c r="B164" i="26"/>
  <c r="B172" i="26"/>
  <c r="B180" i="26"/>
  <c r="B188" i="26"/>
  <c r="B196" i="26"/>
  <c r="B204" i="26"/>
  <c r="B212" i="26"/>
  <c r="B220" i="26"/>
  <c r="B228" i="26"/>
  <c r="B236" i="26"/>
  <c r="B244" i="26"/>
  <c r="B64" i="26"/>
  <c r="B80" i="26"/>
  <c r="B96" i="26"/>
  <c r="B104" i="26"/>
  <c r="B120" i="26"/>
  <c r="B136" i="26"/>
  <c r="B152" i="26"/>
  <c r="B160" i="26"/>
  <c r="B176" i="26"/>
  <c r="B192" i="26"/>
  <c r="B208" i="26"/>
  <c r="B224" i="26"/>
  <c r="B232" i="26"/>
  <c r="B248" i="26"/>
  <c r="D59" i="26"/>
  <c r="E87" i="26"/>
  <c r="E151" i="26"/>
  <c r="E215" i="26"/>
  <c r="D215" i="26"/>
  <c r="E71" i="26"/>
  <c r="E103" i="26"/>
  <c r="E135" i="26"/>
  <c r="E167" i="26"/>
  <c r="E199" i="26"/>
  <c r="E231" i="26"/>
  <c r="B61" i="26"/>
  <c r="B69" i="26"/>
  <c r="B77" i="26"/>
  <c r="B85" i="26"/>
  <c r="B93" i="26"/>
  <c r="B101" i="26"/>
  <c r="B109" i="26"/>
  <c r="B117" i="26"/>
  <c r="B125" i="26"/>
  <c r="B133" i="26"/>
  <c r="B141" i="26"/>
  <c r="B149" i="26"/>
  <c r="B157" i="26"/>
  <c r="B165" i="26"/>
  <c r="B173" i="26"/>
  <c r="B181" i="26"/>
  <c r="B189" i="26"/>
  <c r="B197" i="26"/>
  <c r="B205" i="26"/>
  <c r="B213" i="26"/>
  <c r="B221" i="26"/>
  <c r="B229" i="26"/>
  <c r="B237" i="26"/>
  <c r="B245" i="26"/>
  <c r="E86" i="26"/>
  <c r="E118" i="26"/>
  <c r="E150" i="26"/>
  <c r="E182" i="26"/>
  <c r="E214" i="26"/>
  <c r="E246" i="26"/>
  <c r="B72" i="26"/>
  <c r="B88" i="26"/>
  <c r="B112" i="26"/>
  <c r="B128" i="26"/>
  <c r="B144" i="26"/>
  <c r="B168" i="26"/>
  <c r="B184" i="26"/>
  <c r="B200" i="26"/>
  <c r="B216" i="26"/>
  <c r="B240" i="26"/>
  <c r="E119" i="26"/>
  <c r="E183" i="26"/>
  <c r="E247" i="26"/>
  <c r="B65" i="26"/>
  <c r="B97" i="26"/>
  <c r="B129" i="26"/>
  <c r="B161" i="26"/>
  <c r="B193" i="26"/>
  <c r="B225" i="26"/>
  <c r="B121" i="26"/>
  <c r="B185" i="26"/>
  <c r="B249" i="26"/>
  <c r="B73" i="26"/>
  <c r="B105" i="26"/>
  <c r="B137" i="26"/>
  <c r="B169" i="26"/>
  <c r="B201" i="26"/>
  <c r="B233" i="26"/>
  <c r="B81" i="26"/>
  <c r="B113" i="26"/>
  <c r="B145" i="26"/>
  <c r="B177" i="26"/>
  <c r="B209" i="26"/>
  <c r="B241" i="26"/>
  <c r="B89" i="26"/>
  <c r="B153" i="26"/>
  <c r="B217" i="26"/>
  <c r="F59" i="26"/>
  <c r="F63" i="26"/>
  <c r="F67" i="26"/>
  <c r="F74" i="26"/>
  <c r="F78" i="26"/>
  <c r="F86" i="26"/>
  <c r="F94" i="26"/>
  <c r="F98" i="26"/>
  <c r="F102" i="26"/>
  <c r="F106" i="26"/>
  <c r="F110" i="26"/>
  <c r="F114" i="26"/>
  <c r="F118" i="26"/>
  <c r="F122" i="26"/>
  <c r="F126" i="26"/>
  <c r="F130" i="26"/>
  <c r="F134" i="26"/>
  <c r="F138" i="26"/>
  <c r="F142" i="26"/>
  <c r="F146" i="26"/>
  <c r="F150" i="26"/>
  <c r="F154" i="26"/>
  <c r="F158" i="26"/>
  <c r="F166" i="26"/>
  <c r="F170" i="26"/>
  <c r="F174" i="26"/>
  <c r="F178" i="26"/>
  <c r="F186" i="26"/>
  <c r="F190" i="26"/>
  <c r="F194" i="26"/>
  <c r="F198" i="26"/>
  <c r="F202" i="26"/>
  <c r="F206" i="26"/>
  <c r="F210" i="26"/>
  <c r="F214" i="26"/>
  <c r="F218" i="26"/>
  <c r="F222" i="26"/>
  <c r="F226" i="26"/>
  <c r="F230" i="26"/>
  <c r="F234" i="26"/>
  <c r="F238" i="26"/>
  <c r="F242" i="26"/>
  <c r="F246" i="26"/>
  <c r="F250" i="26"/>
  <c r="F66" i="26"/>
  <c r="F81" i="26"/>
  <c r="F89" i="26"/>
  <c r="F101" i="26"/>
  <c r="F113" i="26"/>
  <c r="F137" i="26"/>
  <c r="F64" i="26"/>
  <c r="F68" i="26"/>
  <c r="F79" i="26"/>
  <c r="F83" i="26"/>
  <c r="F87" i="26"/>
  <c r="F91" i="26"/>
  <c r="F99" i="26"/>
  <c r="F103" i="26"/>
  <c r="F107" i="26"/>
  <c r="F111" i="26"/>
  <c r="F115" i="26"/>
  <c r="F119" i="26"/>
  <c r="F123" i="26"/>
  <c r="F127" i="26"/>
  <c r="F131" i="26"/>
  <c r="F135" i="26"/>
  <c r="F139" i="26"/>
  <c r="F143" i="26"/>
  <c r="F147" i="26"/>
  <c r="F151" i="26"/>
  <c r="F155" i="26"/>
  <c r="F159" i="26"/>
  <c r="F163" i="26"/>
  <c r="F167" i="26"/>
  <c r="F171" i="26"/>
  <c r="F175" i="26"/>
  <c r="F179" i="26"/>
  <c r="F183" i="26"/>
  <c r="F187" i="26"/>
  <c r="F191" i="26"/>
  <c r="F195" i="26"/>
  <c r="F199" i="26"/>
  <c r="F203" i="26"/>
  <c r="F207" i="26"/>
  <c r="F211" i="26"/>
  <c r="F215" i="26"/>
  <c r="F219" i="26"/>
  <c r="F223" i="26"/>
  <c r="F227" i="26"/>
  <c r="F231" i="26"/>
  <c r="F235" i="26"/>
  <c r="F239" i="26"/>
  <c r="F243" i="26"/>
  <c r="F247" i="26"/>
  <c r="F236" i="26"/>
  <c r="F62" i="26"/>
  <c r="F85" i="26"/>
  <c r="F97" i="26"/>
  <c r="F105" i="26"/>
  <c r="F117" i="26"/>
  <c r="F125" i="26"/>
  <c r="F145" i="26"/>
  <c r="F61" i="26"/>
  <c r="F65" i="26"/>
  <c r="F70" i="26"/>
  <c r="F76" i="26"/>
  <c r="F80" i="26"/>
  <c r="F84" i="26"/>
  <c r="F92" i="26"/>
  <c r="F96" i="26"/>
  <c r="F100" i="26"/>
  <c r="F104" i="26"/>
  <c r="F108" i="26"/>
  <c r="F112" i="26"/>
  <c r="F116" i="26"/>
  <c r="F124" i="26"/>
  <c r="F132" i="26"/>
  <c r="F136" i="26"/>
  <c r="F140" i="26"/>
  <c r="F144" i="26"/>
  <c r="F148" i="26"/>
  <c r="F152" i="26"/>
  <c r="F156" i="26"/>
  <c r="F160" i="26"/>
  <c r="F164" i="26"/>
  <c r="F168" i="26"/>
  <c r="F172" i="26"/>
  <c r="F176" i="26"/>
  <c r="F180" i="26"/>
  <c r="F188" i="26"/>
  <c r="F192" i="26"/>
  <c r="F196" i="26"/>
  <c r="F200" i="26"/>
  <c r="F204" i="26"/>
  <c r="F208" i="26"/>
  <c r="F212" i="26"/>
  <c r="F216" i="26"/>
  <c r="F220" i="26"/>
  <c r="F224" i="26"/>
  <c r="F228" i="26"/>
  <c r="F232" i="26"/>
  <c r="F240" i="26"/>
  <c r="F244" i="26"/>
  <c r="F248" i="26"/>
  <c r="F72" i="26"/>
  <c r="F93" i="26"/>
  <c r="F109" i="26"/>
  <c r="F121" i="26"/>
  <c r="F129" i="26"/>
  <c r="F141" i="26"/>
  <c r="F149" i="26"/>
  <c r="F165" i="26"/>
  <c r="F181" i="26"/>
  <c r="F197" i="26"/>
  <c r="F213" i="26"/>
  <c r="F229" i="26"/>
  <c r="F245" i="26"/>
  <c r="F177" i="26"/>
  <c r="F225" i="26"/>
  <c r="F153" i="26"/>
  <c r="F169" i="26"/>
  <c r="F185" i="26"/>
  <c r="F201" i="26"/>
  <c r="F217" i="26"/>
  <c r="F233" i="26"/>
  <c r="F249" i="26"/>
  <c r="F161" i="26"/>
  <c r="F241" i="26"/>
  <c r="F157" i="26"/>
  <c r="F173" i="26"/>
  <c r="F189" i="26"/>
  <c r="F205" i="26"/>
  <c r="F221" i="26"/>
  <c r="F237" i="26"/>
  <c r="F193" i="26"/>
  <c r="F209" i="26"/>
  <c r="J202" i="17"/>
  <c r="J84" i="17"/>
  <c r="J74" i="17"/>
  <c r="J144" i="17"/>
  <c r="J105" i="17"/>
  <c r="I29" i="17"/>
  <c r="I121" i="17"/>
  <c r="I105" i="17"/>
  <c r="I191" i="17"/>
  <c r="I100" i="8"/>
  <c r="I182" i="8"/>
  <c r="I144" i="17"/>
  <c r="I53" i="17"/>
  <c r="J53" i="17"/>
  <c r="I139" i="8"/>
  <c r="D81" i="12"/>
  <c r="D85" i="12"/>
  <c r="J29" i="17"/>
  <c r="B11" i="9"/>
  <c r="J54" i="8"/>
  <c r="I54" i="8"/>
  <c r="I85" i="8"/>
  <c r="I75" i="8"/>
  <c r="B11" i="18"/>
  <c r="H77" i="12"/>
  <c r="H84" i="12"/>
  <c r="H80" i="12"/>
  <c r="H87" i="12"/>
  <c r="H83" i="12"/>
  <c r="H79" i="12"/>
  <c r="H86" i="12"/>
  <c r="H82" i="12"/>
  <c r="H78" i="12"/>
  <c r="H85" i="12"/>
  <c r="H81" i="12"/>
  <c r="H11" i="17"/>
  <c r="H11" i="8"/>
  <c r="I116" i="8"/>
  <c r="K143" i="9"/>
  <c r="R113" i="12" s="1"/>
  <c r="I29" i="8"/>
  <c r="I191" i="8"/>
  <c r="I202" i="17"/>
  <c r="K84" i="18"/>
  <c r="S113" i="12" s="1"/>
  <c r="I74" i="17"/>
  <c r="I84" i="17"/>
  <c r="K69" i="18"/>
  <c r="S111" i="12" s="1"/>
  <c r="J124" i="8"/>
  <c r="J132" i="8"/>
  <c r="J121" i="8"/>
  <c r="J88" i="17" l="1"/>
  <c r="I88" i="17"/>
  <c r="J25" i="13"/>
  <c r="I5" i="24"/>
  <c r="I3" i="24"/>
  <c r="G5" i="24"/>
  <c r="G3" i="24"/>
  <c r="O3" i="24"/>
  <c r="K88" i="25"/>
  <c r="K86" i="25"/>
  <c r="K81" i="25"/>
  <c r="K79" i="25"/>
  <c r="K77" i="25"/>
  <c r="K72" i="25"/>
  <c r="K70" i="25"/>
  <c r="K68" i="25"/>
  <c r="K63" i="25"/>
  <c r="K61" i="25"/>
  <c r="K59" i="25"/>
  <c r="K54" i="25"/>
  <c r="K52" i="25"/>
  <c r="K50" i="25"/>
  <c r="K45" i="25"/>
  <c r="K43" i="25"/>
  <c r="K41" i="25"/>
  <c r="K36" i="25"/>
  <c r="K34" i="25"/>
  <c r="K32" i="25"/>
  <c r="K27" i="25"/>
  <c r="K25" i="25"/>
  <c r="K23" i="25"/>
  <c r="K18" i="25"/>
  <c r="K16" i="25"/>
  <c r="K14" i="25"/>
  <c r="J118" i="24"/>
  <c r="J115" i="24"/>
  <c r="J112" i="24"/>
  <c r="J106" i="24"/>
  <c r="J103" i="24"/>
  <c r="J94" i="24"/>
  <c r="J91" i="24"/>
  <c r="J82" i="24"/>
  <c r="J79" i="24"/>
  <c r="J76" i="24"/>
  <c r="J70" i="24"/>
  <c r="J67" i="24"/>
  <c r="J64" i="24"/>
  <c r="J58" i="24"/>
  <c r="J55" i="24"/>
  <c r="J52" i="24"/>
  <c r="J46" i="24"/>
  <c r="J43" i="24"/>
  <c r="J40" i="24"/>
  <c r="J22" i="24"/>
  <c r="J19" i="24"/>
  <c r="J16" i="24"/>
  <c r="I24" i="16" l="1"/>
  <c r="L3" i="4"/>
  <c r="F35" i="16" s="1"/>
  <c r="M3" i="23"/>
  <c r="F34" i="16" s="1"/>
  <c r="S3" i="13"/>
  <c r="F33" i="16" s="1"/>
  <c r="P3" i="12"/>
  <c r="F32" i="16" s="1"/>
  <c r="P3" i="18"/>
  <c r="F31" i="16" s="1"/>
  <c r="F29" i="16"/>
  <c r="O3" i="17"/>
  <c r="F28" i="16" s="1"/>
  <c r="O3" i="8"/>
  <c r="F27" i="16" s="1"/>
  <c r="N3" i="6"/>
  <c r="F26" i="16" s="1"/>
  <c r="L3" i="11"/>
  <c r="F25" i="16" s="1"/>
  <c r="J73" i="24" l="1"/>
  <c r="I37" i="24"/>
  <c r="D18" i="13" s="1"/>
  <c r="J49" i="24"/>
  <c r="I49" i="24"/>
  <c r="D19" i="13" s="1"/>
  <c r="I61" i="24"/>
  <c r="D20" i="13" s="1"/>
  <c r="I73" i="24"/>
  <c r="J61" i="24"/>
  <c r="J37" i="24"/>
  <c r="G11" i="25"/>
  <c r="B45" i="23"/>
  <c r="K38" i="25"/>
  <c r="Q109" i="12" s="1"/>
  <c r="H68" i="12"/>
  <c r="H45" i="12"/>
  <c r="B10" i="13"/>
  <c r="C21" i="13"/>
  <c r="C22" i="23" s="1"/>
  <c r="B24" i="13"/>
  <c r="B25" i="23" s="1"/>
  <c r="B20" i="13"/>
  <c r="B21" i="23" s="1"/>
  <c r="B25" i="13"/>
  <c r="B26" i="23" s="1"/>
  <c r="B23" i="13"/>
  <c r="B24" i="23" s="1"/>
  <c r="B19" i="13"/>
  <c r="B20" i="23" s="1"/>
  <c r="B27" i="13"/>
  <c r="B28" i="23" s="1"/>
  <c r="B22" i="13"/>
  <c r="B23" i="23" s="1"/>
  <c r="B18" i="13"/>
  <c r="B19" i="23" s="1"/>
  <c r="C25" i="13"/>
  <c r="C26" i="23" s="1"/>
  <c r="B26" i="13"/>
  <c r="B27" i="23" s="1"/>
  <c r="B21" i="13"/>
  <c r="B22" i="23" s="1"/>
  <c r="B17" i="13"/>
  <c r="B18" i="23" s="1"/>
  <c r="K20" i="25"/>
  <c r="Q107" i="12" s="1"/>
  <c r="H11" i="24"/>
  <c r="K47" i="25"/>
  <c r="Q110" i="12" s="1"/>
  <c r="K56" i="25"/>
  <c r="Q111" i="12" s="1"/>
  <c r="K29" i="25"/>
  <c r="Q108" i="12" s="1"/>
  <c r="K74" i="25"/>
  <c r="Q113" i="12" s="1"/>
  <c r="J24" i="13" s="1"/>
  <c r="K65" i="25"/>
  <c r="Q112" i="12" s="1"/>
  <c r="K90" i="25"/>
  <c r="Q115" i="12" s="1"/>
  <c r="I85" i="24"/>
  <c r="D23" i="13" s="1"/>
  <c r="I97" i="24"/>
  <c r="D24" i="13" s="1"/>
  <c r="I109" i="24"/>
  <c r="D26" i="13" s="1"/>
  <c r="I121" i="24"/>
  <c r="D27" i="13" s="1"/>
  <c r="J121" i="24"/>
  <c r="I25" i="24"/>
  <c r="I27" i="16"/>
  <c r="G10" i="12" s="1"/>
  <c r="J109" i="24"/>
  <c r="J97" i="24"/>
  <c r="J25" i="24"/>
  <c r="J85" i="24"/>
  <c r="B10" i="23"/>
  <c r="E18" i="13" l="1"/>
  <c r="C19" i="26" s="1"/>
  <c r="P108" i="12"/>
  <c r="D17" i="13"/>
  <c r="I123" i="24"/>
  <c r="J123" i="24"/>
  <c r="J198" i="17"/>
  <c r="J196" i="17"/>
  <c r="J194" i="17"/>
  <c r="J185" i="17"/>
  <c r="J183" i="17"/>
  <c r="J153" i="17"/>
  <c r="J142" i="17"/>
  <c r="J140" i="17"/>
  <c r="J135" i="17"/>
  <c r="I148" i="17"/>
  <c r="J116" i="17"/>
  <c r="J114" i="17"/>
  <c r="J112" i="17"/>
  <c r="J110" i="17"/>
  <c r="J108" i="17"/>
  <c r="J97" i="17"/>
  <c r="J95" i="17"/>
  <c r="J93" i="17"/>
  <c r="J91" i="17"/>
  <c r="J82" i="17"/>
  <c r="J80" i="17"/>
  <c r="J77" i="17"/>
  <c r="J68" i="17"/>
  <c r="J66" i="17"/>
  <c r="J64" i="17"/>
  <c r="J62" i="17"/>
  <c r="J60" i="17"/>
  <c r="J58" i="17"/>
  <c r="J56" i="17"/>
  <c r="H5" i="6"/>
  <c r="H3" i="6"/>
  <c r="G5" i="11"/>
  <c r="G3" i="11"/>
  <c r="G5" i="6"/>
  <c r="G3" i="6"/>
  <c r="G2" i="6"/>
  <c r="D8" i="6"/>
  <c r="D7" i="6"/>
  <c r="E8" i="11"/>
  <c r="E7" i="11"/>
  <c r="F3" i="11"/>
  <c r="J121" i="17" l="1"/>
  <c r="J204" i="17" l="1"/>
  <c r="J148" i="17"/>
  <c r="J23" i="8"/>
  <c r="N39" i="12" l="1"/>
  <c r="O39" i="12" s="1"/>
  <c r="D43" i="12" l="1"/>
  <c r="D42" i="12"/>
  <c r="U10" i="13"/>
  <c r="H15" i="13" s="1"/>
  <c r="J63" i="8" l="1"/>
  <c r="J65" i="8"/>
  <c r="J90" i="8" l="1"/>
  <c r="J27" i="8" l="1"/>
  <c r="G32" i="11" l="1"/>
  <c r="G35" i="11" s="1"/>
  <c r="G37" i="11" s="1"/>
  <c r="J189" i="8" l="1"/>
  <c r="J187" i="8"/>
  <c r="J185" i="8"/>
  <c r="J191" i="8" s="1"/>
  <c r="J148" i="8"/>
  <c r="J146" i="8"/>
  <c r="J144" i="8"/>
  <c r="J182" i="8" s="1"/>
  <c r="J137" i="8"/>
  <c r="J135" i="8"/>
  <c r="J130" i="8"/>
  <c r="J119" i="8"/>
  <c r="J111" i="8"/>
  <c r="J109" i="8"/>
  <c r="J107" i="8"/>
  <c r="J105" i="8"/>
  <c r="J103" i="8"/>
  <c r="J21" i="8"/>
  <c r="P114" i="12" l="1"/>
  <c r="E26" i="13"/>
  <c r="C31" i="26" s="1"/>
  <c r="J116" i="8"/>
  <c r="P112" i="12" s="1"/>
  <c r="E27" i="13"/>
  <c r="C33" i="26" s="1"/>
  <c r="P115" i="12"/>
  <c r="J139" i="8"/>
  <c r="J57" i="8"/>
  <c r="E23" i="13" l="1"/>
  <c r="C27" i="26" s="1"/>
  <c r="E7" i="4"/>
  <c r="P113" i="12"/>
  <c r="E24" i="13"/>
  <c r="C29" i="26" s="1"/>
  <c r="J94" i="8"/>
  <c r="J92" i="8"/>
  <c r="J88" i="8"/>
  <c r="J100" i="8" s="1"/>
  <c r="J83" i="8"/>
  <c r="J81" i="8"/>
  <c r="J78" i="8"/>
  <c r="J85" i="8" s="1"/>
  <c r="J71" i="8"/>
  <c r="J69" i="8"/>
  <c r="J61" i="8"/>
  <c r="J59" i="8"/>
  <c r="J25" i="8"/>
  <c r="J19" i="8"/>
  <c r="J75" i="8" l="1"/>
  <c r="P109" i="12" s="1"/>
  <c r="I12" i="13"/>
  <c r="C9" i="26"/>
  <c r="O113" i="12"/>
  <c r="O84" i="12" s="1"/>
  <c r="E22" i="13"/>
  <c r="C25" i="26" s="1"/>
  <c r="P111" i="12"/>
  <c r="J29" i="8"/>
  <c r="E17" i="13" s="1"/>
  <c r="C17" i="26" s="1"/>
  <c r="E19" i="13" l="1"/>
  <c r="C21" i="26" s="1"/>
  <c r="P107" i="12"/>
  <c r="J195" i="8"/>
  <c r="I46" i="12" s="1"/>
  <c r="P110" i="12"/>
  <c r="E20" i="13"/>
  <c r="E29" i="13" l="1"/>
  <c r="C23" i="26"/>
  <c r="I65" i="12"/>
  <c r="P116" i="12"/>
  <c r="G38" i="11" l="1"/>
  <c r="E6" i="4"/>
  <c r="R12" i="28" s="1"/>
  <c r="R14" i="28" s="1"/>
  <c r="P22" i="28" l="1"/>
  <c r="P21" i="28"/>
  <c r="I14" i="12"/>
  <c r="I37" i="11"/>
  <c r="M14" i="12" s="1"/>
  <c r="D13" i="13"/>
  <c r="C10" i="4"/>
  <c r="E10" i="4" s="1"/>
  <c r="R26" i="28" l="1"/>
  <c r="I23" i="12" s="1"/>
  <c r="E13" i="13"/>
  <c r="E14" i="23" s="1"/>
  <c r="C8" i="26"/>
  <c r="A24" i="12"/>
  <c r="J12" i="13"/>
  <c r="K83" i="25"/>
  <c r="Q114" i="12" s="1"/>
  <c r="O19" i="12"/>
  <c r="D24" i="12" s="1"/>
  <c r="L14" i="12"/>
  <c r="O17" i="12" s="1"/>
  <c r="D10" i="4"/>
  <c r="C11" i="4"/>
  <c r="K92" i="25" l="1"/>
  <c r="J23" i="12"/>
  <c r="H21" i="12"/>
  <c r="E25" i="12"/>
  <c r="E11" i="4"/>
  <c r="F11" i="4" s="1"/>
  <c r="D11" i="4"/>
  <c r="F10" i="4" s="1"/>
  <c r="I22" i="12" s="1"/>
  <c r="H11" i="9" l="1"/>
  <c r="H13" i="27"/>
  <c r="O13" i="27"/>
  <c r="K116" i="18"/>
  <c r="F162" i="26" s="1"/>
  <c r="K110" i="18"/>
  <c r="K38" i="18"/>
  <c r="K120" i="18"/>
  <c r="J22" i="12"/>
  <c r="J33" i="12" s="1"/>
  <c r="H11" i="18"/>
  <c r="I29" i="12"/>
  <c r="J29" i="12" s="1"/>
  <c r="K103" i="18"/>
  <c r="S114" i="12" s="1"/>
  <c r="S10" i="13"/>
  <c r="K68" i="27" l="1"/>
  <c r="K70" i="27"/>
  <c r="K73" i="27"/>
  <c r="K61" i="27"/>
  <c r="F24" i="13"/>
  <c r="F19" i="13"/>
  <c r="G15" i="13"/>
  <c r="F23" i="13"/>
  <c r="F18" i="13"/>
  <c r="F27" i="13"/>
  <c r="F22" i="13"/>
  <c r="F17" i="13"/>
  <c r="F26" i="13"/>
  <c r="F20" i="13"/>
  <c r="F15" i="13"/>
  <c r="K81" i="27" l="1"/>
  <c r="K105" i="9" s="1"/>
  <c r="K50" i="18"/>
  <c r="S110" i="12" s="1"/>
  <c r="J36" i="12"/>
  <c r="K138" i="18"/>
  <c r="F29" i="13"/>
  <c r="F41" i="23"/>
  <c r="P36" i="12" l="1"/>
  <c r="O11" i="18" s="1"/>
  <c r="C10" i="26"/>
  <c r="J21" i="13"/>
  <c r="K140" i="18"/>
  <c r="O13" i="13"/>
  <c r="S115" i="12"/>
  <c r="J42" i="12"/>
  <c r="J43" i="12" s="1"/>
  <c r="O11" i="9" l="1"/>
  <c r="K55" i="9" s="1"/>
  <c r="K57" i="9"/>
  <c r="F71" i="26" s="1"/>
  <c r="J47" i="12"/>
  <c r="C13" i="26"/>
  <c r="J57" i="12"/>
  <c r="K110" i="9" l="1"/>
  <c r="F120" i="26" s="1"/>
  <c r="K59" i="9"/>
  <c r="F73" i="26" s="1"/>
  <c r="K63" i="9"/>
  <c r="F77" i="26" s="1"/>
  <c r="K118" i="9"/>
  <c r="F128" i="26" s="1"/>
  <c r="K74" i="9"/>
  <c r="F88" i="26" s="1"/>
  <c r="K76" i="9"/>
  <c r="F90" i="26" s="1"/>
  <c r="K61" i="9"/>
  <c r="F75" i="26" s="1"/>
  <c r="K68" i="9"/>
  <c r="K14" i="9"/>
  <c r="K52" i="9" s="1"/>
  <c r="K178" i="9"/>
  <c r="F182" i="26" s="1"/>
  <c r="K81" i="9"/>
  <c r="K103" i="9" s="1"/>
  <c r="K106" i="9" s="1"/>
  <c r="K126" i="9"/>
  <c r="K180" i="9"/>
  <c r="F184" i="26" s="1"/>
  <c r="J54" i="12"/>
  <c r="J58" i="12" s="1"/>
  <c r="F69" i="26"/>
  <c r="J65" i="12"/>
  <c r="K120" i="9" l="1"/>
  <c r="K78" i="9"/>
  <c r="R109" i="12" s="1"/>
  <c r="F82" i="26"/>
  <c r="K65" i="9"/>
  <c r="R108" i="12" s="1"/>
  <c r="F60" i="26"/>
  <c r="R107" i="12"/>
  <c r="J17" i="13" s="1"/>
  <c r="K132" i="9"/>
  <c r="R112" i="12" s="1"/>
  <c r="F133" i="26"/>
  <c r="F95" i="26"/>
  <c r="K184" i="9"/>
  <c r="J66" i="12"/>
  <c r="J19" i="13" l="1"/>
  <c r="O109" i="12"/>
  <c r="O79" i="12" s="1"/>
  <c r="R115" i="12"/>
  <c r="J27" i="13" s="1"/>
  <c r="K186" i="9"/>
  <c r="O107" i="12"/>
  <c r="O77" i="12" s="1"/>
  <c r="J23" i="13"/>
  <c r="O112" i="12"/>
  <c r="O83" i="12" s="1"/>
  <c r="J18" i="13"/>
  <c r="O108" i="12"/>
  <c r="O78" i="12" s="1"/>
  <c r="O115" i="12" l="1"/>
  <c r="O87" i="12" s="1"/>
  <c r="G21" i="23"/>
  <c r="I21" i="23"/>
  <c r="G25" i="23" l="1"/>
  <c r="I25" i="23"/>
  <c r="I18" i="23" l="1"/>
  <c r="I195" i="8"/>
  <c r="I204" i="17"/>
  <c r="D22" i="13"/>
  <c r="D29" i="13" s="1"/>
  <c r="B2" i="27" l="1"/>
  <c r="K133" i="27" l="1"/>
  <c r="K95" i="27"/>
  <c r="K97" i="27"/>
  <c r="K135" i="27"/>
  <c r="K105" i="27" l="1"/>
  <c r="K139" i="27"/>
  <c r="K143" i="27" l="1"/>
  <c r="K164" i="9"/>
  <c r="K165" i="9" s="1"/>
  <c r="R114" i="12" s="1"/>
  <c r="K142" i="27"/>
  <c r="K122" i="9"/>
  <c r="K123" i="9" s="1"/>
  <c r="K144" i="27" l="1"/>
  <c r="K188" i="9" s="1"/>
  <c r="K190" i="9" s="1"/>
  <c r="O114" i="12"/>
  <c r="O86" i="12" s="1"/>
  <c r="J26" i="13"/>
  <c r="R111" i="12"/>
  <c r="J22" i="13" l="1"/>
  <c r="O111" i="12"/>
  <c r="O82" i="12" s="1"/>
  <c r="H17" i="13"/>
  <c r="I19" i="23" l="1"/>
  <c r="I30" i="23" s="1"/>
  <c r="I41" i="23" s="1"/>
  <c r="I44" i="23" s="1"/>
  <c r="H20" i="13"/>
  <c r="H18" i="13"/>
  <c r="H19" i="13"/>
  <c r="H21" i="13"/>
  <c r="H22" i="13"/>
  <c r="H23" i="13"/>
  <c r="H24" i="13"/>
  <c r="H25" i="13"/>
  <c r="H26" i="13"/>
  <c r="H27" i="13"/>
  <c r="R110" i="12"/>
  <c r="O110" i="12" s="1"/>
  <c r="O80" i="12" s="1"/>
  <c r="J69" i="12"/>
  <c r="J70" i="12" s="1"/>
  <c r="H29" i="13" l="1"/>
  <c r="I45" i="23"/>
  <c r="I48" i="23" s="1"/>
  <c r="O73" i="12"/>
  <c r="J20" i="13"/>
  <c r="J29" i="13" s="1"/>
  <c r="C36" i="26" s="1"/>
  <c r="J75" i="12" l="1"/>
  <c r="J83" i="12"/>
  <c r="J74" i="12"/>
  <c r="J85" i="12"/>
  <c r="J87" i="12"/>
  <c r="J86" i="12"/>
  <c r="J84" i="12"/>
  <c r="J79" i="12"/>
  <c r="J82" i="12"/>
  <c r="J77" i="12"/>
  <c r="J78" i="12"/>
  <c r="J81" i="12"/>
  <c r="J80" i="12"/>
  <c r="J95" i="12" l="1"/>
  <c r="G22" i="13" s="1"/>
  <c r="I22" i="13" s="1"/>
  <c r="G20" i="13" l="1"/>
  <c r="I20" i="13" s="1"/>
  <c r="C24" i="26" s="1"/>
  <c r="G27" i="13"/>
  <c r="I27" i="13" s="1"/>
  <c r="C34" i="26" s="1"/>
  <c r="G25" i="13"/>
  <c r="I25" i="13" s="1"/>
  <c r="K25" i="13" s="1"/>
  <c r="J96" i="12"/>
  <c r="J98" i="12" s="1"/>
  <c r="J132" i="12" s="1"/>
  <c r="G23" i="13"/>
  <c r="I23" i="13" s="1"/>
  <c r="C28" i="26" s="1"/>
  <c r="G17" i="13"/>
  <c r="I17" i="13" s="1"/>
  <c r="G18" i="13"/>
  <c r="I18" i="13" s="1"/>
  <c r="K18" i="13" s="1"/>
  <c r="G26" i="13"/>
  <c r="I26" i="13" s="1"/>
  <c r="K26" i="13" s="1"/>
  <c r="G24" i="13"/>
  <c r="I24" i="13" s="1"/>
  <c r="K24" i="13" s="1"/>
  <c r="G19" i="13"/>
  <c r="I19" i="13" s="1"/>
  <c r="C22" i="26" s="1"/>
  <c r="G21" i="13"/>
  <c r="I21" i="13" s="1"/>
  <c r="K21" i="13" s="1"/>
  <c r="C26" i="26"/>
  <c r="K22" i="13"/>
  <c r="C45" i="26" l="1"/>
  <c r="K23" i="13"/>
  <c r="K20" i="13"/>
  <c r="K27" i="13"/>
  <c r="K19" i="13"/>
  <c r="C30" i="26"/>
  <c r="C32" i="26"/>
  <c r="C20" i="26"/>
  <c r="J134" i="12"/>
  <c r="C49" i="26" s="1"/>
  <c r="J133" i="12"/>
  <c r="C47" i="26" s="1"/>
  <c r="J136" i="12"/>
  <c r="J137" i="12"/>
  <c r="G29" i="13"/>
  <c r="I29" i="13"/>
  <c r="C35" i="26" s="1"/>
  <c r="C18" i="26"/>
  <c r="K17" i="13"/>
  <c r="J138" i="12" l="1"/>
  <c r="J141" i="12" s="1"/>
  <c r="C50" i="26"/>
  <c r="K29" i="13"/>
  <c r="J142" i="12" l="1"/>
  <c r="C51" i="26"/>
  <c r="L25" i="13"/>
  <c r="M25" i="13" s="1"/>
  <c r="L18" i="13"/>
  <c r="M18" i="13" s="1"/>
  <c r="L23" i="13"/>
  <c r="M23" i="13" s="1"/>
  <c r="L17" i="13"/>
  <c r="L20" i="13"/>
  <c r="M20" i="13" s="1"/>
  <c r="L24" i="13"/>
  <c r="M24" i="13" s="1"/>
  <c r="C37" i="26"/>
  <c r="L19" i="13"/>
  <c r="M19" i="13" s="1"/>
  <c r="L21" i="13"/>
  <c r="M21" i="13" s="1"/>
  <c r="L22" i="13"/>
  <c r="M22" i="13" s="1"/>
  <c r="L27" i="13"/>
  <c r="M27" i="13" s="1"/>
  <c r="L26" i="13"/>
  <c r="M26" i="13" s="1"/>
  <c r="C52" i="26" l="1"/>
  <c r="J144" i="12"/>
  <c r="N27" i="13"/>
  <c r="O27" i="13" s="1"/>
  <c r="E28" i="23" s="1"/>
  <c r="N23" i="13"/>
  <c r="O23" i="13" s="1"/>
  <c r="E24" i="23" s="1"/>
  <c r="N26" i="13"/>
  <c r="O26" i="13" s="1"/>
  <c r="E27" i="23" s="1"/>
  <c r="L29" i="13"/>
  <c r="C39" i="26" s="1"/>
  <c r="M17" i="13"/>
  <c r="N22" i="13"/>
  <c r="O22" i="13" s="1"/>
  <c r="E23" i="23" s="1"/>
  <c r="N24" i="13"/>
  <c r="O24" i="13" s="1"/>
  <c r="E25" i="23" s="1"/>
  <c r="N18" i="13"/>
  <c r="O18" i="13" s="1"/>
  <c r="E19" i="23" s="1"/>
  <c r="G19" i="23" s="1"/>
  <c r="N19" i="13"/>
  <c r="O19" i="13" s="1"/>
  <c r="E20" i="23" s="1"/>
  <c r="G20" i="23" s="1"/>
  <c r="N21" i="13"/>
  <c r="O21" i="13" s="1"/>
  <c r="E22" i="23" s="1"/>
  <c r="N20" i="13"/>
  <c r="O20" i="13" s="1"/>
  <c r="E21" i="23" s="1"/>
  <c r="N25" i="13"/>
  <c r="O25" i="13" s="1"/>
  <c r="E26" i="23" s="1"/>
  <c r="G3" i="26" l="1"/>
  <c r="C53" i="26"/>
  <c r="N17" i="13"/>
  <c r="N29" i="13" s="1"/>
  <c r="C42" i="26" s="1"/>
  <c r="M29" i="13"/>
  <c r="C40" i="26" s="1"/>
  <c r="O17" i="13" l="1"/>
  <c r="E18" i="23" s="1"/>
  <c r="O29" i="13" l="1"/>
  <c r="C43" i="26" s="1"/>
  <c r="G18" i="23"/>
  <c r="G30" i="23" s="1"/>
  <c r="G41" i="23" s="1"/>
  <c r="E30"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tc={E8526FB4-4EAA-4D62-BC7B-CF1B18E6E497}</author>
  </authors>
  <commentList>
    <comment ref="H81" authorId="0" shapeId="0" xr:uid="{E8526FB4-4EAA-4D62-BC7B-CF1B18E6E49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Wir das normalerweise mitvergeben oder als Aufgabe der PL gesehen</t>
      </text>
    </comment>
  </commentList>
</comments>
</file>

<file path=xl/sharedStrings.xml><?xml version="1.0" encoding="utf-8"?>
<sst xmlns="http://schemas.openxmlformats.org/spreadsheetml/2006/main" count="1721" uniqueCount="1112">
  <si>
    <t>nach Kostenberechnung</t>
  </si>
  <si>
    <t>Zeile [Z]</t>
  </si>
  <si>
    <t>4.1</t>
  </si>
  <si>
    <t>4.2</t>
  </si>
  <si>
    <t>4.3</t>
  </si>
  <si>
    <t>4.4</t>
  </si>
  <si>
    <t>4.5</t>
  </si>
  <si>
    <t>4.6</t>
  </si>
  <si>
    <t>4.7</t>
  </si>
  <si>
    <t>5.1</t>
  </si>
  <si>
    <t xml:space="preserve"> </t>
  </si>
  <si>
    <t>nach Kostenschätzung</t>
  </si>
  <si>
    <t>Honorarzone</t>
  </si>
  <si>
    <t>Höchstsatz</t>
  </si>
  <si>
    <t>Bewertungs-
merkmal</t>
  </si>
  <si>
    <t>(1)</t>
  </si>
  <si>
    <t>(2)</t>
  </si>
  <si>
    <t>(3)</t>
  </si>
  <si>
    <t>(4)</t>
  </si>
  <si>
    <t>(5-6)</t>
  </si>
  <si>
    <t>9.02</t>
  </si>
  <si>
    <t>9.01</t>
  </si>
  <si>
    <t>8.07</t>
  </si>
  <si>
    <t>8.06</t>
  </si>
  <si>
    <t>8.04</t>
  </si>
  <si>
    <t>8.03</t>
  </si>
  <si>
    <t>8.01</t>
  </si>
  <si>
    <t>7.02</t>
  </si>
  <si>
    <t>7.01</t>
  </si>
  <si>
    <t>6.02</t>
  </si>
  <si>
    <t>6.01</t>
  </si>
  <si>
    <t>5.03</t>
  </si>
  <si>
    <t>5.02</t>
  </si>
  <si>
    <t>5.01</t>
  </si>
  <si>
    <t>4.01</t>
  </si>
  <si>
    <t>3.03</t>
  </si>
  <si>
    <t>3.02</t>
  </si>
  <si>
    <t>3.01</t>
  </si>
  <si>
    <t>2.03</t>
  </si>
  <si>
    <t>2.02</t>
  </si>
  <si>
    <t>2.01</t>
  </si>
  <si>
    <t>1.03</t>
  </si>
  <si>
    <t>1.02</t>
  </si>
  <si>
    <t>1.01</t>
  </si>
  <si>
    <t>h</t>
  </si>
  <si>
    <t>HOAI</t>
  </si>
  <si>
    <t>8.05</t>
  </si>
  <si>
    <t>8.02</t>
  </si>
  <si>
    <t>Einheit</t>
  </si>
  <si>
    <t>Menge</t>
  </si>
  <si>
    <t>4.03</t>
  </si>
  <si>
    <t>6.03</t>
  </si>
  <si>
    <t>7.03</t>
  </si>
  <si>
    <t>8.08</t>
  </si>
  <si>
    <t>4.8</t>
  </si>
  <si>
    <t>5.2</t>
  </si>
  <si>
    <t xml:space="preserve">Die Leistung wird zugeordnet der Honorarzone: </t>
  </si>
  <si>
    <t xml:space="preserve">Summe der ermittelten Punktanzahl: </t>
  </si>
  <si>
    <t>Stundensätze für Leistungsänderungen (soweit nicht über HOAI zu vergüten)</t>
  </si>
  <si>
    <t>Zellverknüpfungen</t>
  </si>
  <si>
    <t>Mitwirken bei der Freigabe von Sicherheitsleistungen</t>
  </si>
  <si>
    <t>EUR</t>
  </si>
  <si>
    <t>Nebenkosten einschl. Reisekosten</t>
  </si>
  <si>
    <t>Ermittelte
Punktzahl</t>
  </si>
  <si>
    <t>3.1</t>
  </si>
  <si>
    <t>Angabe der Baukosten</t>
  </si>
  <si>
    <t xml:space="preserve">Summe </t>
  </si>
  <si>
    <t>5</t>
  </si>
  <si>
    <t>Grundleistungen</t>
  </si>
  <si>
    <t>Nebenkosten</t>
  </si>
  <si>
    <t>MwSt.</t>
  </si>
  <si>
    <t xml:space="preserve">Bewertung </t>
  </si>
  <si>
    <t>Objektbetreuung</t>
  </si>
  <si>
    <t>Grundlagenermittlung</t>
  </si>
  <si>
    <t xml:space="preserve">
</t>
  </si>
  <si>
    <t>Zusätzliche Angaben zum Vertrag</t>
  </si>
  <si>
    <t>Fachlich Verantwortlicher</t>
  </si>
  <si>
    <t>Anrechenbare Kosten EUR</t>
  </si>
  <si>
    <t>8.1</t>
  </si>
  <si>
    <t xml:space="preserve">Vorplanung </t>
  </si>
  <si>
    <t xml:space="preserve">Entwurfsplanung </t>
  </si>
  <si>
    <t xml:space="preserve">Genehmigungsplanung </t>
  </si>
  <si>
    <t xml:space="preserve">Ausführungsplanung </t>
  </si>
  <si>
    <t>Vorbereitung der Vergabe</t>
  </si>
  <si>
    <t>Mitwirkung bei der Vergabe</t>
  </si>
  <si>
    <t>Leistungsphasen</t>
  </si>
  <si>
    <t>5.3</t>
  </si>
  <si>
    <t>5.4</t>
  </si>
  <si>
    <t>5.5</t>
  </si>
  <si>
    <t>Anrechenbare Kosten</t>
  </si>
  <si>
    <t>EURO</t>
  </si>
  <si>
    <t>sehr gering</t>
  </si>
  <si>
    <t>gering</t>
  </si>
  <si>
    <t>durchschnittlich</t>
  </si>
  <si>
    <t>hoch</t>
  </si>
  <si>
    <t>sehr hoch</t>
  </si>
  <si>
    <t xml:space="preserve">Reisekosten </t>
  </si>
  <si>
    <t xml:space="preserve">Sonstige Vereinbarungen: </t>
  </si>
  <si>
    <t xml:space="preserve">Kosten für Technische Anlagen </t>
  </si>
  <si>
    <t>zur Herbeiführung der Vergleichbarkeit der Angebote</t>
  </si>
  <si>
    <t>Stunden für Leistungsänderungen</t>
  </si>
  <si>
    <t>Summe fiktiver Aufwandsansatz</t>
  </si>
  <si>
    <t>EURO/h netto</t>
  </si>
  <si>
    <t>Minderung aufgrund Wiederholung um</t>
  </si>
  <si>
    <t>netto</t>
  </si>
  <si>
    <t xml:space="preserve">Zwischensumme </t>
  </si>
  <si>
    <t>Kosten 
EURO</t>
  </si>
  <si>
    <t>Honorar Min
EURO</t>
  </si>
  <si>
    <t>Honorar Max
EURO</t>
  </si>
  <si>
    <t>Ergebnis
EURO</t>
  </si>
  <si>
    <t>Zone 1 
Min
EURO</t>
  </si>
  <si>
    <t>Zone 2 
Min
EURO</t>
  </si>
  <si>
    <t>Zone 3 
Min
EURO</t>
  </si>
  <si>
    <t>Zone 4  
Min
EURO</t>
  </si>
  <si>
    <t>Zone 5 
Min
EURO</t>
  </si>
  <si>
    <t>Zone 5 
Max
EURO</t>
  </si>
  <si>
    <t>Zellverknüpfung</t>
  </si>
  <si>
    <t>Hinweise zur Bedienung für den Bieter</t>
  </si>
  <si>
    <t>Wertung Honorarangebot über fiktiven Aufwandsansatz</t>
  </si>
  <si>
    <t>z.B. Mehrfertigungen</t>
  </si>
  <si>
    <t>(&lt;&gt; HT)</t>
  </si>
  <si>
    <t>Bieter:</t>
  </si>
  <si>
    <t>(= HT)</t>
  </si>
  <si>
    <t>(Keine Eingabe)</t>
  </si>
  <si>
    <t>(Eingabe mehrfach)</t>
  </si>
  <si>
    <t>(Ber.Honorar)</t>
  </si>
  <si>
    <t>Angaben zur Art des Honorars</t>
  </si>
  <si>
    <t>(Eingabe richtig)</t>
  </si>
  <si>
    <t>(Felder werden nur rot, wenn Vorgabe durch AG erfolgt ist)</t>
  </si>
  <si>
    <t>§ 7 (1)</t>
  </si>
  <si>
    <t/>
  </si>
  <si>
    <t>Entsprechend der Unverbindlichkeit der Honorarsätze kann vom Bieter eine Erhöhung oder Minderung des Honorars in Prozent angeboten werden.</t>
  </si>
  <si>
    <t>pauschal in Prozent des Nettohonorars:</t>
  </si>
  <si>
    <t>insgesamt pauschal in EURO:</t>
  </si>
  <si>
    <t>Ergänzende Vereinbarung zu den Nebenkosten</t>
  </si>
  <si>
    <t>Minderung des Basishonorars:</t>
  </si>
  <si>
    <t>zzgl. MwSt.</t>
  </si>
  <si>
    <t>Erhöhung des Basishonorars:</t>
  </si>
  <si>
    <t>Hinweise zur Bedienung für den Auftraggeber</t>
  </si>
  <si>
    <t>Fachbereich</t>
  </si>
  <si>
    <t>Finanzierung</t>
  </si>
  <si>
    <t>Bundesmaßnahme</t>
  </si>
  <si>
    <t>Hochbau</t>
  </si>
  <si>
    <t>9.03</t>
  </si>
  <si>
    <t>9.04</t>
  </si>
  <si>
    <t>9.05</t>
  </si>
  <si>
    <t>9.06</t>
  </si>
  <si>
    <t>bis zu 10 Punkte  = Honorarzone 1</t>
  </si>
  <si>
    <t>Anmerkung:</t>
  </si>
  <si>
    <t>Leistungsstufe 1C
Leistungsphase 3: Entwurfsplanung</t>
  </si>
  <si>
    <t>Leistungsstufe 1B
Leistungsphase 2: Vorplanung</t>
  </si>
  <si>
    <t xml:space="preserve">Leistungsstufe 1A
Leistungsphase 1: Grundlagenermittlung </t>
  </si>
  <si>
    <t>Leistungsstufe 2
Leistungsphase 5: Ausführungsplanung</t>
  </si>
  <si>
    <t>Leistungsstufe 3A
Leistungsphase 6: Vorbereitung der Vergabe</t>
  </si>
  <si>
    <t>Leistungsstufe 3B
Leistungsphase 7: Mitwirkung bei der Vergabe</t>
  </si>
  <si>
    <t>Leistungsstufe 5
Leistungsphase 9: Objektbetreuung</t>
  </si>
  <si>
    <t>zu Leistungsstufe 1A</t>
  </si>
  <si>
    <t>zu Leistungsstufe 1B</t>
  </si>
  <si>
    <t>zu Leistungsstufe 1C</t>
  </si>
  <si>
    <t>zu Leistungsstufe 1D</t>
  </si>
  <si>
    <t>zu Leistungsstufe 2</t>
  </si>
  <si>
    <t>zu Leistungsstufe 3A</t>
  </si>
  <si>
    <t>zu Leistungsstufe 3B</t>
  </si>
  <si>
    <t>zu Leistungsstufe 4</t>
  </si>
  <si>
    <t>zu Leistungssstufe 5</t>
  </si>
  <si>
    <t>1.1</t>
  </si>
  <si>
    <t>1.2</t>
  </si>
  <si>
    <t>2.1</t>
  </si>
  <si>
    <t>2.2</t>
  </si>
  <si>
    <t>Bezeichnung Tabellenblatt:</t>
  </si>
  <si>
    <t>Teil</t>
  </si>
  <si>
    <t>A</t>
  </si>
  <si>
    <t>B</t>
  </si>
  <si>
    <t>Ermittlung der anrechenbaren Kosten</t>
  </si>
  <si>
    <t>E</t>
  </si>
  <si>
    <t>Honorarberechnung</t>
  </si>
  <si>
    <t>F</t>
  </si>
  <si>
    <t>G</t>
  </si>
  <si>
    <t>H</t>
  </si>
  <si>
    <t>Honorarabrechnung</t>
  </si>
  <si>
    <t>Teil A</t>
  </si>
  <si>
    <t>Teil B</t>
  </si>
  <si>
    <t xml:space="preserve">Fachliche Bewertung der innerhalb der Verjährungsfristen für </t>
  </si>
  <si>
    <t>Gewährleistungsansprüche festgestellten Mängel, längstens jedoch bis zum Ablauf von fünf Jahren seit Abnahme der Leistung, einschließlich notwendiger Begehungen</t>
  </si>
  <si>
    <t>Teil E</t>
  </si>
  <si>
    <t>Teil F</t>
  </si>
  <si>
    <t xml:space="preserve">Überwachen der Mängelbeseitigung innerhalb der </t>
  </si>
  <si>
    <t>Verjährungsfristen</t>
  </si>
  <si>
    <t>Leistungsstufe 1
Leistungsphase 3: Entwurfsplanung</t>
  </si>
  <si>
    <t>Leistungsstufe 1
Leistungsphase 4: Genehmigungsplanung</t>
  </si>
  <si>
    <t>Leistungsstufe 3
Leistungsphase 6: Vorbereitung der Vergabe</t>
  </si>
  <si>
    <t>Leistungsstufe 3
Leistungsphase 7: Mitwirkung bei der Vergabe</t>
  </si>
  <si>
    <t>zu Leistungsstufe 1</t>
  </si>
  <si>
    <t>1.04</t>
  </si>
  <si>
    <t>1.05</t>
  </si>
  <si>
    <t>1.06</t>
  </si>
  <si>
    <t>2.04</t>
  </si>
  <si>
    <t>2.05</t>
  </si>
  <si>
    <t>2.06</t>
  </si>
  <si>
    <t>zu Leistungsstufe 3</t>
  </si>
  <si>
    <t>3.04</t>
  </si>
  <si>
    <t>3.05</t>
  </si>
  <si>
    <t>3.06</t>
  </si>
  <si>
    <t>HB-C1</t>
  </si>
  <si>
    <t>HB-C2</t>
  </si>
  <si>
    <t>StB-D1</t>
  </si>
  <si>
    <t>HB-D1</t>
  </si>
  <si>
    <t>HB-D2</t>
  </si>
  <si>
    <t>Teil G</t>
  </si>
  <si>
    <t xml:space="preserve">Leistungsphase 1: Grundlagenermittlung </t>
  </si>
  <si>
    <t>-</t>
  </si>
  <si>
    <t>Leistungsphase 2: Vorplanung</t>
  </si>
  <si>
    <t>Leistungsphase 3: Entwurfsplanung</t>
  </si>
  <si>
    <t>Leistungsphase 4: Genehmigungsplanung</t>
  </si>
  <si>
    <t>Leistungsphase 5: Ausführungsplanung</t>
  </si>
  <si>
    <t>Leistungsphase 6: Vorbereitung der Vergabe</t>
  </si>
  <si>
    <t>Leistungsphase 7: Mitwirkung bei der Vergabe</t>
  </si>
  <si>
    <t>Leistungsphase 9: Objektbetreuung</t>
  </si>
  <si>
    <t>zu Leistungsphase 1</t>
  </si>
  <si>
    <t>zu Leistungsphase 2</t>
  </si>
  <si>
    <t>zu Leistungsphase 3</t>
  </si>
  <si>
    <t>zu Leistungsphase 4</t>
  </si>
  <si>
    <t>4.02</t>
  </si>
  <si>
    <t>4.04</t>
  </si>
  <si>
    <t>4.05</t>
  </si>
  <si>
    <t>zu Leistungsphase 5</t>
  </si>
  <si>
    <t>5.04</t>
  </si>
  <si>
    <t>5.05</t>
  </si>
  <si>
    <t>5.06</t>
  </si>
  <si>
    <t>zu Leistungsphase 6</t>
  </si>
  <si>
    <t>zu Leistungsphase 7</t>
  </si>
  <si>
    <t>zu Leistungsphase 8</t>
  </si>
  <si>
    <t>zu Leistungsphase 9</t>
  </si>
  <si>
    <t>Leistungsstufe 1
Leistungsphase 2: Vorplanung</t>
  </si>
  <si>
    <r>
      <t xml:space="preserve">Es handelt sich um eine </t>
    </r>
    <r>
      <rPr>
        <b/>
        <sz val="10"/>
        <color theme="1"/>
        <rFont val="Arial"/>
        <family val="2"/>
      </rPr>
      <t>Vorplanung als Einzelleistung</t>
    </r>
    <r>
      <rPr>
        <sz val="10"/>
        <color theme="1"/>
        <rFont val="Arial"/>
        <family val="2"/>
      </rPr>
      <t xml:space="preserve"> nach § 9 Abs. 1 Nr. 1 HOAI.</t>
    </r>
  </si>
  <si>
    <r>
      <rPr>
        <b/>
        <sz val="10"/>
        <color theme="1"/>
        <rFont val="Arial"/>
        <family val="2"/>
      </rPr>
      <t xml:space="preserve">Berechnung für </t>
    </r>
    <r>
      <rPr>
        <sz val="10"/>
        <color theme="1"/>
        <rFont val="Arial"/>
        <family val="2"/>
      </rPr>
      <t>Wiederholung Nr.:</t>
    </r>
  </si>
  <si>
    <t>LPh 1 bis 9 (Teil A Z 6)</t>
  </si>
  <si>
    <t>Auftragsabwicklung</t>
  </si>
  <si>
    <t>beauf-tragt</t>
  </si>
  <si>
    <t>beauftragte Summe</t>
  </si>
  <si>
    <t>v.H.</t>
  </si>
  <si>
    <t>Honorarzone:</t>
  </si>
  <si>
    <t>Minderung/ Erhöhung des Basishonorars § 7 (1) HOAI</t>
  </si>
  <si>
    <t>a)</t>
  </si>
  <si>
    <t xml:space="preserve">Summe Leistungsphase 1 (HOAI/ RBBau max.0,00 %) </t>
  </si>
  <si>
    <t>b)</t>
  </si>
  <si>
    <t>c)</t>
  </si>
  <si>
    <t>d)</t>
  </si>
  <si>
    <t>e)</t>
  </si>
  <si>
    <t>f)</t>
  </si>
  <si>
    <t>g)</t>
  </si>
  <si>
    <t>h)</t>
  </si>
  <si>
    <t>i)</t>
  </si>
  <si>
    <t>j)</t>
  </si>
  <si>
    <t>k)</t>
  </si>
  <si>
    <t>v.H.-Satz</t>
  </si>
  <si>
    <t>Steuerung Arbeitsmappe:</t>
  </si>
  <si>
    <t>psch</t>
  </si>
  <si>
    <t>Ermittlung des Honorars</t>
  </si>
  <si>
    <t>Name</t>
  </si>
  <si>
    <t>Qualifikation</t>
  </si>
  <si>
    <t>Lph 1</t>
  </si>
  <si>
    <t>Lph 1 bis 9 (Teil A Z 6)</t>
  </si>
  <si>
    <t>Hauptauftrag</t>
  </si>
  <si>
    <t>Bezeichnung</t>
  </si>
  <si>
    <t>Abrechnung</t>
  </si>
  <si>
    <t>Honorarsumme (kummulativ)</t>
  </si>
  <si>
    <t>bisher abgerechnet:</t>
  </si>
  <si>
    <t>gem. §12  VI.1 AVB (Hochbau)</t>
  </si>
  <si>
    <t xml:space="preserve">Summe Leistungsstufe 1 </t>
  </si>
  <si>
    <t xml:space="preserve">Summe Leistungsstufe 2 </t>
  </si>
  <si>
    <t xml:space="preserve">Summe Leistungsstufe 3 </t>
  </si>
  <si>
    <t xml:space="preserve">Summe Leistungsphase 9 </t>
  </si>
  <si>
    <t xml:space="preserve">Summe Leistungsphase 1 </t>
  </si>
  <si>
    <t xml:space="preserve">Summe Leistungsphase 2 </t>
  </si>
  <si>
    <t xml:space="preserve">Summe Leistungsphase 3 </t>
  </si>
  <si>
    <t xml:space="preserve">Summe Leistungsphase 4 </t>
  </si>
  <si>
    <t xml:space="preserve">Summe Leistungsphase 5 </t>
  </si>
  <si>
    <t xml:space="preserve">Summe Leistungsphase 6 </t>
  </si>
  <si>
    <t xml:space="preserve">Summe Leistungsphase 7 </t>
  </si>
  <si>
    <t>Wertungssumme</t>
  </si>
  <si>
    <t xml:space="preserve">Besondere Leistungen </t>
  </si>
  <si>
    <t>Die Grundleistungen werden bewertet mit:</t>
  </si>
  <si>
    <t>Honorar für Grundleistungen in Höhe von</t>
  </si>
  <si>
    <t>Auftragssumme</t>
  </si>
  <si>
    <t>Honorartafel</t>
  </si>
  <si>
    <t>[v.H.-Satz]</t>
  </si>
  <si>
    <t>mit konkretisierter Leistungsbeschreibung (kursiv)</t>
  </si>
  <si>
    <t>7.1</t>
  </si>
  <si>
    <t>7.2</t>
  </si>
  <si>
    <t>7.3</t>
  </si>
  <si>
    <t>7.4</t>
  </si>
  <si>
    <t>9.1</t>
  </si>
  <si>
    <t>9.2</t>
  </si>
  <si>
    <t>10.1</t>
  </si>
  <si>
    <t>10.2</t>
  </si>
  <si>
    <t>16.1</t>
  </si>
  <si>
    <t>16.2</t>
  </si>
  <si>
    <t>16.3</t>
  </si>
  <si>
    <t>17.1</t>
  </si>
  <si>
    <t>17.2</t>
  </si>
  <si>
    <t>Honorar für Grundleistungen und Besondere Leistungen in Höhe von</t>
  </si>
  <si>
    <t>Teilleistung &gt;0</t>
  </si>
  <si>
    <t>Lph 2</t>
  </si>
  <si>
    <t>Lph 3</t>
  </si>
  <si>
    <t>Lph 4</t>
  </si>
  <si>
    <t>Lph 5</t>
  </si>
  <si>
    <t>Lph 6</t>
  </si>
  <si>
    <t>Lph 7</t>
  </si>
  <si>
    <t>Lph 8</t>
  </si>
  <si>
    <t>Lph 9</t>
  </si>
  <si>
    <t>Prozent</t>
  </si>
  <si>
    <t>Grundlst.</t>
  </si>
  <si>
    <t>Summe</t>
  </si>
  <si>
    <t>Landesmaßnahme / Dritte</t>
  </si>
  <si>
    <t>Anrechenbare Kosten aus Z 5, wenn Z 5 größer als Z 5.2</t>
  </si>
  <si>
    <t>Anrechenbare Kosten aus Z 5, aber nicht mehr als Z 5.2</t>
  </si>
  <si>
    <t>Es sind mehrere Personen für die Leistungsphasen fachlich verantwortlich.</t>
  </si>
  <si>
    <t>Maßnahme:</t>
  </si>
  <si>
    <t>Maßnahmennr:</t>
  </si>
  <si>
    <t>Angaben zur Maßnahme</t>
  </si>
  <si>
    <t>Projektgrundlagen</t>
  </si>
  <si>
    <r>
      <t>Bezeichnung Tabellenblatt</t>
    </r>
    <r>
      <rPr>
        <sz val="10"/>
        <color theme="1"/>
        <rFont val="Arial"/>
        <family val="2"/>
      </rPr>
      <t xml:space="preserve"> </t>
    </r>
    <r>
      <rPr>
        <sz val="8"/>
        <color theme="1"/>
        <rFont val="Arial"/>
        <family val="2"/>
      </rPr>
      <t>(mit Link)</t>
    </r>
  </si>
  <si>
    <t>Basissatz</t>
  </si>
  <si>
    <t>Angabe der Honorarzone</t>
  </si>
  <si>
    <t>Teil StB-C1</t>
  </si>
  <si>
    <t>Teil HB-C1</t>
  </si>
  <si>
    <t>Teil HB-C2</t>
  </si>
  <si>
    <t>Teil StB-D1</t>
  </si>
  <si>
    <t>Teil HB-D1</t>
  </si>
  <si>
    <t>Teil HB-D2</t>
  </si>
  <si>
    <t>Verjährungsfristen für Mängelansprüche gegenüber den ausführenden Unternehmen</t>
  </si>
  <si>
    <t>anrechenbare Kosten</t>
  </si>
  <si>
    <t>der Bedarfsplanung des Auftraggebers</t>
  </si>
  <si>
    <t xml:space="preserve">Objektbegehung zur Mängelfeststellung vor Ablauf der </t>
  </si>
  <si>
    <t>Aufstellen, Fortschreiben und Überwachen eines Terminplans</t>
  </si>
  <si>
    <t>Honorarübersicht</t>
  </si>
  <si>
    <t>psch.</t>
  </si>
  <si>
    <t xml:space="preserve">Anlage VI.4 und Maßgabe F 1.3 RLBau </t>
  </si>
  <si>
    <t>3.2</t>
  </si>
  <si>
    <t>Bei dem Berechnungshonorar handelt es sich um ein</t>
  </si>
  <si>
    <t>Basishonorar für die Grundleistungen (100% des Leistungsbildes)</t>
  </si>
  <si>
    <t>(Honorar &lt;&gt; HT)</t>
  </si>
  <si>
    <t>%</t>
  </si>
  <si>
    <t xml:space="preserve">Leistungsstufe/ Leistungsphase </t>
  </si>
  <si>
    <r>
      <rPr>
        <b/>
        <sz val="10"/>
        <color theme="1"/>
        <rFont val="Arial"/>
        <family val="2"/>
      </rPr>
      <t xml:space="preserve">Honorarzone: 
 </t>
    </r>
    <r>
      <rPr>
        <sz val="8"/>
        <color theme="1"/>
        <rFont val="Arial"/>
        <family val="2"/>
      </rPr>
      <t>siehe Teil B</t>
    </r>
  </si>
  <si>
    <r>
      <t xml:space="preserve">Zum Honorar für Grundleistungen wird für </t>
    </r>
    <r>
      <rPr>
        <b/>
        <sz val="10"/>
        <color theme="1"/>
        <rFont val="Arial"/>
        <family val="2"/>
      </rPr>
      <t xml:space="preserve">Umbauten und Modernisierungen </t>
    </r>
    <r>
      <rPr>
        <sz val="10"/>
        <color theme="1"/>
        <rFont val="Arial"/>
        <family val="2"/>
      </rPr>
      <t xml:space="preserve">ein </t>
    </r>
  </si>
  <si>
    <r>
      <t>Zum Honorar für Grundleistungen wird für</t>
    </r>
    <r>
      <rPr>
        <b/>
        <sz val="10"/>
        <color theme="1"/>
        <rFont val="Arial"/>
        <family val="2"/>
      </rPr>
      <t xml:space="preserve"> Instandsetzung und Instandhaltung</t>
    </r>
    <r>
      <rPr>
        <sz val="10"/>
        <color theme="1"/>
        <rFont val="Arial"/>
        <family val="2"/>
      </rPr>
      <t xml:space="preserve"> ein </t>
    </r>
  </si>
  <si>
    <t>pauschal in Prozent des Nettohonorars nach Leistungsphasen:</t>
  </si>
  <si>
    <t xml:space="preserve"> erbrachte Leistung
</t>
  </si>
  <si>
    <t>Teil dieser Angebotsabfrage, -erstellung und Abrechnung sind:</t>
  </si>
  <si>
    <t xml:space="preserve">  Honorarzone</t>
  </si>
  <si>
    <t>StB Grundleistung</t>
  </si>
  <si>
    <t>HB Grundleist. Land</t>
  </si>
  <si>
    <t>HB Grundleist. Bund</t>
  </si>
  <si>
    <t>StB Besondere Lstg.</t>
  </si>
  <si>
    <t>10.3</t>
  </si>
  <si>
    <t>10.4</t>
  </si>
  <si>
    <t>Erstellen von Baubestandsplänen gemäß</t>
  </si>
  <si>
    <r>
      <t xml:space="preserve">Summe der Grundleistungen über alle Leistungsphasen 
</t>
    </r>
    <r>
      <rPr>
        <b/>
        <sz val="8"/>
        <color theme="1"/>
        <rFont val="Arial"/>
        <family val="2"/>
      </rPr>
      <t xml:space="preserve">(HOAI max. 100 % - VHF max. 98,20 %) </t>
    </r>
  </si>
  <si>
    <t>Honorar - Hauptauftrag</t>
  </si>
  <si>
    <t>Auszahlungsbetrag:</t>
  </si>
  <si>
    <t>Fachlich Verantwortliche für die Erbringung der vertraglichen Leistung:</t>
  </si>
  <si>
    <r>
      <rPr>
        <b/>
        <sz val="12"/>
        <color theme="1"/>
        <rFont val="Arial"/>
        <family val="2"/>
      </rPr>
      <t xml:space="preserve">Grundleistungen Straßenbau
</t>
    </r>
    <r>
      <rPr>
        <sz val="8"/>
        <color theme="1"/>
        <rFont val="Arial"/>
        <family val="2"/>
      </rPr>
      <t xml:space="preserve">HOAI-Text gemäß Leistungsbild
</t>
    </r>
    <r>
      <rPr>
        <i/>
        <sz val="8"/>
        <color theme="1"/>
        <rFont val="Arial"/>
        <family val="2"/>
      </rPr>
      <t xml:space="preserve">
</t>
    </r>
  </si>
  <si>
    <r>
      <t xml:space="preserve">Beschreibung der Besonderen Leistungen Straßenbau
</t>
    </r>
    <r>
      <rPr>
        <sz val="8"/>
        <color theme="1"/>
        <rFont val="Arial"/>
        <family val="2"/>
      </rPr>
      <t>Leistungstext</t>
    </r>
    <r>
      <rPr>
        <sz val="8"/>
        <color rgb="FF0070C0"/>
        <rFont val="Arial"/>
        <family val="2"/>
      </rPr>
      <t xml:space="preserve">
</t>
    </r>
  </si>
  <si>
    <t>Hochbau  Land</t>
  </si>
  <si>
    <t>Hochbau  Bund</t>
  </si>
  <si>
    <t>zuzüglich:</t>
  </si>
  <si>
    <t>abzüglich:</t>
  </si>
  <si>
    <t>Begründung:</t>
  </si>
  <si>
    <t>Inhalt</t>
  </si>
  <si>
    <t>Festlegung der Grundleistungen Hochbau - Bund</t>
  </si>
  <si>
    <t>Festlegung der Grundleistungen Hochbau - Land</t>
  </si>
  <si>
    <t>Berechnung des Honorars</t>
  </si>
  <si>
    <t>Ermittlung der Honorarzone</t>
  </si>
  <si>
    <r>
      <rPr>
        <b/>
        <sz val="10"/>
        <color theme="1"/>
        <rFont val="Arial"/>
        <family val="2"/>
      </rPr>
      <t>Vorgabe AG</t>
    </r>
    <r>
      <rPr>
        <b/>
        <sz val="8"/>
        <color theme="1"/>
        <rFont val="Arial"/>
        <family val="2"/>
      </rPr>
      <t xml:space="preserve">
[optional]</t>
    </r>
  </si>
  <si>
    <r>
      <rPr>
        <b/>
        <sz val="10"/>
        <color theme="1"/>
        <rFont val="Arial"/>
        <family val="2"/>
      </rPr>
      <t xml:space="preserve">pauschal </t>
    </r>
    <r>
      <rPr>
        <b/>
        <sz val="8"/>
        <color theme="1"/>
        <rFont val="Arial"/>
        <family val="2"/>
      </rPr>
      <t xml:space="preserve">
[EURO netto]</t>
    </r>
  </si>
  <si>
    <r>
      <rPr>
        <b/>
        <sz val="10"/>
        <color theme="1"/>
        <rFont val="Arial"/>
        <family val="2"/>
      </rPr>
      <t xml:space="preserve">GP </t>
    </r>
    <r>
      <rPr>
        <b/>
        <sz val="8"/>
        <color theme="1"/>
        <rFont val="Arial"/>
        <family val="2"/>
      </rPr>
      <t xml:space="preserve">
[EURO netto]</t>
    </r>
  </si>
  <si>
    <r>
      <t xml:space="preserve">pauschal
</t>
    </r>
    <r>
      <rPr>
        <sz val="10"/>
        <color theme="1"/>
        <rFont val="Arial"/>
        <family val="2"/>
      </rPr>
      <t>[</t>
    </r>
    <r>
      <rPr>
        <b/>
        <sz val="8"/>
        <color theme="1"/>
        <rFont val="Arial"/>
        <family val="2"/>
      </rPr>
      <t>EURO netto]</t>
    </r>
  </si>
  <si>
    <r>
      <t xml:space="preserve">Vorgabe AG
</t>
    </r>
    <r>
      <rPr>
        <sz val="10"/>
        <color theme="1"/>
        <rFont val="Arial"/>
        <family val="2"/>
      </rPr>
      <t>[</t>
    </r>
    <r>
      <rPr>
        <b/>
        <sz val="8"/>
        <color theme="1"/>
        <rFont val="Arial"/>
        <family val="2"/>
      </rPr>
      <t>optional]</t>
    </r>
  </si>
  <si>
    <r>
      <t xml:space="preserve">GP 
</t>
    </r>
    <r>
      <rPr>
        <sz val="10"/>
        <color theme="1"/>
        <rFont val="Arial"/>
        <family val="2"/>
      </rPr>
      <t>[</t>
    </r>
    <r>
      <rPr>
        <b/>
        <sz val="8"/>
        <color theme="1"/>
        <rFont val="Arial"/>
        <family val="2"/>
      </rPr>
      <t>EURO netto]</t>
    </r>
  </si>
  <si>
    <r>
      <rPr>
        <b/>
        <sz val="10"/>
        <color theme="1"/>
        <rFont val="Arial"/>
        <family val="2"/>
      </rPr>
      <t xml:space="preserve">EP  </t>
    </r>
    <r>
      <rPr>
        <b/>
        <sz val="8"/>
        <color theme="1"/>
        <rFont val="Arial"/>
        <family val="2"/>
      </rPr>
      <t xml:space="preserve">
[EURO netto]</t>
    </r>
  </si>
  <si>
    <t xml:space="preserve">Bewertung
</t>
  </si>
  <si>
    <t>6.1</t>
  </si>
  <si>
    <t>8.2</t>
  </si>
  <si>
    <t>8.3</t>
  </si>
  <si>
    <t>8.4</t>
  </si>
  <si>
    <t>15.1</t>
  </si>
  <si>
    <t>15.2</t>
  </si>
  <si>
    <t>15.3</t>
  </si>
  <si>
    <t xml:space="preserve">Bewertung
</t>
  </si>
  <si>
    <t>Abrechnung des Honorars</t>
  </si>
  <si>
    <t>Orientie-rungswert</t>
  </si>
  <si>
    <t xml:space="preserve">Orientie-rungswert
</t>
  </si>
  <si>
    <t>Leistungsstufe 1D
Leistungsphase 4: Genehmigungsplanung</t>
  </si>
  <si>
    <t>* VHF Bayern - Abzug 1,00 %, die Durchsicht, das Nachrechnen der Angebote und das Aufstellen des Preisspiegels erbringt der AG</t>
  </si>
  <si>
    <r>
      <rPr>
        <i/>
        <vertAlign val="superscript"/>
        <sz val="8"/>
        <rFont val="Arial"/>
        <family val="2"/>
      </rPr>
      <t>1</t>
    </r>
    <r>
      <rPr>
        <i/>
        <sz val="8"/>
        <rFont val="Arial"/>
        <family val="2"/>
      </rPr>
      <t xml:space="preserve"> Nur bei Baumaßnahmen der Gaststreitkräfte</t>
    </r>
  </si>
  <si>
    <t>4.06</t>
  </si>
  <si>
    <t>4.07</t>
  </si>
  <si>
    <t>4.09</t>
  </si>
  <si>
    <t>4.08</t>
  </si>
  <si>
    <t xml:space="preserve"> Summe Leistungsstufe 4 </t>
  </si>
  <si>
    <t xml:space="preserve">Summe Leistungsstufe 5 </t>
  </si>
  <si>
    <t>EP</t>
  </si>
  <si>
    <t>Basishonorar Leistungsphasen 1 bis 9</t>
  </si>
  <si>
    <t>Umbauzuschlag nach § 6 (2) HOAI / Instandsetzungszuschlag nach § 12 (2)  HOAI</t>
  </si>
  <si>
    <t>Leistungsstufen/ 
   Leistungsphasen</t>
  </si>
  <si>
    <t>Vertragsergänzung</t>
  </si>
  <si>
    <t>Honorar incl. Vertragsergänzungen</t>
  </si>
  <si>
    <t>Ergänzung 01</t>
  </si>
  <si>
    <t>Ergänzung 02</t>
  </si>
  <si>
    <t>Ergänzung 03</t>
  </si>
  <si>
    <t>Ergänzung 04</t>
  </si>
  <si>
    <t>Ergänzung 05</t>
  </si>
  <si>
    <t>Ergänzung 06</t>
  </si>
  <si>
    <t>[netto]</t>
  </si>
  <si>
    <t>Nr.</t>
  </si>
  <si>
    <t>incl. Stufenabruf Nr.:</t>
  </si>
  <si>
    <r>
      <t>Berechnung Basishonorar</t>
    </r>
    <r>
      <rPr>
        <sz val="10"/>
        <color theme="1"/>
        <rFont val="Arial"/>
        <family val="2"/>
      </rPr>
      <t xml:space="preserve"> </t>
    </r>
  </si>
  <si>
    <t>der Differenz z.oberen Honorarsatz der Honorartafel</t>
  </si>
  <si>
    <t>Übertrag Honorar</t>
  </si>
  <si>
    <t>Folgende hier aufgeführten Kosten werden gesondert auf Einzelnachweis vergütet:</t>
  </si>
  <si>
    <t>Die Nebenkosten nach § 14 HOAI sind im Angebotsdokument anzugeben.</t>
  </si>
  <si>
    <t>Endgültiges Honorar (pauschal)</t>
  </si>
  <si>
    <t>Leistungsstufe 1
Leistungsphase 1: Grundlagenermittlung  -  Entscheidungsunterlage-Bau</t>
  </si>
  <si>
    <t xml:space="preserve">Bedarfsplanung des Auftraggebers </t>
  </si>
  <si>
    <t>Planung fachlich Beteiligter</t>
  </si>
  <si>
    <t xml:space="preserve">Formulieren von Entscheidungshilfen für die Auswahl anderer an der </t>
  </si>
  <si>
    <t>Ortsbesichtigung</t>
  </si>
  <si>
    <t xml:space="preserve">Zusammenfassen, Erläutern und Dokumentieren der Ergebnisse </t>
  </si>
  <si>
    <t>1.07</t>
  </si>
  <si>
    <t xml:space="preserve">Honorarabrechnung
</t>
  </si>
  <si>
    <t>Ermittlung der Bewertungspunkte 
nach Schwierigkeitsgrad gem. § 5 (1) HOAI</t>
  </si>
  <si>
    <r>
      <t>Anrechenbare Kosten</t>
    </r>
    <r>
      <rPr>
        <b/>
        <sz val="8"/>
        <color theme="1"/>
        <rFont val="Arial"/>
        <family val="2"/>
      </rPr>
      <t xml:space="preserve"> </t>
    </r>
    <r>
      <rPr>
        <sz val="8"/>
        <color theme="1"/>
        <rFont val="Arial"/>
        <family val="2"/>
      </rPr>
      <t>für Leistungsphasen 1 bis 9</t>
    </r>
  </si>
  <si>
    <t>4.10</t>
  </si>
  <si>
    <t>6.2</t>
  </si>
  <si>
    <t>11.1</t>
  </si>
  <si>
    <t>11.2</t>
  </si>
  <si>
    <t>11.3</t>
  </si>
  <si>
    <r>
      <t xml:space="preserve">Die Nebenkosten nach § 14 HOAI werden nicht gesondert erstattet. </t>
    </r>
    <r>
      <rPr>
        <sz val="8"/>
        <color theme="1"/>
        <rFont val="Arial"/>
        <family val="2"/>
      </rPr>
      <t>[ausgenommen Z 11.1]</t>
    </r>
  </si>
  <si>
    <t>16.4</t>
  </si>
  <si>
    <t>16.5</t>
  </si>
  <si>
    <t>16.6</t>
  </si>
  <si>
    <t>16.7</t>
  </si>
  <si>
    <t>16.8</t>
  </si>
  <si>
    <t>16.9</t>
  </si>
  <si>
    <t>17.3</t>
  </si>
  <si>
    <t>7.5</t>
  </si>
  <si>
    <t>7.6</t>
  </si>
  <si>
    <t>10.5</t>
  </si>
  <si>
    <t>10.6</t>
  </si>
  <si>
    <t>10.7</t>
  </si>
  <si>
    <t>10.8</t>
  </si>
  <si>
    <t>10.9</t>
  </si>
  <si>
    <t>10.10</t>
  </si>
  <si>
    <t>10.11</t>
  </si>
  <si>
    <t>10.12</t>
  </si>
  <si>
    <t>10.13</t>
  </si>
  <si>
    <t>10.14</t>
  </si>
  <si>
    <t>10.15</t>
  </si>
  <si>
    <t>16.10</t>
  </si>
  <si>
    <t>16.11</t>
  </si>
  <si>
    <t>16.12</t>
  </si>
  <si>
    <t>16.13</t>
  </si>
  <si>
    <t>16.14</t>
  </si>
  <si>
    <t>16.15</t>
  </si>
  <si>
    <t>16.16</t>
  </si>
  <si>
    <t>16.17</t>
  </si>
  <si>
    <t>16.18</t>
  </si>
  <si>
    <t>Projektgrundlagen / Hinweise</t>
  </si>
  <si>
    <t>Grundleistungen Straßenbau</t>
  </si>
  <si>
    <t>Grundleistungen Hochbau Land</t>
  </si>
  <si>
    <t>Grundleistungen Hochbau Bund</t>
  </si>
  <si>
    <t>Besondere Leistungen Straßenbau</t>
  </si>
  <si>
    <t>Besondere Leistungen Hochbau Land</t>
  </si>
  <si>
    <t>Besondere Leistungen Hochbau Bund</t>
  </si>
  <si>
    <t>Die benannte Person in [Z 16.1] ist für alle Leistungsphasen fachlich verantwortlich.</t>
  </si>
  <si>
    <t>8.5</t>
  </si>
  <si>
    <t xml:space="preserve">Wiederholungen nach § 11 (3) HOAI </t>
  </si>
  <si>
    <t>17</t>
  </si>
  <si>
    <t>18.1</t>
  </si>
  <si>
    <t>18.2</t>
  </si>
  <si>
    <t>7.7</t>
  </si>
  <si>
    <t>7.8</t>
  </si>
  <si>
    <t>16.99</t>
  </si>
  <si>
    <t>Für Wiederholungen nach § 11 (3) HOAI mit Minderung der Leistungsphasen 1 - 6</t>
  </si>
  <si>
    <t>7.9</t>
  </si>
  <si>
    <r>
      <t>Angebotssumme</t>
    </r>
    <r>
      <rPr>
        <sz val="10"/>
        <color theme="1"/>
        <rFont val="Arial"/>
        <family val="2"/>
      </rPr>
      <t xml:space="preserve"> netto</t>
    </r>
    <r>
      <rPr>
        <sz val="8"/>
        <color theme="1"/>
        <rFont val="Arial"/>
        <family val="2"/>
      </rPr>
      <t xml:space="preserve"> </t>
    </r>
    <r>
      <rPr>
        <i/>
        <sz val="8"/>
        <color theme="1"/>
        <rFont val="Arial"/>
        <family val="2"/>
      </rPr>
      <t>[ Z 12 + Z 19 ]</t>
    </r>
  </si>
  <si>
    <t>(Eingabe 'Einzelleistung' richtig)</t>
  </si>
  <si>
    <r>
      <t xml:space="preserve">Es handelt sich um eine </t>
    </r>
    <r>
      <rPr>
        <b/>
        <sz val="10"/>
        <color theme="1"/>
        <rFont val="Arial"/>
        <family val="2"/>
      </rPr>
      <t>Entwurfsplanung als Einzelleistung</t>
    </r>
    <r>
      <rPr>
        <sz val="10"/>
        <color theme="1"/>
        <rFont val="Arial"/>
        <family val="2"/>
      </rPr>
      <t xml:space="preserve"> nach § 9 Abs.1 Nr. 2 HOAI.</t>
    </r>
  </si>
  <si>
    <t>Die Angebotssumme wird zur Ermittlung der Wertungsreihenfolge herangezogen; jedoch nicht Vertragsbestandteil!</t>
  </si>
  <si>
    <t xml:space="preserve">Summe Leistungsphase 8 </t>
  </si>
  <si>
    <t>Objektplanung Gebäude und Innenräume</t>
  </si>
  <si>
    <t>VII.10.4</t>
  </si>
  <si>
    <t>Honorartafel nach §35 HOAI</t>
  </si>
  <si>
    <t>- frei -</t>
  </si>
  <si>
    <r>
      <t xml:space="preserve">Leistungsbild </t>
    </r>
    <r>
      <rPr>
        <sz val="8"/>
        <color theme="1"/>
        <rFont val="Arial"/>
        <family val="2"/>
      </rPr>
      <t>(§34 (1) und (2) HOAI)</t>
    </r>
  </si>
  <si>
    <t>Auswahl:</t>
  </si>
  <si>
    <t xml:space="preserve"> - frei -</t>
  </si>
  <si>
    <t>nach § 35 HOAI</t>
  </si>
  <si>
    <t>Honorartafel zu § 35 HOAI - Gebäude und Innenräume</t>
  </si>
  <si>
    <r>
      <t>nach Kostenrahmen</t>
    </r>
    <r>
      <rPr>
        <sz val="8"/>
        <color theme="1"/>
        <rFont val="Arial"/>
        <family val="2"/>
      </rPr>
      <t xml:space="preserve"> </t>
    </r>
  </si>
  <si>
    <r>
      <t>Honorarzone</t>
    </r>
    <r>
      <rPr>
        <b/>
        <sz val="8"/>
        <color theme="1"/>
        <rFont val="Arial"/>
        <family val="2"/>
      </rPr>
      <t xml:space="preserve"> </t>
    </r>
    <r>
      <rPr>
        <sz val="8"/>
        <color theme="1"/>
        <rFont val="Arial"/>
        <family val="2"/>
      </rPr>
      <t xml:space="preserve">gem. § 35 (7) HOAI </t>
    </r>
  </si>
  <si>
    <r>
      <t xml:space="preserve">durch Bepunktung </t>
    </r>
    <r>
      <rPr>
        <sz val="8"/>
        <color theme="1"/>
        <rFont val="Arial"/>
        <family val="2"/>
      </rPr>
      <t>gem. § 35 (3) bis (6) HOAI</t>
    </r>
    <r>
      <rPr>
        <sz val="10"/>
        <color theme="1"/>
        <rFont val="Arial"/>
        <family val="2"/>
      </rPr>
      <t xml:space="preserve"> </t>
    </r>
  </si>
  <si>
    <t>11 bis 18 Punkte  = Honorarzone 2</t>
  </si>
  <si>
    <t>19 bis 26 Punkte  = Honorarzone 3</t>
  </si>
  <si>
    <t>27 bis 34 Punkte  = Honorarzone 4</t>
  </si>
  <si>
    <t>35 bis 42 Punkte  = Honorarzone 5</t>
  </si>
  <si>
    <t>(1-6 Punkte)</t>
  </si>
  <si>
    <t>(1-9 Punkte)</t>
  </si>
  <si>
    <t>siehe VII.10.4 Teil A</t>
  </si>
  <si>
    <t>siehe VII.10.4 Teil B</t>
  </si>
  <si>
    <t xml:space="preserve">Summe Leistungsphase 1  </t>
  </si>
  <si>
    <r>
      <t>Summe Leistungsphase 4</t>
    </r>
    <r>
      <rPr>
        <b/>
        <sz val="8"/>
        <color theme="1"/>
        <rFont val="Arial"/>
        <family val="2"/>
      </rPr>
      <t xml:space="preserve">  </t>
    </r>
  </si>
  <si>
    <r>
      <t xml:space="preserve">Summe Leistungsphase 5 </t>
    </r>
    <r>
      <rPr>
        <b/>
        <sz val="8"/>
        <color theme="1"/>
        <rFont val="Arial"/>
        <family val="2"/>
      </rPr>
      <t/>
    </r>
  </si>
  <si>
    <t>Leistungsphase 8: Objektüberwachung (Bauüberwachung) und Dokumentation</t>
  </si>
  <si>
    <t xml:space="preserve">Summe über alle Leistungsphasen </t>
  </si>
  <si>
    <t xml:space="preserve">Summe Leistungsstufe 1A </t>
  </si>
  <si>
    <t xml:space="preserve">Summe Leistungsstufe 1B </t>
  </si>
  <si>
    <t xml:space="preserve">Summe Leistungsstufe 1C </t>
  </si>
  <si>
    <t xml:space="preserve">Summe Leistungsstufe 3A </t>
  </si>
  <si>
    <t xml:space="preserve">Summe Leistungsstufe 3B </t>
  </si>
  <si>
    <t xml:space="preserve">Summe Leistungsstufe 4 </t>
  </si>
  <si>
    <t xml:space="preserve">Summe über alle Leistungsstufen </t>
  </si>
  <si>
    <r>
      <t>Summe Leistungsstufe 1A - Lph 1</t>
    </r>
    <r>
      <rPr>
        <b/>
        <sz val="8"/>
        <color theme="1"/>
        <rFont val="Arial"/>
        <family val="2"/>
      </rPr>
      <t xml:space="preserve"> (HOAI/ VHF max. 2,00 %) </t>
    </r>
  </si>
  <si>
    <r>
      <rPr>
        <b/>
        <sz val="10"/>
        <color theme="1"/>
        <rFont val="Arial"/>
        <family val="2"/>
      </rPr>
      <t xml:space="preserve">Kosten nach § 33 (3) HOAI, </t>
    </r>
    <r>
      <rPr>
        <b/>
        <u/>
        <sz val="10"/>
        <color theme="1"/>
        <rFont val="Arial"/>
        <family val="2"/>
      </rPr>
      <t>soweit</t>
    </r>
    <r>
      <rPr>
        <b/>
        <sz val="10"/>
        <color theme="1"/>
        <rFont val="Arial"/>
        <family val="2"/>
      </rPr>
      <t xml:space="preserve"> </t>
    </r>
    <r>
      <rPr>
        <sz val="10"/>
        <color theme="1"/>
        <rFont val="Arial"/>
        <family val="2"/>
      </rPr>
      <t>vom Auftragnehmer geplant oder überwacht</t>
    </r>
    <r>
      <rPr>
        <sz val="8"/>
        <color theme="1"/>
        <rFont val="Arial"/>
        <family val="2"/>
      </rPr>
      <t xml:space="preserve"> (</t>
    </r>
    <r>
      <rPr>
        <i/>
        <sz val="8"/>
        <color theme="1"/>
        <rFont val="Arial"/>
        <family val="2"/>
      </rPr>
      <t>Anrechenbare Kosten!</t>
    </r>
    <r>
      <rPr>
        <sz val="8"/>
        <color theme="1"/>
        <rFont val="Arial"/>
        <family val="2"/>
      </rPr>
      <t>)</t>
    </r>
    <r>
      <rPr>
        <sz val="10"/>
        <color theme="1"/>
        <rFont val="Arial"/>
        <family val="2"/>
      </rPr>
      <t xml:space="preserve">
</t>
    </r>
  </si>
  <si>
    <r>
      <t xml:space="preserve">Summe Kosten nach § 33 (1) und (3) HOAI </t>
    </r>
    <r>
      <rPr>
        <sz val="10"/>
        <color theme="1"/>
        <rFont val="Arial"/>
        <family val="2"/>
      </rPr>
      <t xml:space="preserve"> </t>
    </r>
    <r>
      <rPr>
        <sz val="8"/>
        <color theme="1"/>
        <rFont val="Arial"/>
        <family val="2"/>
      </rPr>
      <t>[Z1 bis Z 4.3]</t>
    </r>
  </si>
  <si>
    <r>
      <t xml:space="preserve">Kosten der Baukonstruktion </t>
    </r>
    <r>
      <rPr>
        <sz val="10"/>
        <color theme="1"/>
        <rFont val="Arial"/>
        <family val="2"/>
      </rPr>
      <t>KGR 300</t>
    </r>
    <r>
      <rPr>
        <b/>
        <sz val="10"/>
        <color theme="1"/>
        <rFont val="Arial"/>
        <family val="2"/>
      </rPr>
      <t xml:space="preserve">  </t>
    </r>
    <r>
      <rPr>
        <sz val="8"/>
        <color theme="1"/>
        <rFont val="Arial"/>
        <family val="2"/>
      </rPr>
      <t>(§ 33 (1) HOAI)</t>
    </r>
  </si>
  <si>
    <r>
      <t xml:space="preserve">Kosten der </t>
    </r>
    <r>
      <rPr>
        <b/>
        <sz val="10"/>
        <rFont val="Arial"/>
        <family val="2"/>
      </rPr>
      <t>mitzuverarbeitenden Bausubstanz</t>
    </r>
    <r>
      <rPr>
        <sz val="10"/>
        <rFont val="Arial"/>
        <family val="2"/>
      </rPr>
      <t xml:space="preserve"> mvB KGR 300  </t>
    </r>
    <r>
      <rPr>
        <sz val="8"/>
        <color theme="1"/>
        <rFont val="Arial"/>
        <family val="2"/>
      </rPr>
      <t>(§ 4 (3) HOAI)</t>
    </r>
  </si>
  <si>
    <r>
      <t xml:space="preserve">Kosten der </t>
    </r>
    <r>
      <rPr>
        <b/>
        <sz val="10"/>
        <rFont val="Arial"/>
        <family val="2"/>
      </rPr>
      <t>Freianlagen bis 7.500€ netto</t>
    </r>
    <r>
      <rPr>
        <sz val="10"/>
        <rFont val="Arial"/>
        <family val="2"/>
      </rPr>
      <t xml:space="preserve"> KGR 500  </t>
    </r>
    <r>
      <rPr>
        <sz val="8"/>
        <color theme="1"/>
        <rFont val="Arial"/>
        <family val="2"/>
      </rPr>
      <t>(§ 37 (1) HOAI)</t>
    </r>
  </si>
  <si>
    <t>Herrichten des Grundstücks KGR 210</t>
  </si>
  <si>
    <t>Nichtöffentliche Erschließung KGR 230</t>
  </si>
  <si>
    <t>Leistungen zur Ausstattung und zu Kunstwerken KGR 600</t>
  </si>
  <si>
    <r>
      <t>Sonstige Anrechenbare Kosten für Technische Anlagen</t>
    </r>
    <r>
      <rPr>
        <b/>
        <sz val="10"/>
        <color theme="1"/>
        <rFont val="Arial"/>
        <family val="2"/>
      </rPr>
      <t xml:space="preserve"> </t>
    </r>
    <r>
      <rPr>
        <sz val="8"/>
        <color theme="1"/>
        <rFont val="Arial"/>
        <family val="2"/>
      </rPr>
      <t>[Z 4.4] (§ 33 (2) HOAI)</t>
    </r>
  </si>
  <si>
    <r>
      <t xml:space="preserve">25 % der Sonstigen Anrechenbaren Kosten </t>
    </r>
    <r>
      <rPr>
        <sz val="8"/>
        <rFont val="Arial"/>
        <family val="2"/>
      </rPr>
      <t>[0,25 x Z 5.1]</t>
    </r>
    <r>
      <rPr>
        <sz val="10"/>
        <rFont val="Arial"/>
        <family val="2"/>
      </rPr>
      <t xml:space="preserve"> </t>
    </r>
    <r>
      <rPr>
        <sz val="8"/>
        <rFont val="Arial"/>
        <family val="2"/>
      </rPr>
      <t>(§ 33 (2) Nr. 1 HOAI)</t>
    </r>
  </si>
  <si>
    <t>[Z 5 &gt; Z 5.2] (§ 33 (2) Nr. 2 HOAI) [(Z 5 - Z 5.2) x 0,5]</t>
  </si>
  <si>
    <r>
      <rPr>
        <sz val="8"/>
        <color theme="1"/>
        <rFont val="Arial"/>
        <family val="2"/>
      </rPr>
      <t>[Z 5 ≤ Z 5.2]</t>
    </r>
    <r>
      <rPr>
        <sz val="10"/>
        <color theme="1"/>
        <rFont val="Arial"/>
        <family val="2"/>
      </rPr>
      <t xml:space="preserve"> </t>
    </r>
    <r>
      <rPr>
        <sz val="8"/>
        <color theme="1"/>
        <rFont val="Arial"/>
        <family val="2"/>
      </rPr>
      <t>(§ 33 (2) Nr. 1 HOAI)</t>
    </r>
  </si>
  <si>
    <r>
      <t xml:space="preserve">Anrechenbare Kosten für die Leistungsphasen 1 bis 9  </t>
    </r>
    <r>
      <rPr>
        <sz val="8"/>
        <rFont val="Arial"/>
        <family val="2"/>
      </rPr>
      <t>[Z 4.4 + Z 5.5]</t>
    </r>
  </si>
  <si>
    <t>Beraten zum gesamten Leistungs- und Untersuchungsbedarf</t>
  </si>
  <si>
    <t xml:space="preserve">Zusammenfassen der Ergebnisse, </t>
  </si>
  <si>
    <t>Erläutern und Dokumentieren der Ergebnisse</t>
  </si>
  <si>
    <t>Analysieren der Grundlagen nach § 3 des Vertrages,</t>
  </si>
  <si>
    <t>Abstimmen der Leistungen mit den fachlich an der Planung Beteiligten</t>
  </si>
  <si>
    <t>fähigkeit und Führen von Abstimmungen mit den an der Planung fachlich Beteiligten über die Genehmigungsfähigkeit</t>
  </si>
  <si>
    <t>Mitwirkung bei den Vorverhandlungen über die Genehmigungs-</t>
  </si>
  <si>
    <t>mindestens gegliedert in die zweite Ebene der Kostengliederung, unter Verwendung des RLBau Musters Kosten, Vergleich mit den finanziellen Rahmenbedingungen</t>
  </si>
  <si>
    <t>Zusammenfassen, Erläutern und Dokumentieren der Ergebnisse</t>
  </si>
  <si>
    <r>
      <t xml:space="preserve">Summe Leistungsstufe 1C - Lph 3 </t>
    </r>
    <r>
      <rPr>
        <b/>
        <sz val="8"/>
        <color theme="1"/>
        <rFont val="Arial"/>
        <family val="2"/>
      </rPr>
      <t xml:space="preserve">(HOAI/ VHF max. 15,00 %) </t>
    </r>
  </si>
  <si>
    <t xml:space="preserve">wesentlichen Zusammenhänge, Vorgaben und Bedingungen (zum Beispiel städtebauliche, gestalterische, funktionale, technische, wirtschaftliche, ökologische, soziale, öffentlich-rechtliche) auf Grundlage der Vorplanung und als Grundlage für die weiteren Leistungsphasen und die erforderlichen öffentlich-rechtlichen Genehmigungen unter Verwendung der Beiträge anderer an der Planung fachlich Beteiligter. 
Zeichnungen nach Art und Größe des Objekts im erforderlichen Umfang und Detaillierungsgrad unter Berücksichtigung aller fachspezifischen Anforderungen </t>
  </si>
  <si>
    <t xml:space="preserve">Erarbeiten der Entwurfsplanung, unter weiterer Berücksichtigung der </t>
  </si>
  <si>
    <t>Mitwirken bei Verhandlungen über die Genehmigungsfähigkeit</t>
  </si>
  <si>
    <t>mindestens gegliedert in die dritte Ebene der Kostengliederung, unter Verwendung des RLBau Musters Kosten,
Vergleich mit der Kostenschätzung; bei mehreren Objekten getrennt und im Ergebnis zusammengefasst;</t>
  </si>
  <si>
    <t>Fortschreiben des Terminplans</t>
  </si>
  <si>
    <t>Erarbeiten und Zusammenstellen der Vorlagen und Nachweise für</t>
  </si>
  <si>
    <t>geplanten Baukonstruktionen und baukonstruktiven Einbauten auf Übereinstimmung mit der Ausführungsplanung</t>
  </si>
  <si>
    <t>Überprüfen erforderlicher Montagepläne der vom Objektplaner</t>
  </si>
  <si>
    <t>Aufstellen eines Vergabeterminplans</t>
  </si>
  <si>
    <t>Abstimmen und Koordinieren der Schnittstellen zu den</t>
  </si>
  <si>
    <t>Leistungsbeschreibungen der an der Planung fachlich Beteiligten einschließlich Erarbeiten von Beiträgen zur Erstellung der Besonderen Vertragsbedingungen (BVB) und der Weiteren Besonderen Vertragsbedingungen (WBVB)</t>
  </si>
  <si>
    <t>Koordinieren der Vergaben der Fachplaner</t>
  </si>
  <si>
    <t>Prüfen und Werten der Angebote (technische und wirtschaftliche Prüfung),</t>
  </si>
  <si>
    <t>Erstellen der Vergabevorschläge unter Verwendung der Muster des</t>
  </si>
  <si>
    <t>Mitwirken bei der Auftragserteilung</t>
  </si>
  <si>
    <t>Leistungsstufe 4
Leistungsphase 8: Objektüberwachung und Dokumentation</t>
  </si>
  <si>
    <t>Objektüberwachung u. Dokum.</t>
  </si>
  <si>
    <t>l)</t>
  </si>
  <si>
    <t>m)</t>
  </si>
  <si>
    <t>n)</t>
  </si>
  <si>
    <t>o)</t>
  </si>
  <si>
    <t>p)</t>
  </si>
  <si>
    <r>
      <t xml:space="preserve">Summe Leistungsstufe 5 - Lph 9 </t>
    </r>
    <r>
      <rPr>
        <b/>
        <sz val="8"/>
        <color theme="1"/>
        <rFont val="Arial"/>
        <family val="2"/>
      </rPr>
      <t>(HOAI/ VHF max. 2,00 %)</t>
    </r>
    <r>
      <rPr>
        <b/>
        <sz val="10"/>
        <color theme="1"/>
        <rFont val="Arial"/>
        <family val="2"/>
      </rPr>
      <t xml:space="preserve"> </t>
    </r>
  </si>
  <si>
    <t>Überwachen der Ausführung des Objektes auf Übereinstimmung mit der</t>
  </si>
  <si>
    <t>Überwachen der Ausführung von Tragwerken mit sehr geringen und</t>
  </si>
  <si>
    <t>geringen Planungsanforderungen auf Übereinstimmung mit dem Standsicherheitsnachweis</t>
  </si>
  <si>
    <t>Koordinieren der an der Objektüberwachung fachlich Beteiligten</t>
  </si>
  <si>
    <t>(Balkendiagramm)</t>
  </si>
  <si>
    <t>Gemeinsames Aufmaß mit den ausführenden Unternehmen jeweils</t>
  </si>
  <si>
    <t>Rechnungsprüfung einschließlich Prüfen der Aufmaße der</t>
  </si>
  <si>
    <t>bauausführenden Unternehmen, sowie Prüfen von Nachträgen von bauausführenden Firmen gemäß dem Leitfaden für die Vergütung von Nachträgen (VHB Bayern)</t>
  </si>
  <si>
    <t>Vergleich der Ergebnisse der Rechnungsprüfungen mit</t>
  </si>
  <si>
    <t>den Auftragssummen einschließlich Nachträgen</t>
  </si>
  <si>
    <t>Kontinuierliche Kostenkontrolle ab der ersten Zuschlagserteilung durch</t>
  </si>
  <si>
    <t>Überprüfen der Leistungsabrechnung der bauausführenden Unternehmen im Vergleich zu den Vertragspreisen; Dokumentieren der Ergebnisse unter Verwendung eines vom Auftraggeber vorgegebenem Kostenkontrollinstrumentes</t>
  </si>
  <si>
    <t xml:space="preserve">Kostenfeststellung nach DIN 276-1:2008-12, </t>
  </si>
  <si>
    <t>mindestens gegliedert in die dritte Ebene der Kostengliederung</t>
  </si>
  <si>
    <t xml:space="preserve">Systematische Zusammenstellung der Dokumentation, </t>
  </si>
  <si>
    <t>Mitwirken bei der Übergabe des Objekts gemäß Abschnitt F RLBau</t>
  </si>
  <si>
    <t>Auflisten der Verjährungsfristen für Mängelansprüche</t>
  </si>
  <si>
    <t>Überwachen der Beseitigung der bei der Abnahme festgestellten Mängel</t>
  </si>
  <si>
    <t>Auftragnehmer</t>
  </si>
  <si>
    <t>Mitarbeiter (Ingenieur)</t>
  </si>
  <si>
    <t xml:space="preserve">Technische Zeichner, sonst. Mitarbeiter </t>
  </si>
  <si>
    <t xml:space="preserve">Abstimmen der Zielvorstellungen, Hinweisen auf Zielkonflikte </t>
  </si>
  <si>
    <t>Kostenschätzung nach DIN 276-1:2008-12</t>
  </si>
  <si>
    <t>mindestens gegliedert in die erste Ebene der Kostengliederung unter Verwendung des Musters 6 RBBau, Vergleich mit den finanziellen Rahmenbedingungen</t>
  </si>
  <si>
    <t>mindestens gegliedert in die zweite Ebene der Kostengliederung unter Verwendung des Musters 6 RBBau und Vergleich mit der Kostenschätzung, bei mehreren Objekten getrennt und im Ergebnis zusammengefasst</t>
  </si>
  <si>
    <t>nach Leistungsbereichen, insbesondere unter Beachtung der Allgemeinen Richtlinien Vergabeverfahren des VHB Bayern und unter Verwendung der Standardleistungsbücher für das Bauwesen, 
Ermitteln und Zusammenstellen von Mengen auf Grundlage der Ausführungsplanung unter Verwendung der Beiträge anderer an der Planung fachlich Beteiligter</t>
  </si>
  <si>
    <t xml:space="preserve">Aufstellen von Leistungsbeschreibungen mit Leistungsverzeichnissen </t>
  </si>
  <si>
    <t xml:space="preserve">Koordinieren der Vergaben der Fachplaner </t>
  </si>
  <si>
    <t>Prüfen und Werten der Angebote (technische und wirtschaftliche Prüfung)</t>
  </si>
  <si>
    <t>mindestens gegliedert in die dritte Ebene der Kostengliederung unter Verwendung des Musters 6 RBBau</t>
  </si>
  <si>
    <t>1.10</t>
  </si>
  <si>
    <t>1.11</t>
  </si>
  <si>
    <t>1.12</t>
  </si>
  <si>
    <t>1.13</t>
  </si>
  <si>
    <t>1.08</t>
  </si>
  <si>
    <t xml:space="preserve">Erarbeiten und Erstellen von besonderen </t>
  </si>
  <si>
    <t>bauordnungsrechtlichen Nachweisen für den vorbeugenden und organisatorischen Brandschutz bei baulichen Anlagen besonderer Art und Nutzung, Bestandsbauten oder im Falle von Abweichungen von der Bauordnung</t>
  </si>
  <si>
    <t>Untersuchen verschiedener Lösungsmöglichkeiten</t>
  </si>
  <si>
    <t>Erstellen der prüfbaren Berechnungen mit</t>
  </si>
  <si>
    <t>(GEG) erforderlichen Nachweise für Bauteile, für die eine Bewertung im Hinblick auf die Anforderungen des GEG aufgrund anerkannter Regeln der Technik nicht möglich ist, weil solche Regeln nicht vorliegen oder wesentlich von ihnen abgewichen wird.</t>
  </si>
  <si>
    <t>Erstellung der nach § 7 Abs. 3 Gebäudeenergie-</t>
  </si>
  <si>
    <t xml:space="preserve">Erstellung eines „vorläufigen“ Energieausweises </t>
  </si>
  <si>
    <t>Nachweis des Mindestwärmeschutzes</t>
  </si>
  <si>
    <t xml:space="preserve">Nachweis der konstruktiven Wärmebrücken </t>
  </si>
  <si>
    <t>Nachweis der Dichtheit des Gebäudes</t>
  </si>
  <si>
    <t>Nachweis des sommerlichen Wärmeschutzes</t>
  </si>
  <si>
    <t>Erstellen eines digitalen Raumbuches auf Grundlage:</t>
  </si>
  <si>
    <t>Fortschreiben der prüfbaren Berechnungen mit</t>
  </si>
  <si>
    <t>Prüfen und Werten von Nebenangeboten mit</t>
  </si>
  <si>
    <t xml:space="preserve">Auswirkungen auf die abgestimmte Planung  </t>
  </si>
  <si>
    <t>5.07</t>
  </si>
  <si>
    <t>5.08</t>
  </si>
  <si>
    <t>5.09</t>
  </si>
  <si>
    <t>Erstellen von Baubestandszeichnungen nach</t>
  </si>
  <si>
    <t xml:space="preserve">Anlage VI.4 und Maßgabe H 2 RBBau und </t>
  </si>
  <si>
    <t>Ausfertigung gemäß Nr. 7.7.1 RiABG (US)</t>
  </si>
  <si>
    <t xml:space="preserve">Erstellen eines/ Fortschreiben des digitalen </t>
  </si>
  <si>
    <t>Raumbuchs auf Grundlage:</t>
  </si>
  <si>
    <t xml:space="preserve">Erfassung und Zusammenstellung von </t>
  </si>
  <si>
    <t>Übertragung der Planungs- und Kostendaten in</t>
  </si>
  <si>
    <t>die digitalen Erhebungsformulare gemäß Abschnitt K 6 RBBau</t>
  </si>
  <si>
    <t>Ausführungsarbeiten und der Durchführung von bauphysikalischen Messungen, Bestimmung der Luftdurchlässigkeit von Gebäuden – Differenzdruckverfahren etc. nach § 13 Gebäudeenergiegesetz (GEG)</t>
  </si>
  <si>
    <t>Mitwirken bei der Überwachung wichtiger</t>
  </si>
  <si>
    <t>Durchführung von erforderlichen Simulations-</t>
  </si>
  <si>
    <t>berechnungen zu Wärmeverteilung, Aufheizung, Luftströmung etc.</t>
  </si>
  <si>
    <t>(GEG) erforderlichen Nachweise für Bauteile, für die eine Bewertung im Hinblick auf die Anforderungen des GEG aufgrund anerkannter Regeln der Technik nicht möglich ist, weil solche Regeln nicht vorliegen oder wesentlich von ihnen abgewichen wird</t>
  </si>
  <si>
    <t xml:space="preserve">Erstellung des Energieausweises nach </t>
  </si>
  <si>
    <t>Teil 5 Gebäudeenergiegesetz (GEG) auf der Grundlage des berechneten Energiebedarfs sowie dessen Fortschreibung auf den Stand der Fertigstellung;
Hinweis: Nach § 80 Abs. 1 Satz 1 GEG ist der Energieausweis nach Fertigstellung des Gebäudes auszustellen.</t>
  </si>
  <si>
    <t xml:space="preserve">Aufstellen eines digitalen Raumbuchs auf Grundlage:    </t>
  </si>
  <si>
    <t xml:space="preserve">Fortschreiben des digitalen Raumbuches    </t>
  </si>
  <si>
    <t xml:space="preserve">Untersuchen verschiedener Lösungsmöglichkeiten </t>
  </si>
  <si>
    <t>mit überschlägiger Berechnung für den Wärmeschutz und die Energieeinsparung gemäß den Anforderungen des Gebäudeenergiegesetzes (GEG) und gegebenenfalls anderer festgelegter Energiestandards (z. B. Passivhausstandard, Beschluss des Ministerrats vom 19. Juli 2020, etc.) unter Berücksichtigung der Beiträge von anderen an der Planung Beteiligten.</t>
  </si>
  <si>
    <t>4.11</t>
  </si>
  <si>
    <t xml:space="preserve">bauordnungsrechtlichen Nachweisen für den vorbeugenden und organisatorischen Brandschutz bei baulichen Anlagen besonderer Art und Nutzung, Bestandsbauten oder im Falle von Abweichungen von der Bauordnung. </t>
  </si>
  <si>
    <t>Erarbeiten und Erstellen von besonderen</t>
  </si>
  <si>
    <t>grafischer Darstellung der Systemgrenze und der Berechnungsgrundlagen gemäß den Anforderungen nach Gebäudeenergiegesetz (GEG) einschließlich der erforderlichen Erfüllungserklärung nach § 92 GEG.
Hinweis: Nach § 5 Abs. 1 Verordnung zur Ausführung energiewirtschaftlicher Vorschriften (AVEn) ist in Bayern die Erfüllungserklärung (bisheriger Energienachweis) vor Baubeginn zu erbringen.</t>
  </si>
  <si>
    <t>Erstellung der nach §7 Abs.3 Gebäudeenergiegesetz</t>
  </si>
  <si>
    <t>Erstellung eines „vorläufigen“ Energieausweises</t>
  </si>
  <si>
    <t>nach Teil 5 Gebäudeenergiegesetz (GEG) auf der Grundlage des berechneten Energiebedarfs sowie dessen Fortschreibung auf den Stand der abgeschlossenen Genehmigungsplanung.
Hinweis: Nach § 80 Abs. 1 Satz 1 GEG ist der Energieausweis nach Fertigstellung des Gebäudes auszustellen.</t>
  </si>
  <si>
    <t xml:space="preserve">Nachweis des Mindestwärmeschutzes </t>
  </si>
  <si>
    <t>nach § 11 GEG
(entfällt, sofern Nr. 2 beauftragt wurde, da bereits in Nr. 2 enthalten)</t>
  </si>
  <si>
    <t>nach § 12 GEG
(entfällt, sofern Nr. 2 beauftragt wurde, da bereits in Nr. 2 enthalten)</t>
  </si>
  <si>
    <t xml:space="preserve">Nachweis der Dichtheit des Gebäudes </t>
  </si>
  <si>
    <t>nach § 13 GEG
(entfällt, sofern Nr. 2 beauftragt wurde, da bereits in Nr. 2 enthalten)</t>
  </si>
  <si>
    <t>nach § 14 GEG  
(entfällt, sofern Nr. 2 beauftragt wurde, da bereits in Nr. 2 enthalten)</t>
  </si>
  <si>
    <t>Fortschreiben von Raumbüchern in detaillierter Form:</t>
  </si>
  <si>
    <t>7.04</t>
  </si>
  <si>
    <t>Übertragen der Planungs- und Kostendaten in</t>
  </si>
  <si>
    <t>die digitalen Erhebungsformulare PLAKODA-Gebäudedatenblätter (Planungs- und Kostendaten von Bauwerken)</t>
  </si>
  <si>
    <t>Erstellen der nach § 7 Abs. 3 Gebäudeenergiegesetz</t>
  </si>
  <si>
    <t>Erstellung des Energieausweises nach</t>
  </si>
  <si>
    <t>9.07</t>
  </si>
  <si>
    <t>9.08</t>
  </si>
  <si>
    <t>Überwachen der Mängelbeseitigung innerhalb der</t>
  </si>
  <si>
    <t>Verjährungsfrist</t>
  </si>
  <si>
    <t xml:space="preserve">Abschnitt F 1.3 RLBau und nach Anlage VI.4 </t>
  </si>
  <si>
    <t xml:space="preserve">Fortschreiben des digitalen Raumbuchs </t>
  </si>
  <si>
    <t>Erstellen eines digitalen Raumbuchs auf Grundlage:</t>
  </si>
  <si>
    <r>
      <t xml:space="preserve">Es handelt sich um eine </t>
    </r>
    <r>
      <rPr>
        <b/>
        <sz val="10"/>
        <color theme="1"/>
        <rFont val="Arial"/>
        <family val="2"/>
      </rPr>
      <t xml:space="preserve">Objektüberwachung als Einzelleistung </t>
    </r>
    <r>
      <rPr>
        <sz val="10"/>
        <color theme="1"/>
        <rFont val="Arial"/>
        <family val="2"/>
      </rPr>
      <t>nach § 9 Abs. 3 HOAI.</t>
    </r>
  </si>
  <si>
    <r>
      <t xml:space="preserve">Angerechnet werden können die Prozentsätze der Grundlagenermittlung und Vorplanung: </t>
    </r>
    <r>
      <rPr>
        <sz val="8"/>
        <color theme="1"/>
        <rFont val="Arial"/>
        <family val="2"/>
      </rPr>
      <t>(0% bis 9,0%)</t>
    </r>
  </si>
  <si>
    <t>unter Verwendung der RLBau Muster, insbesondere der Muster Kosten, Muster Erläuterungsbericht und Muster Objektbogen und Übergeben der Unterlagen.</t>
  </si>
  <si>
    <t>Aufstellen von Leistungsbeschreibungen mit Leistungsverzeichnissen</t>
  </si>
  <si>
    <t>Ermitteln der Kosten auf der Grundlage vom Planer bepreister</t>
  </si>
  <si>
    <t>Leistungsverzeichnisse</t>
  </si>
  <si>
    <t xml:space="preserve">Leistungsverzeichnisse mit der Kostenberechnung, Dokumentieren der Ergebnisse unter Verwendung eines vom Auftraggeber vorgegebenem Kostenkontrollinstrumentes </t>
  </si>
  <si>
    <t>Kostenkontrolle durch Vergleich der vom Planer bepreisten</t>
  </si>
  <si>
    <t>* VHF Bayern - Abzug 0,05%, da Bietergespräche federführend durch AG geführt werden</t>
  </si>
  <si>
    <t xml:space="preserve">VHB Bayern, Dokumentation des Vergabeverfahrens
</t>
  </si>
  <si>
    <t>bepreisten Leistungsverzeichnissen oder der Kostenberechnung; bei mehreren Objekten jeweils getrennt und im Ergebnis zusammengefasst, Dokumentieren der Ergebnisse unter Verwendung eines vom Auftraggeber vorgegebenem Kostenkontrollinstrumentes</t>
  </si>
  <si>
    <t>Vergleichen der Ausschreibungsergebnisse mit den vom Planer</t>
  </si>
  <si>
    <r>
      <t>Summe Leistungsstufe 1B - Lph 2</t>
    </r>
    <r>
      <rPr>
        <b/>
        <sz val="8"/>
        <color theme="1"/>
        <rFont val="Arial"/>
        <family val="2"/>
      </rPr>
      <t xml:space="preserve"> (HOAI/ VHF max. 7,00 %)</t>
    </r>
  </si>
  <si>
    <r>
      <t xml:space="preserve">Summe Leistungsstufe 2 - Lph 5 </t>
    </r>
    <r>
      <rPr>
        <b/>
        <sz val="8"/>
        <color theme="1"/>
        <rFont val="Arial"/>
        <family val="2"/>
      </rPr>
      <t xml:space="preserve">(HOAI/ VHF max. 25,00 % (Geb)/ 30,00% (InR) ) </t>
    </r>
  </si>
  <si>
    <r>
      <t xml:space="preserve">Summe Leistungsstufe 1D - Lph 4 </t>
    </r>
    <r>
      <rPr>
        <b/>
        <sz val="8"/>
        <color theme="1"/>
        <rFont val="Arial"/>
        <family val="2"/>
      </rPr>
      <t xml:space="preserve">(HOAI/ VHF max. 3,00 % (Geb)/ 2,00 % (InR) ) </t>
    </r>
  </si>
  <si>
    <r>
      <t xml:space="preserve">Summe Leistungsstufe 4 - Lph 8 </t>
    </r>
    <r>
      <rPr>
        <b/>
        <sz val="8"/>
        <color theme="1"/>
        <rFont val="Arial"/>
        <family val="2"/>
      </rPr>
      <t xml:space="preserve">(HOAI max. 32,00% - VHF max. 31,35%/) </t>
    </r>
  </si>
  <si>
    <t>öffentlich-rechtlichen Genehmigung oder Zustimmung, den Verträgen mit ausführenden Unternehmen, den Ausführungsunterlagen, 
den einschlägigen Vorschriften sowie mit den allgemein anerkannten Regeln der Technik</t>
  </si>
  <si>
    <t xml:space="preserve">Richtlinien zur Führung eines Bautagebuchs (VHB Bayern) </t>
  </si>
  <si>
    <t>Dokumentation des Bauablaufs, Führen des Bautagebuchs gemäß</t>
  </si>
  <si>
    <t>nach Baufortschritt unabhängig von Rechnungszugängen</t>
  </si>
  <si>
    <t>* VHF Bayern - Abzug 0,50 %, da Abnahme verantwortlich durch den AG erfolgt</t>
  </si>
  <si>
    <t>* VHF Bayern - Abzug 0,05 %, da Antrag durch den AG gestellt wird.</t>
  </si>
  <si>
    <t>* VHF Bayern - Abzug 0,10 %, da Übergabe federführend durch den AG erfolgt</t>
  </si>
  <si>
    <t>Organisation der Abnahme der Bauleistungen und Feststellung</t>
  </si>
  <si>
    <t xml:space="preserve">Beraten zum gesamten Leistungs- und Untersuchungsbedarf </t>
  </si>
  <si>
    <t>Bedarfsplanung nach Abschnitt E 2.2.1 RBBau</t>
  </si>
  <si>
    <t>Beschreibung der qualifizierten Bedarfsanforderung</t>
  </si>
  <si>
    <t>an Räume und Raumgruppen als Anforderungsraumbuch gemäß Abschnitt F 1.2.7 RBBau</t>
  </si>
  <si>
    <t xml:space="preserve">Variantenuntersuchung zur Bedarfsdeckung – </t>
  </si>
  <si>
    <t>über die Leistungen der Untersuchung von alternativen Lösungsmöglichkeiten hinaus – nach Abschnitt E 2.2.2 RBBau und Dokumentieren nach Abschnitt F 1.2.7 RBBau</t>
  </si>
  <si>
    <r>
      <t xml:space="preserve">Summe Leistungsstufe 1 - Lph 1 </t>
    </r>
    <r>
      <rPr>
        <b/>
        <sz val="8"/>
        <color theme="1"/>
        <rFont val="Arial"/>
        <family val="2"/>
      </rPr>
      <t>(HOAI/ RBBau max. 2,00 %)</t>
    </r>
    <r>
      <rPr>
        <b/>
        <sz val="10"/>
        <color theme="1"/>
        <rFont val="Arial"/>
        <family val="2"/>
      </rPr>
      <t xml:space="preserve"> </t>
    </r>
  </si>
  <si>
    <t>von Varianten nach gleichen Anforderungen, Zeichnungen im Maßstab nach Art und Größe des Objekts</t>
  </si>
  <si>
    <t>Erarbeiten der Vorplanung, Untersuchen, Darstellen und Bewerten</t>
  </si>
  <si>
    <t>und Bedingungen unter Verwendung des Musters 7 RBBau 
(zum Beispiel städtebauliche, gestalterische, funktionale, technische, wirtschaftliche, ökologische, bauphysikalische, energiewirtschaftliche, soziale, öffentlich-rechtliche)</t>
  </si>
  <si>
    <t>Klären und Erläutern der wesentlichen Zusammenhänge, Vorgaben</t>
  </si>
  <si>
    <t>an der Planung fachlich Beteiligten sowie Koordination und Integration von deren Leistungen</t>
  </si>
  <si>
    <t>Bereitstellen der Arbeitsergebnisse als Grundlage für die anderen</t>
  </si>
  <si>
    <r>
      <t xml:space="preserve">Summe Leistungsstufe 1 - Lph 2 </t>
    </r>
    <r>
      <rPr>
        <b/>
        <sz val="8"/>
        <color theme="1"/>
        <rFont val="Arial"/>
        <family val="2"/>
      </rPr>
      <t>(HOAI/ RBBau max. 7,00 %)</t>
    </r>
  </si>
  <si>
    <t xml:space="preserve">Verwendung des Musters 7 RBBau mit Anlagen 1 und 2 unter Verwendung der Beiträge anderer fachlich Beteiligter </t>
  </si>
  <si>
    <t xml:space="preserve">Objektbeschreibung, Erstellen des Erläuterungsberichts unter </t>
  </si>
  <si>
    <t>Kostenberechnung nach DIN 276-1:2008-12,</t>
  </si>
  <si>
    <t>Zusammenfassen, Erläutern und Dokumentieren der Ergebnisse;</t>
  </si>
  <si>
    <t xml:space="preserve">und Berechnungen </t>
  </si>
  <si>
    <t>Ergänzen und Anpassen der Planungsunterlagen, Beschreibungen</t>
  </si>
  <si>
    <t>notwendigen Verhandlungen mit den Behörden</t>
  </si>
  <si>
    <t>Mitwirken beim Einreichen der Vorlagen einschließlich der noch</t>
  </si>
  <si>
    <t>notwendigen Einzelangaben (zeichnerisch und textlich) auf Grundlage der Entwurfs- und Genehmigungsplanung bis zur ausführungsreifen Lösung, als Grundlage für die weiteren Leistungsphasen</t>
  </si>
  <si>
    <t>Erarbeiten der Ausführungsplanung mit allen für die Ausführung</t>
  </si>
  <si>
    <t>des Objekts im erforderlichen Umfang und Detaillierungsgrad unter Berücksichtigung aller fachspezifischen Anforderungen gemäß Abschnitt F 3 RBBau</t>
  </si>
  <si>
    <t>Ausführungs-, Detail- und Konstruktionszeichnungen nach Art und Größe</t>
  </si>
  <si>
    <t>an der Planung fachlich Beteiligten, sowie Koordination und Integration von deren Leistungen</t>
  </si>
  <si>
    <t>Bearbeitung während der Objektausführung</t>
  </si>
  <si>
    <t xml:space="preserve">Überprüfen erforderlicher Montagepläne der vom Objektplaner </t>
  </si>
  <si>
    <t xml:space="preserve">Erstellen der Vergabevorschläge unter Verwendung der Muster des </t>
  </si>
  <si>
    <t>VHB Bayern, Dokumentation des Vergabeverfahrens</t>
  </si>
  <si>
    <r>
      <t xml:space="preserve">Summe Leistungsstufe 4 - Lph 8 </t>
    </r>
    <r>
      <rPr>
        <b/>
        <sz val="8"/>
        <color theme="1"/>
        <rFont val="Arial"/>
        <family val="2"/>
      </rPr>
      <t>(HOAI max. 32,00% - RBBau  max. 31,35 %)</t>
    </r>
    <r>
      <rPr>
        <b/>
        <sz val="10"/>
        <color theme="1"/>
        <rFont val="Arial"/>
        <family val="2"/>
      </rPr>
      <t xml:space="preserve"> </t>
    </r>
  </si>
  <si>
    <t xml:space="preserve">Organisation der Abnahme der Bauleistungen und Feststellung </t>
  </si>
  <si>
    <r>
      <t xml:space="preserve">Summe Leistungsstufe 1 - Lph 4 </t>
    </r>
    <r>
      <rPr>
        <b/>
        <sz val="8"/>
        <color theme="1"/>
        <rFont val="Arial"/>
        <family val="2"/>
      </rPr>
      <t xml:space="preserve">(HOAI/ RBBau max. 3,00 % (Geb)/ 2,00% (InR) ) </t>
    </r>
  </si>
  <si>
    <r>
      <t>Summe Leistungsstufe 1</t>
    </r>
    <r>
      <rPr>
        <b/>
        <sz val="8"/>
        <color theme="1"/>
        <rFont val="Arial"/>
        <family val="2"/>
      </rPr>
      <t xml:space="preserve"> (HOAI/ RBBau max. 27,00 % (Geb)/ 26,00% (InR) ) </t>
    </r>
  </si>
  <si>
    <r>
      <t xml:space="preserve">Summe Leistungssstufe 2 - Lph 5 </t>
    </r>
    <r>
      <rPr>
        <b/>
        <sz val="8"/>
        <color theme="1"/>
        <rFont val="Arial"/>
        <family val="2"/>
      </rPr>
      <t>(HOAI/ RBBau max. 25,00 % (Geb)/ 30,00% (InR) )</t>
    </r>
    <r>
      <rPr>
        <b/>
        <sz val="10"/>
        <color theme="1"/>
        <rFont val="Arial"/>
        <family val="2"/>
      </rPr>
      <t xml:space="preserve"> </t>
    </r>
  </si>
  <si>
    <r>
      <t xml:space="preserve">Summe Leistungsstufe 5 -  Lph 9 </t>
    </r>
    <r>
      <rPr>
        <b/>
        <sz val="8"/>
        <color theme="1"/>
        <rFont val="Arial"/>
        <family val="2"/>
      </rPr>
      <t xml:space="preserve">(HOAI/ RBBau max. 2,00 %) </t>
    </r>
  </si>
  <si>
    <t>werden können die Prozentsätze der Grundlagenermittlung u. Vorplanung: (0% bis 9,0%)</t>
  </si>
  <si>
    <r>
      <t xml:space="preserve">Es handelt sich um eine </t>
    </r>
    <r>
      <rPr>
        <b/>
        <sz val="10"/>
        <color theme="1"/>
        <rFont val="Arial"/>
        <family val="2"/>
      </rPr>
      <t xml:space="preserve">Objektüberwachung als Einzelleistung </t>
    </r>
    <r>
      <rPr>
        <sz val="10"/>
        <color theme="1"/>
        <rFont val="Arial"/>
        <family val="2"/>
      </rPr>
      <t>nach § 9 Abs. 3 HOAI. Angerechnet</t>
    </r>
  </si>
  <si>
    <r>
      <t xml:space="preserve">Summe Grundleistungen über alle Leistungsphasen 
</t>
    </r>
    <r>
      <rPr>
        <b/>
        <sz val="8"/>
        <color theme="1"/>
        <rFont val="Arial"/>
        <family val="2"/>
      </rPr>
      <t xml:space="preserve">(HOAI max. 100 % - RBBau max. 98,00 % (Geb)/ 97,55 % (InR) ) </t>
    </r>
  </si>
  <si>
    <r>
      <t xml:space="preserve">Summe Grundleistungen über alle Leistungsphasen 
</t>
    </r>
    <r>
      <rPr>
        <b/>
        <sz val="8"/>
        <color theme="1"/>
        <rFont val="Arial"/>
        <family val="2"/>
      </rPr>
      <t xml:space="preserve">(HOAI max. 100 % - VHF max. 98,00 % (Geb)/ 97,55 % (InR) ) </t>
    </r>
  </si>
  <si>
    <t>* VHF Bayern - Abzug 0,10 % (Geb)/ 0,15% (InR), Grundleistung wird vom AG erbracht</t>
  </si>
  <si>
    <t>* VHF Bayern - Abzug 0,10 %, Grundleistung wird vom AG erbracht</t>
  </si>
  <si>
    <t>* VHF Bayern - Abzug 0,05 %, da Antrag durch den AG gestellt wird</t>
  </si>
  <si>
    <t>1.14</t>
  </si>
  <si>
    <t>1.15</t>
  </si>
  <si>
    <t>1.16</t>
  </si>
  <si>
    <t>VI.4.3,</t>
  </si>
  <si>
    <t>VI.4.3.1,</t>
  </si>
  <si>
    <t>VI.4.3.2 oder</t>
  </si>
  <si>
    <t xml:space="preserve"> nach § 11 GEG
(entfällt, sofern Nr. 1.06 beauftragt wurde, da bereits in Nr. 1.06 enthalten)</t>
  </si>
  <si>
    <t xml:space="preserve">nach § 12 GEG 
(entfällt, sofern Nr. 1.06 beauftragt wurde, da bereits in Nr. 1.06 enthalten) </t>
  </si>
  <si>
    <t>nach § 13 GEG 
(entfällt, sofern Nr. 1.06 beauftragt wurde, da bereits in Nr. 1.06 enthalten)</t>
  </si>
  <si>
    <t>nach § 14 GEG 
(entfällt, sofern Nr. 1.06 beauftragt wurde, da bereits in Nr. 1.06 enthalten)</t>
  </si>
  <si>
    <t>Fortschreiben von Raumbüchern in detaillierter Form</t>
  </si>
  <si>
    <t xml:space="preserve">Erstellen der nach § 7 Abs.3 Gebäudeenergiegesetz </t>
  </si>
  <si>
    <t>Maßnahmenträger BMVg / BImA im Standarddatenumfang</t>
  </si>
  <si>
    <t>und den Anforderungen gemäß Anlage zu Kapitel 3 für</t>
  </si>
  <si>
    <t xml:space="preserve">Ergänzend zusätzlicher Datenumfang nach Anlage </t>
  </si>
  <si>
    <t>alphanumerischen Bestandsdaten unter Beachtung der BFR GBestand, sowie insbesondere die Anforderungen gemäß Anlage zu Kapitel 4 für Maßnahmenträger BMVg / BImA im Standarddatenumfang</t>
  </si>
  <si>
    <t xml:space="preserve">den Vorgaben der nutzenden Verwaltung </t>
  </si>
  <si>
    <t>Anforderungen gemäß Anlage zu Kapitel 4 für 
Maßnahmenträger BMVg / BImA im Standarddatenumfang</t>
  </si>
  <si>
    <r>
      <t xml:space="preserve">Summe Leistungsstufe 3 
</t>
    </r>
    <r>
      <rPr>
        <b/>
        <sz val="8"/>
        <color theme="1"/>
        <rFont val="Arial"/>
        <family val="2"/>
      </rPr>
      <t>(HOAI max. 14,00% (Geb)/ 10,00% (InR) - RBBau max. 12,65% (Geb)/ 8,60% (InR) )</t>
    </r>
    <r>
      <rPr>
        <b/>
        <sz val="10"/>
        <color theme="1"/>
        <rFont val="Arial"/>
        <family val="2"/>
      </rPr>
      <t xml:space="preserve"> </t>
    </r>
  </si>
  <si>
    <r>
      <t>Summe Leistungsstufe 3 - Lph 7</t>
    </r>
    <r>
      <rPr>
        <b/>
        <sz val="8"/>
        <color theme="1"/>
        <rFont val="Arial"/>
        <family val="2"/>
      </rPr>
      <t xml:space="preserve"> 
(HOAI max. 4,00% (Geb)/ 3,00% (InR) - RBBau max. 2,75% (Geb)/ 1,75% (InR) )</t>
    </r>
    <r>
      <rPr>
        <b/>
        <sz val="10"/>
        <color theme="1"/>
        <rFont val="Arial"/>
        <family val="2"/>
      </rPr>
      <t xml:space="preserve"> </t>
    </r>
  </si>
  <si>
    <r>
      <t>Summe Leistungsstufe 3 - Lph 6</t>
    </r>
    <r>
      <rPr>
        <b/>
        <sz val="8"/>
        <color theme="1"/>
        <rFont val="Arial"/>
        <family val="2"/>
      </rPr>
      <t xml:space="preserve"> 
(HOAI max. 10,00% (Geb)/ 7,00% (InR) - RBBau max. 9,90% (Geb)/ 6,85% (InR) ) </t>
    </r>
  </si>
  <si>
    <r>
      <t xml:space="preserve">Summe Leistungsstufe 3A - Lph 6 
</t>
    </r>
    <r>
      <rPr>
        <b/>
        <sz val="8"/>
        <color theme="1"/>
        <rFont val="Arial"/>
        <family val="2"/>
      </rPr>
      <t>(HOAI max. 10,00% (Geb)/ 7,00% (InR) - VHF max. 9,90% (Geb)/ 6,85% (InR) )</t>
    </r>
    <r>
      <rPr>
        <b/>
        <sz val="10"/>
        <color theme="1"/>
        <rFont val="Arial"/>
        <family val="2"/>
      </rPr>
      <t xml:space="preserve"> </t>
    </r>
  </si>
  <si>
    <r>
      <t>Summe Leistungsstufe 3B - Lph 7</t>
    </r>
    <r>
      <rPr>
        <b/>
        <sz val="8"/>
        <color theme="1"/>
        <rFont val="Arial"/>
        <family val="2"/>
      </rPr>
      <t xml:space="preserve"> 
(HOAI max. 4,00 % (Geb)/ 3,00% (InR) - VHF max. 2,75% (Geb)/ 1,75% (InR) ) </t>
    </r>
  </si>
  <si>
    <t>Formulieren der Entscheidungshilfen für die Auswahl anderer an der</t>
  </si>
  <si>
    <t xml:space="preserve">und Bedingungen (zum Beispiel städtebauliche, gestalterische, funktionale, technische, wirtschaftliche, ökologische, bauphysikalische, energiewirtschaftliche, soziale, öffentlich-rechtliche) unter Verwendung des RLBau Musters Erläuterungsbericht </t>
  </si>
  <si>
    <t>des Planungs- und Bauablaufs</t>
  </si>
  <si>
    <t>Erstellen eines Terminplans mit den wesentlichen Vorgängen</t>
  </si>
  <si>
    <r>
      <t>der Kostenvoranmeldung-Bau (KVM-Bau)</t>
    </r>
    <r>
      <rPr>
        <vertAlign val="superscript"/>
        <sz val="10"/>
        <rFont val="Arial"/>
        <family val="2"/>
      </rPr>
      <t>1</t>
    </r>
  </si>
  <si>
    <t xml:space="preserve">Zusammenfassen, Erläutern, Dokumentieren und Übergeben der Ergebnisse </t>
  </si>
  <si>
    <t>unter Verwendung der RLBau Muster, insbesondere der Muster Kosten, Muster Erläuterungsbericht und Muster Objektbogen und Übergeben der Unterlagen</t>
  </si>
  <si>
    <t>wesentlichen Zusammenhänge, Vorgaben und Bedingungen
(zum Beispiel städtebauliche, gestalterische, funktionale, technische, wirtschaftliche, ökologische, soziale, öffentlich-rechtliche) auf Grundlage der Vorplanung und als Grundlage für die weiteren Leistungsphasen und die erforderlichen öffentlich-rechtlichen Genehmigungen unter Verwendung der Beiträge anderer an der Planung fachlich Beteiligter. 
Zeichnungen nach Art und Größe des Objekts im erforderlichen Umfang und Detaillierungsgrad unter Berücksichtigung aller fachspezifischen Anforderungen nach Abschnitt F 2 RBBau</t>
  </si>
  <si>
    <t xml:space="preserve">Bereitstellen der Arbeitsergebnisse als Grundlage für die anderen </t>
  </si>
  <si>
    <t xml:space="preserve">Verwendung des RLBau Musters Erläuterungsbericht und unter Verwendung der Beiträge anderer fachlich Beteiligter </t>
  </si>
  <si>
    <t>und Berechnungen</t>
  </si>
  <si>
    <t xml:space="preserve">Ergänzen und Anpassen der Planungsunterlagen, Beschreibungen </t>
  </si>
  <si>
    <t xml:space="preserve">Erarbeiten der Ausführungsplanung mit allen für die Ausführung </t>
  </si>
  <si>
    <t xml:space="preserve">des Objekts im erforderlichen Umfang und Detaillierungsgrad unter Berücksichtigung aller fachspezifischen Anforderungen </t>
  </si>
  <si>
    <t>Leistungsverzeichnisse mit der Kostenberechnung, Dokumentieren der Ergebnisse unter Verwendung eines vom Auftraggeber vorgegebenem Kostenkontrollinstrumentes</t>
  </si>
  <si>
    <t xml:space="preserve">Kostenkontrolle durch Vergleich der vom Planer bepreisten </t>
  </si>
  <si>
    <t>bepreisten Leistungsverzeichnissen oder der Kostenberechnung unter Beachtung der Anforderungen nach Muster 16-17 RBBau; bei mehreren Objekten jeweils getrennt und im Ergebnis zusammengefasst</t>
  </si>
  <si>
    <t xml:space="preserve">Vergleichen der Ausschreibungsergebnisse mit den vom Planer </t>
  </si>
  <si>
    <t>öffentlich-rechtlichen Genehmigung oder Zustimmung, den Verträgen mit ausführenden Unternehmen, den Ausführungsunterlagen, den einschlägigen Vorschriften sowie mit den allgemein anerkannten Regeln der Technik</t>
  </si>
  <si>
    <t xml:space="preserve">Überwachen der Ausführung des Objektes auf Übereinstimmung mit der </t>
  </si>
  <si>
    <t xml:space="preserve">Kontinuierliche Kostenkontrolle ab der ersten Zuschlagserteilung durch </t>
  </si>
  <si>
    <t>einschließlich Zusammenstellen und Übergeben der dafür erforderlichen Unterlagen (vgl. Muster 14 RBBau)</t>
  </si>
  <si>
    <t xml:space="preserve">Mitwirken bei der Übergabe des Objekts gemäß Abschnitt H RBBau </t>
  </si>
  <si>
    <r>
      <rPr>
        <b/>
        <sz val="10"/>
        <rFont val="Arial"/>
        <family val="2"/>
      </rPr>
      <t>Anrechenbare Kosten Technische Anlagen</t>
    </r>
    <r>
      <rPr>
        <sz val="10"/>
        <rFont val="Arial"/>
        <family val="2"/>
      </rPr>
      <t xml:space="preserve">  </t>
    </r>
    <r>
      <rPr>
        <sz val="8"/>
        <rFont val="Arial"/>
        <family val="2"/>
      </rPr>
      <t>[Z 5.3 + Z 5.4] (§ 33 (2) HOAI)</t>
    </r>
  </si>
  <si>
    <r>
      <t xml:space="preserve">bei im Wesentlichen gleichen Gebäuden wird nach § 11 (3) HOAI eine Minderung der Prozentsätze der Leistungsphasen 1 - 6 für Wiederholungen vereinbart.
</t>
    </r>
    <r>
      <rPr>
        <sz val="8"/>
        <color theme="1"/>
        <rFont val="Arial"/>
        <family val="2"/>
      </rPr>
      <t>(1. bis 4. Wiederholung 50 %, 5. bis 7. Wiederholung 60 % und ab 8. Wiederholung 90 v.H. Minderung)</t>
    </r>
  </si>
  <si>
    <t xml:space="preserve">Objektplanung Gebäude </t>
  </si>
  <si>
    <t>(Geb)</t>
  </si>
  <si>
    <t>(InR)</t>
  </si>
  <si>
    <t>Objektplanung Innenräume</t>
  </si>
  <si>
    <t xml:space="preserve">öffentlich-rechtliche Genehmigungen oder Zustimmungen einschließlich der Anträge auf Ausnahmen und Befreiungen sowie notwendiger Verhandlungen mit Behörden unter Verwendung der Beiträge anderer an der Planung fachlich Beteiligter; 
Übergeben dieser Unterlagen in digitaler Form sowie in Papier </t>
  </si>
  <si>
    <t>in dreifacher Ausfertigung</t>
  </si>
  <si>
    <t>in zweifacher Ausfertigung</t>
  </si>
  <si>
    <t>zeichnerischen Darstellungen (letzter Stand der Ausführungs- und Detailpläne) und rechnerischen Ergebnisse (Kosten, Flächen, Rauminhalte) des Objekts unter Verwendung des RLBau Musters Objektbogen; Übergabe digital und in Papier</t>
  </si>
  <si>
    <r>
      <t>Zusammenfassen der Unterlagen zur Entwurfsunterlage-Bau / Bauunterlage / HU-Bau</t>
    </r>
    <r>
      <rPr>
        <vertAlign val="superscript"/>
        <sz val="10"/>
        <rFont val="Arial"/>
        <family val="2"/>
      </rPr>
      <t>1</t>
    </r>
    <r>
      <rPr>
        <sz val="10"/>
        <rFont val="Arial"/>
        <family val="2"/>
      </rPr>
      <t xml:space="preserve"> gemäß RBBau und Übergeben der Unterlagen</t>
    </r>
  </si>
  <si>
    <t>in vierfacher Ausfertigung</t>
  </si>
  <si>
    <t xml:space="preserve">in dreifacher Ausfertigung </t>
  </si>
  <si>
    <t>öffentlich-rechtliche Genehmigungen oder Zustimmungen einschließlich der Anträge auf Ausnahmen und Befreiungen, sowie notwendiger Verhandlungen mit Behörden unter Verwendung der Beiträge anderer an der Planung fachlich Beteiligter. Übergeben dieser Unterlagen</t>
  </si>
  <si>
    <t xml:space="preserve">in zweifacher Ausfertigung </t>
  </si>
  <si>
    <t xml:space="preserve">zeichnerischen Darstellungen (letzter Stand der Ausführungs- und Detailpläne) und rechnerischen Ergebnisse (Kosten, Flächen, Rauminhalte) des Objekts unter Verwendung des Musters 6 RBBau; Übergabe digital und in Papier </t>
  </si>
  <si>
    <r>
      <t>Summe Leistungsstufe 1 - Lph 3</t>
    </r>
    <r>
      <rPr>
        <b/>
        <sz val="8"/>
        <color theme="1"/>
        <rFont val="Arial"/>
        <family val="2"/>
      </rPr>
      <t xml:space="preserve"> (HOAI/ RBBau max. 15,00 %)</t>
    </r>
    <r>
      <rPr>
        <b/>
        <sz val="10"/>
        <color theme="1"/>
        <rFont val="Arial"/>
        <family val="2"/>
      </rPr>
      <t xml:space="preserve"> </t>
    </r>
  </si>
  <si>
    <t>Vorgaben der nutzenden Verwaltung</t>
  </si>
  <si>
    <r>
      <t xml:space="preserve">Zuschlag v. H. vereinbart </t>
    </r>
    <r>
      <rPr>
        <sz val="10"/>
        <color theme="1"/>
        <rFont val="Arial"/>
        <family val="2"/>
      </rPr>
      <t>in Höhe von:</t>
    </r>
  </si>
  <si>
    <t xml:space="preserve">Klären der Aufgabenstellung auf Grundlage der Vorgaben oder </t>
  </si>
  <si>
    <t xml:space="preserve">Klären der Aufgabenstellung auf Grundlage der Vorgaben oder der </t>
  </si>
  <si>
    <t>HOAI  § 9 (1)  - Bei Beauftragung der Vorplanung als Einzelleistung Erhöhung um 2,00 %</t>
  </si>
  <si>
    <t>HOAI  § 9 (1)  - Bei Beauftragung der Entwurfsplanung als Einzelleistung Erhöhung um 7,00 %</t>
  </si>
  <si>
    <t>Zusammenstellen der Vergabeunterlagen für alle Leistungsbereiche*</t>
  </si>
  <si>
    <t>Einholen von Angeboten*</t>
  </si>
  <si>
    <t>Prüfen und Werten der Angebote zusätzlicher und geänderter Leistungen der ausführenden Unternehmen und der Angemessenheit der Preise*</t>
  </si>
  <si>
    <t>Teilnehmen an und Auswerten von Aufklärungsgesprächen mit Bietern*</t>
  </si>
  <si>
    <t>Zusammenstellen der Vertragsunterlagen für alle Leistungsbereiche*</t>
  </si>
  <si>
    <t>gemäß VOB/B nach Baufortschritt, zeitnah nach Fertigstellung der jeweiligen Leistung, sowie Teilnahme daran;
Fachtechnisches Feststellen der Abnahmereife der Leistungen und des Leistungszustandes unter Mitwirkung anderer an der Planung und Objektüberwachung fachlich Beteiligter, Einholen der erforderlichen Unterlagen, wie z.B. Bedienungsanleitungen, Prüfprotokolle, Übereinstimmungsnachweise;
Feststellung von Mängeln, Abnahmeempfehlung für den Auftraggeber, Erstellen der Abnahmeprotokolle gemäß VHB Bayern sowie der sonstigen Feststellungsniederschriften*</t>
  </si>
  <si>
    <t>Antrag auf öffentlich-rechtliche Abnahmen und Teilnahme daran*</t>
  </si>
  <si>
    <t>HOAI  § 9 (3) - Bei Beauftragung der Objektüberachung als Einzelleistung  Erhöhung um:</t>
  </si>
  <si>
    <t>einschließlich Zusammenstellen und Übergeben der dafür erforderlichen Unterlagen (unter Verwendung des RLBau Musters Übergabe)*</t>
  </si>
  <si>
    <t>HOAI § 9 (1) - Bei Beauftragung der Vorplanung als Einzelleistung Erhöhung um 2,00 %</t>
  </si>
  <si>
    <t>HOAI § 9 (1) - Bei Beauftragung der Entwurfsplanung als Einzelleistung Erhöhung um 7,00 %</t>
  </si>
  <si>
    <t>einschließlich Aufstellen eines Preisspiegels nach Einzelpositionen oder Teilleistungen,
Prüfen und Werten der Angebote zusätzlicher und geänderter Leistungen der ausführenden Unternehmen und der Angemessenheit der Preise*</t>
  </si>
  <si>
    <t>gemäß VOB/B nach Baufortschritt, zeitnah nach Fertigstellung der jeweiligen Leistung, sowie Teilnahme daran;
Fachtechnisches Feststellen der Abnahmereife der Leistungen und des Leistungszustandes unter Mitwirkung anderer an der Planung und Objektüberwachung fachlich Beteiligter, Einholen der erforderlichen Unterlagen, wie z.B. Bedienungsanleitungen, Prüfprotokolle, Übereinstimmungsnachweise (vgl. Muster 14 RBBau);
Feststellung von Mängeln, Abnahmeempfehlung für den Auftraggeber, Erstellen der Abnahmeprotokolle gemäß VHB Bayern sowie der sonstigen Feststellungsniederschriften*</t>
  </si>
  <si>
    <t>HOAI  § 9 (3) - Bei Beauftragung der Objektüberwachung als Einzelleistung  Erhöhung um:</t>
  </si>
  <si>
    <t>grafischer Darstellung der Systemgrenze und der Berechnungsgrundlagen gemäß den Anforderungen nach Gebäudeenergiegesetz (GEG) einschließlich der erforderlichen Erfüllungserklärung nach § 92 GEG
Hinweis: Nach § 5 Abs. 1 Verordnung zur Ausführung energiewirtschaftlicher Vorschriften (AVEn) ist in Bayern die Erfüllungserklärung (bisheriger Energienachweis)  vor Baubeginn zu erbringen.</t>
  </si>
  <si>
    <t>grafischer Darstellung der Systemgrenze und der Berechnungsgrundlagen gemäß den Anforderungen nach Gebäudeenergiegesetz (GEG) einschließlich der erforderlichen Erfüllungserklärung nach § 92 GEG 
Hinweis: Nach § 5 Abs. 1 Verordnung zur Ausführung energiewirtschaftlicher Vorschriften (AVEn) ist in Bayern die Erfüllungserklärung (bisheriger Energienachweis) vor Baubeginn zu erbringen.</t>
  </si>
  <si>
    <t>Fortschreiben der Ausführungsplanung aufgrund der gewerkeorientierten</t>
  </si>
  <si>
    <t xml:space="preserve">Fortschreiben der Ausführungsplanung aufgrund der gewerkeorientierten </t>
  </si>
  <si>
    <t>mit überschlägiger Berechnung für den Wärmeschutz und die Energieeinsparung gemäß den Anforderungen des Gebäudeenergiegesetzes (GEG) und gegebenenfalls anderer festgelegter Energiestandards 
(z. B. Passivhausstandard, Erlasse des Bundes) unter Berücksichtigung der Beiträge von anderen an der Planung Beteiligten</t>
  </si>
  <si>
    <t>gesetz (GEG) erforderlichen Nachweise für Bauteile, für die eine Bewertung im Hinblick auf die Anforderungen des GEG aufgrund anerkannter Regeln der Technik nicht möglich ist, weil solche Regeln nicht vorliegen oder wesentlich von ihnen abgewichen wird</t>
  </si>
  <si>
    <t>1.09</t>
  </si>
  <si>
    <t>nach Teil 5 Gebäudeenergiegesetz (GEG) auf der Grundlage des berechneten Energiebedarfs sowie dessen Fortschreibung auf den Stand der abgeschlossenen Genehmigungsplanung
Hinweis: Nach § 80 Abs. 1 Satz 1 GEG ist der Energieausweis nach Fertigstellung des Gebäudes auszustellen.</t>
  </si>
  <si>
    <t>Teil 5 Gebäudeenergiegesetz (GEG) auf der Grundlage des berechneten Energiebedarfs sowie dessen Fortschreibung auf den Stand der Fertigstellung
Hinweis: Nach § 80 Abs. 1 Satz 1 GEG ist der Energieausweis nach Fertigstellung des Gebäudes auszustellen.</t>
  </si>
  <si>
    <r>
      <t xml:space="preserve">Der Wert beinhaltet mehrere vergleichbare Gebäude </t>
    </r>
    <r>
      <rPr>
        <sz val="8"/>
        <color theme="1"/>
        <rFont val="Arial"/>
        <family val="2"/>
      </rPr>
      <t>(§ 11 (2) HOAI)</t>
    </r>
  </si>
  <si>
    <t>Anteilig in den Grundleistungen enhalten sind Leistungen für Freianlagen</t>
  </si>
  <si>
    <t>mit weniger als 7.500 Euro anrechenbare Kosten (§37 (1) HOAI)</t>
  </si>
  <si>
    <t>mit weniger als 7.500 Euro anrechenbare Kosten (§37 (1) HOAI); Lph 1 bis 4</t>
  </si>
  <si>
    <t>mit weniger als 7.500 Euro anrechenbare Kosten (§37 (1) HOAI); Lph 9</t>
  </si>
  <si>
    <t>mit weniger als 7.500 Euro anrechenbare Kosten (§37 (1) HOAI); Lph 8</t>
  </si>
  <si>
    <t>mit weniger als 7.500 Euro anrechenbare Kosten (§37 (1) HOAI); Lph 5</t>
  </si>
  <si>
    <t>mit weniger als 7.500 Euro anrechenbare Kosten (§37 (1) HOAI); Lph 6 und 7</t>
  </si>
  <si>
    <t xml:space="preserve">Abrechnungsstand vom: </t>
  </si>
  <si>
    <r>
      <t xml:space="preserve">
Zur Bearbeitung wird die Excel-Arbeitsmappenansicht „Normal“ empfohlen.
Eintragungen in </t>
    </r>
    <r>
      <rPr>
        <b/>
        <sz val="10"/>
        <color theme="1"/>
        <rFont val="Arial"/>
        <family val="2"/>
      </rPr>
      <t>Felder mit blauem Hintergrund und roter Umrandung</t>
    </r>
    <r>
      <rPr>
        <sz val="10"/>
        <color theme="1"/>
        <rFont val="Arial"/>
        <family val="2"/>
      </rPr>
      <t xml:space="preserve"> (gekennzeichnet mit seitlichem roten Pfeil) sind vom </t>
    </r>
    <r>
      <rPr>
        <b/>
        <sz val="10"/>
        <color theme="1"/>
        <rFont val="Arial"/>
        <family val="2"/>
      </rPr>
      <t>Auftraggeber</t>
    </r>
    <r>
      <rPr>
        <sz val="10"/>
        <color theme="1"/>
        <rFont val="Arial"/>
        <family val="2"/>
      </rPr>
      <t xml:space="preserve"> zwingend auszufüllen. 
Es wird empfohlen, nichtbenötigte Tabellenblätter auszublenden (</t>
    </r>
    <r>
      <rPr>
        <b/>
        <sz val="10"/>
        <color theme="1"/>
        <rFont val="Arial"/>
        <family val="2"/>
      </rPr>
      <t>nicht löschen!</t>
    </r>
    <r>
      <rPr>
        <sz val="10"/>
        <color theme="1"/>
        <rFont val="Arial"/>
        <family val="2"/>
      </rPr>
      <t xml:space="preserve">). Dies ist auch mit ganzen Zeilen oder Spalten möglich.
Beim Einfügen von zusätzlichen Zeilen mit Kontrollkästchen, müssen die Zellverknüpfungen manuel angepasst werden.
Bei mehreren Angebotsdateien ist die Bezeichnung der Honorarangebotsdatei manuell in das "Angebotsdokument" zu übertragen.
Um unbeabsichtigten Änderungen insbesondere in den Formeln vorzubeugen, wurden die Tabellenblätter geschützt. </t>
    </r>
  </si>
  <si>
    <t>4.9</t>
  </si>
  <si>
    <t xml:space="preserve">HB Besond. Lstg. Bund </t>
  </si>
  <si>
    <t xml:space="preserve">HB Besond. Lstg. Land </t>
  </si>
  <si>
    <t>Festlegung der Besonderen Leistungen Hochbau - Land</t>
  </si>
  <si>
    <t>Festlegung der Besonderen Leistungen Hochbau - Bund</t>
  </si>
  <si>
    <t>Leistungsphasen 1 bis 9 (Teil E Z 4.9)</t>
  </si>
  <si>
    <t xml:space="preserve"> DIN 276:2018-12, </t>
  </si>
  <si>
    <t xml:space="preserve"> DIN 276-1:2008-12,</t>
  </si>
  <si>
    <t>Kostenschätzung nach</t>
  </si>
  <si>
    <t>Kostenberechnung nach</t>
  </si>
  <si>
    <t>Kostenfeststellung nach</t>
  </si>
  <si>
    <r>
      <t xml:space="preserve">
Zur Bearbeitung wird die Excel-Arbeitsmappenansicht „Normal“ empfohlen.
Eintragungen in </t>
    </r>
    <r>
      <rPr>
        <b/>
        <sz val="10"/>
        <color theme="1"/>
        <rFont val="Arial"/>
        <family val="2"/>
      </rPr>
      <t>Felder mit blauem Hintergrund</t>
    </r>
    <r>
      <rPr>
        <sz val="10"/>
        <color theme="1"/>
        <rFont val="Arial"/>
        <family val="2"/>
      </rPr>
      <t xml:space="preserve"> sind dem </t>
    </r>
    <r>
      <rPr>
        <b/>
        <sz val="10"/>
        <color theme="1"/>
        <rFont val="Arial"/>
        <family val="2"/>
      </rPr>
      <t>Auftraggeber</t>
    </r>
    <r>
      <rPr>
        <sz val="10"/>
        <color theme="1"/>
        <rFont val="Arial"/>
        <family val="2"/>
      </rPr>
      <t xml:space="preserve"> vorbehalten. Eintragungen des Bieters sind unzulässig.
Die in den </t>
    </r>
    <r>
      <rPr>
        <b/>
        <sz val="10"/>
        <color theme="1"/>
        <rFont val="Arial"/>
        <family val="2"/>
      </rPr>
      <t>Teilen D und E rot hinterlegten Felder</t>
    </r>
    <r>
      <rPr>
        <sz val="10"/>
        <color theme="1"/>
        <rFont val="Arial"/>
        <family val="2"/>
      </rPr>
      <t xml:space="preserve"> sind vom </t>
    </r>
    <r>
      <rPr>
        <b/>
        <sz val="10"/>
        <color theme="1"/>
        <rFont val="Arial"/>
        <family val="2"/>
      </rPr>
      <t xml:space="preserve">Bieter </t>
    </r>
    <r>
      <rPr>
        <sz val="10"/>
        <color theme="1"/>
        <rFont val="Arial"/>
        <family val="2"/>
      </rPr>
      <t>zwingend zu befüllen (gelbe Felder sind optional zu befüllen), der Eintrag von "0" ist regelmäßig zulässig. Werden die Felder befüllt, wechselt die Farbe auf gelb.
Auf die Folgen unvollständiger oder unzulässiger Eintragungen des Bieters, insbesondere entsprechend der §§ 56 und 57 VgV, die auch unterschwellig entsprechend Anwendung finden können, wird hiermit hingewiesen.
Bei mehreren Angebotsdateien ist die "</t>
    </r>
    <r>
      <rPr>
        <b/>
        <sz val="10"/>
        <color theme="1"/>
        <rFont val="Arial"/>
        <family val="2"/>
      </rPr>
      <t>Angebotssumme</t>
    </r>
    <r>
      <rPr>
        <sz val="10"/>
        <color theme="1"/>
        <rFont val="Arial"/>
        <family val="2"/>
      </rPr>
      <t xml:space="preserve"> brutto" in Teil E vom Bieter manuell in das "Angebotsdokument" zu übertragen. Es gelten die Einheitspreise in der Angebotsdatei
Um unbeabsichtigten Änderungen insbesondere in den Formeln vorzubeugen, wurden die Tabellenblätter geschützt. </t>
    </r>
  </si>
  <si>
    <r>
      <t xml:space="preserve">Das Honorar für Grundleistungen umfasst </t>
    </r>
    <r>
      <rPr>
        <b/>
        <sz val="10"/>
        <color theme="1"/>
        <rFont val="Arial"/>
        <family val="2"/>
      </rPr>
      <t>keine</t>
    </r>
    <r>
      <rPr>
        <sz val="10"/>
        <color theme="1"/>
        <rFont val="Arial"/>
        <family val="2"/>
      </rPr>
      <t xml:space="preserve"> Umbauten und Modernisierungen bzw.</t>
    </r>
  </si>
  <si>
    <t>Instandsetzungen und Instandhaltungen. Ein Zuschlag wird nicht vereinbart.</t>
  </si>
  <si>
    <t>HOAI-Text gemäß Leistungsbild</t>
  </si>
  <si>
    <r>
      <t xml:space="preserve">Grundleistungen Hochbau Land
</t>
    </r>
    <r>
      <rPr>
        <sz val="9"/>
        <color theme="1"/>
        <rFont val="Arial"/>
        <family val="2"/>
      </rPr>
      <t>Anlage zu § 6 Spezifische Leistungspflichen zum Vertrag Objektplanung Gebäude und Innenräume</t>
    </r>
  </si>
  <si>
    <r>
      <t xml:space="preserve">Grundleistungen Hochbau Bund
</t>
    </r>
    <r>
      <rPr>
        <sz val="9"/>
        <color theme="1"/>
        <rFont val="Arial"/>
        <family val="2"/>
      </rPr>
      <t>Anlage zu § 6 Spezifische Leistungspflichen zum Vertrag Objektplanung Gebäude und Innenräume</t>
    </r>
  </si>
  <si>
    <r>
      <t>Beschreibung der Besonderen Leistungen Hochbau Land</t>
    </r>
    <r>
      <rPr>
        <sz val="8"/>
        <color rgb="FF0070C0"/>
        <rFont val="Arial"/>
        <family val="2"/>
      </rPr>
      <t xml:space="preserve">
</t>
    </r>
    <r>
      <rPr>
        <sz val="8"/>
        <rFont val="Arial"/>
        <family val="2"/>
      </rPr>
      <t>Leistungstext (Anlage zu § 6 Spezifische Leistungspflichen zum Vertrag)</t>
    </r>
  </si>
  <si>
    <r>
      <t>Beschreibung der Besonderen Leistungen Hochbau Bund</t>
    </r>
    <r>
      <rPr>
        <sz val="8"/>
        <color rgb="FF0070C0"/>
        <rFont val="Arial"/>
        <family val="2"/>
      </rPr>
      <t xml:space="preserve">
</t>
    </r>
    <r>
      <rPr>
        <sz val="8"/>
        <rFont val="Arial"/>
        <family val="2"/>
      </rPr>
      <t>Leistungstext (Anlage zu § 6 Spezifische Leistungspflichen zum Vertrag)</t>
    </r>
  </si>
  <si>
    <t>(Honorarangabe für Besondere Lst. Hochbau)</t>
  </si>
  <si>
    <r>
      <t xml:space="preserve">v.H. Satz
</t>
    </r>
    <r>
      <rPr>
        <sz val="10"/>
        <color theme="1"/>
        <rFont val="Arial"/>
        <family val="2"/>
      </rPr>
      <t>(</t>
    </r>
    <r>
      <rPr>
        <sz val="8"/>
        <color theme="1"/>
        <rFont val="Arial"/>
        <family val="2"/>
      </rPr>
      <t>von Teil E  Z 4.9)</t>
    </r>
  </si>
  <si>
    <r>
      <t xml:space="preserve">v.H. Satz
</t>
    </r>
    <r>
      <rPr>
        <sz val="8"/>
        <color theme="1"/>
        <rFont val="Arial"/>
        <family val="2"/>
      </rPr>
      <t>(von Teil E  Z 4.9)</t>
    </r>
  </si>
  <si>
    <t xml:space="preserve">(0 bis max. 50 v.H. § 12 (2) HOAI)  </t>
  </si>
  <si>
    <t>Maßnahmennr</t>
  </si>
  <si>
    <t>Maßnahme</t>
  </si>
  <si>
    <t>Vergabenr</t>
  </si>
  <si>
    <t>Bieter</t>
  </si>
  <si>
    <t>Angebot</t>
  </si>
  <si>
    <t>Index</t>
  </si>
  <si>
    <t>Bezeichnung Besond Lstg</t>
  </si>
  <si>
    <t>EP-Preis</t>
  </si>
  <si>
    <t>Netto-GP-Preis</t>
  </si>
  <si>
    <t>2 Honorarzone</t>
  </si>
  <si>
    <t>4.9 Basishonorar für Grundleistungen</t>
  </si>
  <si>
    <t>5.1 Minderung des Basishonorars in v.H.</t>
  </si>
  <si>
    <t>5.2 Erhöhung des Basishonorars in v.H.</t>
  </si>
  <si>
    <t>7.4 Umbauzuschlag in v.H.</t>
  </si>
  <si>
    <t>7.7 Instandhaltungszuschlag in v.H.</t>
  </si>
  <si>
    <t>8.2 Wiederholung Nr.</t>
  </si>
  <si>
    <t xml:space="preserve">6 Leistungsphase 1     mit v.H. </t>
  </si>
  <si>
    <t xml:space="preserve">6 Leistungsphase 1     </t>
  </si>
  <si>
    <t xml:space="preserve">6 Leistungsphase 2     mit v.H. </t>
  </si>
  <si>
    <t xml:space="preserve">6 Leistungsphase 2     </t>
  </si>
  <si>
    <t xml:space="preserve">6 Leistungsphase 3     mit v.H. </t>
  </si>
  <si>
    <t xml:space="preserve">6 Leistungsphase 3     </t>
  </si>
  <si>
    <t xml:space="preserve">6 Leistungsphase 4     mit v.H. </t>
  </si>
  <si>
    <t xml:space="preserve">6 Leistungsphase 4     </t>
  </si>
  <si>
    <t xml:space="preserve">6 Leistungsphase 5     mit v.H. </t>
  </si>
  <si>
    <t xml:space="preserve">6 Leistungsphase 5     </t>
  </si>
  <si>
    <t xml:space="preserve">6 Leistungsphase 6     mit v.H. </t>
  </si>
  <si>
    <t xml:space="preserve">6 Leistungsphase 6     </t>
  </si>
  <si>
    <t xml:space="preserve">6 Leistungsphase 7     mit v.H. </t>
  </si>
  <si>
    <t xml:space="preserve">6 Leistungsphase 7     </t>
  </si>
  <si>
    <t xml:space="preserve">6 Leistungsphase 8     mit v.H. </t>
  </si>
  <si>
    <t xml:space="preserve">6 Leistungsphase 8     </t>
  </si>
  <si>
    <t xml:space="preserve">6 Leistungsphase 9     mit v.H. </t>
  </si>
  <si>
    <t xml:space="preserve">6 Leistungsphase 9     </t>
  </si>
  <si>
    <t>8.5 Summe Honorar für anteilige Grundleistungen</t>
  </si>
  <si>
    <t>9.1 Summe Honorar für Besond. Leistungen (s.Teil C)</t>
  </si>
  <si>
    <t>9.2 Summe Grundhonorar und Besond. Leistungen</t>
  </si>
  <si>
    <t>10.2 Nebenkosten  in %</t>
  </si>
  <si>
    <t xml:space="preserve">10 Nebenkosten </t>
  </si>
  <si>
    <t>12 Auftragssumme netto</t>
  </si>
  <si>
    <t>13 Mehrwertsteuer in %</t>
  </si>
  <si>
    <t>13 Mehrwertsteuer</t>
  </si>
  <si>
    <t>14 Auftragsumme brutto</t>
  </si>
  <si>
    <t>20 Wertungssumme netto</t>
  </si>
  <si>
    <t>21 Mehrwertsteuer</t>
  </si>
  <si>
    <t>22 Wertungssumme brutto</t>
  </si>
  <si>
    <t>1 Anechenbare Kosten</t>
  </si>
  <si>
    <t>5.4 Basishonorar der Leistungsphasen</t>
  </si>
  <si>
    <t>Stand: 23.06.2023</t>
  </si>
  <si>
    <t>Teil HB-D2 BS</t>
  </si>
  <si>
    <t xml:space="preserve">HB Besond. Lstg. Brandschutz </t>
  </si>
  <si>
    <r>
      <t xml:space="preserve">Besondere Leistungen Hochbau Land       </t>
    </r>
    <r>
      <rPr>
        <b/>
        <sz val="14"/>
        <rFont val="Arial"/>
        <family val="2"/>
      </rPr>
      <t>Brandschutz</t>
    </r>
  </si>
  <si>
    <r>
      <rPr>
        <b/>
        <sz val="10"/>
        <color rgb="FFFF0000"/>
        <rFont val="Arial"/>
        <family val="2"/>
      </rPr>
      <t>Hinweise:</t>
    </r>
    <r>
      <rPr>
        <b/>
        <sz val="10"/>
        <color theme="1"/>
        <rFont val="Arial"/>
        <family val="2"/>
      </rPr>
      <t xml:space="preserve">
Der Brandschutznachweis ist gem. § 2 Nr. 2.2 des Vertrages VII.10 nach dem Brandschutzleitfaden
für Gebäude des Bundes, in der jeweils aktuell gültigen Fassung</t>
    </r>
    <r>
      <rPr>
        <b/>
        <sz val="10"/>
        <rFont val="Arial"/>
        <family val="2"/>
      </rPr>
      <t xml:space="preserve"> zu erstellen</t>
    </r>
    <r>
      <rPr>
        <b/>
        <sz val="10"/>
        <color theme="1"/>
        <rFont val="Arial"/>
        <family val="2"/>
      </rPr>
      <t>. 
Grundleistungen gem. Art. 51 BayBO und § 11 Abs. 1 BauVorlV, Besondere Leistungen gem. § 11 Abs. 2  BauVorlV.
Die Aufgliederung der Grundleistungen ist dabei nicht abschließend.
Weder Leistungsumfang noch Honorierung des AHO Heftes Nr. 17 sind Grundlage der Verträge des Freistaats Bayern.</t>
    </r>
  </si>
  <si>
    <r>
      <t>Beschreibung der Besonderen Leistu</t>
    </r>
    <r>
      <rPr>
        <b/>
        <sz val="10"/>
        <rFont val="Arial"/>
        <family val="2"/>
      </rPr>
      <t>ngen Brandschutz</t>
    </r>
    <r>
      <rPr>
        <sz val="8"/>
        <color rgb="FF0070C0"/>
        <rFont val="Arial"/>
        <family val="2"/>
      </rPr>
      <t xml:space="preserve">
</t>
    </r>
    <r>
      <rPr>
        <sz val="8"/>
        <rFont val="Arial"/>
        <family val="2"/>
      </rPr>
      <t>Leistungstext</t>
    </r>
  </si>
  <si>
    <t>v.H. Satz</t>
  </si>
  <si>
    <r>
      <t xml:space="preserve">Grundleistungen der Leistungsstufe 1A - Grundlagenermittlung
</t>
    </r>
    <r>
      <rPr>
        <sz val="8"/>
        <color rgb="FFFF0000"/>
        <rFont val="Arial"/>
        <family val="2"/>
      </rPr>
      <t>Grundleistungen der Spezifischen Leistungspflichten aus dem Leistungsumfang Gebäude. Diese werden nicht gesondert vergütet.</t>
    </r>
  </si>
  <si>
    <t>Klären der Aufgabenstellung auf Grundlage der Vorgaben oder der Bedarfsplanung des Auftraggebers insbesondere bzgl. Brandschutzrelevanter Teile / Schnittstellen.</t>
  </si>
  <si>
    <t>Grundleistung</t>
  </si>
  <si>
    <t>Festlegen der Grundlagen, Vorgaben und Ziele, insbesondere bzgl. brandschutzrelevanter Teile / Schnittstellen.</t>
  </si>
  <si>
    <r>
      <t xml:space="preserve">Grundleistungen der Leistungsstufe 1B - Vorplanung
</t>
    </r>
    <r>
      <rPr>
        <sz val="8"/>
        <color rgb="FFFF0000"/>
        <rFont val="Arial"/>
        <family val="2"/>
      </rPr>
      <t>Grundleistungen der Spezifischen Leistungspflichten aus dem Leistungsumfang Gebäude. Diese werden nicht gesondert vergütet.</t>
    </r>
  </si>
  <si>
    <t xml:space="preserve">Analysieren der Grundlagen nach § 3 des Vertrages.
Abstimmen der Leistungen mit den fachlich an der Planung Beteiligten. </t>
  </si>
  <si>
    <t xml:space="preserve">Klären und Erläutern der wesentlichen Zusammenhänge, Vorgaben und Bedingungen (z.B. städtebauliche, gestalterische, funktionale, technische, wirtschaftliche, ökologische, bauphysikalische, energiewirtschaftliche, soziale, öffentlich-rechtliche) unter Verwendung des RLBau Musters "Erläuterungsbericht". </t>
  </si>
  <si>
    <t>Hinsichtlich des Brandschutzes insbesondere Feststellen einschlägiger Rechtsgrundlagen und der wesentlichen materiell-rechtlichen Anforderungen aufgrund der Art, Nutzung, Bauweise, Größe, Nachbarschaft, des gestalterischen Konzeptes und eventuell beanspruchter Abweichungen von baurechtlichen Vorschriften (inkl. Schutzzieldefinition) sowie des Arbeitsschutzes.</t>
  </si>
  <si>
    <t>Erarbeiten der Vorplanung, Untersuchen, Darstellen und Bewerten von Varianten nach gleichen Anforderungen. Zeichnungen im Maßstab nach Art und Größe des Objekts - hinsichtlich des Brandschutzes, in diesem Zusammenhang, insbesondere Erarbeiten der Grundzüge des Brandschutznachweises:
•  vorbeugender baulicher Brandschutz
•  vorbeugender anlagentechnischer Brandschutz
•  betrieblich-organisatorischer Brandschutz
•  abwehrender Brandschutz 
Und Untersuchung alternativer Lösungsmöglichkeiten bei gleicher Nutzungsanforderung.</t>
  </si>
  <si>
    <t>Bereitstellen der Arbeitsergebnisse als Grundlage für die anderen an der Planung fachlich Beteiligten sowie Koordination und Integration von deren Leistungen, insbesondere bzgl. Brandschutzrelevanter Teile / Schnittstellen.</t>
  </si>
  <si>
    <t>Mitwirkung bei den Vorverhandlungen über die Genehmigungsfähigkeit und Führen von Abstimmungen mit den an der Planung fachlich Beteiligten über die Genehmigungsfähigkeit.
Hinsichtlich des Brandschutzes insbesondere Abstimmung mit der Baurechtsbehörde und Brandschutzdienststelle und/oder Feuerwehr.</t>
  </si>
  <si>
    <t>Zusammenfassen, Erläutern, Dokumentieren der Ergebnisse und Übergeben aller Unterlagen. Ausfertigung, hinsichtlich des Brandschutzes, insbesondere Visualisierung (Skizzen) der baulichen und anlagentechnischen Maßnahmen.</t>
  </si>
  <si>
    <r>
      <t xml:space="preserve">Grundleistungen der Leistungsstufe 1C - Entwurfsplanung
</t>
    </r>
    <r>
      <rPr>
        <sz val="8"/>
        <color rgb="FFFF0000"/>
        <rFont val="Arial"/>
        <family val="2"/>
      </rPr>
      <t>Grundleistungen der Spezifischen Leistungspflichten aus dem Leistungsumfang Gebäude. Diese werden nicht gesondert vergütet.</t>
    </r>
  </si>
  <si>
    <t xml:space="preserve">Erarbeiten der Entwurfsplanung, </t>
  </si>
  <si>
    <t xml:space="preserve">unter weiterer Berücksichtigug der wesentlichen Zusammenhänge, Vorgaben und Bedingungen (z.B. städtebauliche, gestalterische, funktionale, technische, wirtschaftliche, Ökologische, soziale, öffentlich-rechtliche) auf Grundlage der Vorplanung und als Grundlage für die weiteren LPH und die erforderlichen öffentlich-rechtlichen Genehmigungen, unter Verwendng der Beiträge anderer an der Planung Beteiligter. </t>
  </si>
  <si>
    <t>Zeichnungen nach Art und Größe des Objekts im erforderlichen Umfang und Detaillierungsgrad, unter Berücksichtigung aller fachspezifischen Anforderungen.</t>
  </si>
  <si>
    <t xml:space="preserve">Hinsichtlich des Brandschutzes, in diesem Zusammenhang, insbesondere Erarbeiten und Erstellen des Brandschutznachweises gem. § 11 Abs. 1 BauVorlV, unter Berücksichtigung der Wechselwirkung zwischen den baulichen und anlagentechnischen Maßnahmen und Konkretisieren von allen objektspezifischen Brandschutz-
anforderungen. </t>
  </si>
  <si>
    <t xml:space="preserve">Bereitstellen der Arbeitsergebnisse </t>
  </si>
  <si>
    <t>als Grundlage für die anderen an der Planung fachlich Beteiligten sowie Koordination und Integration von deren Leistungen, insbesondere bzgl. brandschutzrelevanter Teile / Schnittstellen.</t>
  </si>
  <si>
    <t>Objektbeschreibung, Erstellen des</t>
  </si>
  <si>
    <t>Erläuterungsberichts unter Verwendung des RLBau-Musters "Erläuterungsbericht" und unter Verwendung der Beiträge anderer fachlich Beteiligter -
hinsichtlich des Brandschutzes, insbesondere gemäß den jeweils geltenden, bauaufsichtlichen Verfahrensvorschriften mit Darstellung:</t>
  </si>
  <si>
    <t>•  der Rechtsgrundlagen, die der Planung zugrunde
   liegen. 
•  des Brandschutznachweises mit den baulichen,
   anlagenteschnischen und betrieblichen 
   Maßnahmen.
•  der Erfordernisse zur Wahrung der Belange des 
   abwehrenden Brandschutzes.</t>
  </si>
  <si>
    <t>Mitwirkung bei Verhandlungen über die</t>
  </si>
  <si>
    <t>Genehmigungsfähigkeit – hinsichtlich des Brandschutzes, insbesondere Abstimmung mit der Baurechtsbehörde und Brandschutzdienststelle und/oder Feuerwehr.</t>
  </si>
  <si>
    <t>Zusammenfassen, Erläutern, Dokumentieren der</t>
  </si>
  <si>
    <t>Ergebnisse unter Verwendung der RLBau Muster,insbesondere der Muster "Kosten", Muster "Erläuterungsbericht" und Muster "Objektbogen". 
Und Übergeben der Unterlagen bzgl. brandschutzrelevanter Teile / Schnittstellen sowie Erstellen von Entwurfsfertigungen der Brandschutzpläne.</t>
  </si>
  <si>
    <r>
      <t xml:space="preserve">Grundleistungen der Leistungsstufe 1D - Genehmigungsplanung
</t>
    </r>
    <r>
      <rPr>
        <sz val="8"/>
        <color rgb="FFFF0000"/>
        <rFont val="Arial"/>
        <family val="2"/>
      </rPr>
      <t>Grundleistungen der Spezifischen Leistungspflichten aus dem Leistungsumfang Gebäude. Diese werden nicht gesondert vergütet.</t>
    </r>
  </si>
  <si>
    <t>Erarbeiten und Zusammenstellen der</t>
  </si>
  <si>
    <t>Vorlagen und Nachweise für öffentlich-rechtliche Genehmigungen oder Zustimmungen, einschließlich der Anträge auf Ausnahme und Befreiungen sowie notwendiger Verhandlungen mit Behörden unter Verwendung der Beiträge anderer an der Planung fachlich Beteiligter, insbesondere bzgl. brandschutzrelevanter Teile / Schnittstellen.</t>
  </si>
  <si>
    <t>Mitwirken beim Einreichen der Vorlagen</t>
  </si>
  <si>
    <t>einschließlich der noch notwendigen Verhandlungen mit den Behörden – hinsichtlich des Brandschutzes, insbesondere Abstimmung mit der Baurechtsbehörde und Brandschutzdienststelle und/oder Feuerwehr.</t>
  </si>
  <si>
    <t>Ergänzen und Anpassen der Planungsunterlagen,</t>
  </si>
  <si>
    <t>Beschreibungen und Berechnungen - hinsichtlich des Brandschutzes, insbesondere Erstellen von Brandschutzplänen als Visualisierung der baulichen Maßnahmen und des anlagentechnischen Konzepts.</t>
  </si>
  <si>
    <t>BL1.01</t>
  </si>
  <si>
    <t>Erstellen und kontinuierliches Fortführen des erweiterten Brandschutznachweises (entsprechend des Planungsfortschrittes) für den vorbeugenden und organisatorischen Brandschutz bei baulichen Anlagen besonderer Art und Nutzung (Sonderbau), auch unter Berücksichtigung der Technischen Gebäudeausrüstung, gem. § 11 Abs. 2 Satz 1 und 2 BauVorlV, soweit es für die Beurteilung erforderlich ist; insbesondere über:</t>
  </si>
  <si>
    <t xml:space="preserve">1.) brandschutzrelevante Einzelheiten der Nutzung; 
      insbesondere auch die Anzahl und Art der die 
      bauliche Anlage nutzenden Personen sowie 
      Explosions- oder erhöhte Brandgefahren, 
      Brandlasten, Gefahrstoffe und Risikoanalysen.
</t>
  </si>
  <si>
    <t xml:space="preserve">2.) Rettungswegbreiten und -längen, Einzelheiten 
      der Rettungswegführung und -ausbildung;
      einschließlich Sicherheitsbeleuchtung und 
     -kennzeichnung.
3.) Technische Anlagen und Einrichtungen zum 
      Brandschutz, wie Branderkennung, -meldung,
     -bekämpfung, Alamierung, Rauchableitung und 
     -freihaltung.
</t>
  </si>
  <si>
    <t xml:space="preserve">4.) Sicherheitsstromversorgung.
5.) Bemessung der Löschwasserversorgung, 
     Einrichtungen zur Löschwasserentnahme 
     sowie die Löschwasserrückhaltung.
</t>
  </si>
  <si>
    <t>6.) Betriebliche und organisatorische Maßnahmen 
     zur Brandverhütung, -bekämpfung und Rettung 
     von Menschen und Tieren; wie Flucht- und 
     Rettungswegpläne, Feuerwehrplan, Brandschutz-
     ordnung, Werksfeuerwehr, Bestellung von 
     Brandschutzbeauftragten und Selbsthilfekräften; 
     mit Darstellung/Visualisierung in gesonderter Form 
     eines objektbezogenen Brandschutzkonzeptes 
     gem. § 11 Abs. 2 Satz 3 BauVorlV und in 
     Anlehnung an den 
     "Brandschutzleitfaden für Gebäude des Bundes".</t>
  </si>
  <si>
    <t xml:space="preserve">Darstellung und Begründung der notwendigen Abweichungen, einschließlich der vergesehenen Kompensationsmaßnahmen. </t>
  </si>
  <si>
    <t>BL1.02</t>
  </si>
  <si>
    <t>Bereitstellen der Arbeitsergebnisse als Grundlage für die anderen an der Planung fachlich Beteiligten sowie Koordination und Integration von deren Leistungen in Bezug auf den/das erweiterte(n) genehmigungsfähige(n) Brandschutznachweis bzw. -konzept.</t>
  </si>
  <si>
    <t>BL1.03</t>
  </si>
  <si>
    <t xml:space="preserve">Mitwirkung bei den Vorverhandlungen über die Genehmigungsfähigkeit und Führen von Abstimmungen mit den an der Planung fachlich Beteiligten über die Genehmigungsfähigkeit. </t>
  </si>
  <si>
    <t>Mitwirkung bei Verhandlungen über die Genehmigungsfähigkeit und Mitwirkung beim Einreichen von der Vorlagen, einschließlich der noch notwendigen Verhandlungen mit den Behörden - hinsichtlich des Brandschutzes, insbesondere Abstimmung mit der Baurechtsbehörde und Brandschutzdienststelle und/oder Feuerwehr bzgl. des erweiterten genehmigungsfähigen Brandschutznachweises bzw. -konzepts.</t>
  </si>
  <si>
    <t>BL1.04</t>
  </si>
  <si>
    <t>Erarbeiten von Vorgaben bzgl. des Zusammenwirkens der technischen Anlagen als Bestandteil des erweiterten, genehmigungsfähigen Brandschutznachweises bzw. -konzepts.</t>
  </si>
  <si>
    <t>BL1.05</t>
  </si>
  <si>
    <t>BL1.06</t>
  </si>
  <si>
    <t>BL1.07</t>
  </si>
  <si>
    <r>
      <t xml:space="preserve">Grundleistungen der Leistungsstufe 2 - Ausführungsplanung
</t>
    </r>
    <r>
      <rPr>
        <sz val="8"/>
        <color rgb="FFFF0000"/>
        <rFont val="Arial"/>
        <family val="2"/>
      </rPr>
      <t>Grundleistungen der Spezifischen Leistungspflichten aus dem Leistungsumfang Gebäude. Diese werden nicht gesondert vergütet.</t>
    </r>
  </si>
  <si>
    <t>Erarbeiten der Ausführungsplanung mit allen für die Ausführung notwendigen Einzelangeben (zeichnerisch und textlich) auf Grundlage der Entwurfs- und Genehmigungsplanung, bis zur ausführungsreifen Lösung, als Grundlage für die weiteren LPH.</t>
  </si>
  <si>
    <t xml:space="preserve">Ausführungs-, Detail- und Konstruktionszeichnungen nach Art und Größe des Objekts im erforderlichen Umfang und Detaillierungsgrad, unter Berücksichtigung aller fachspezifischen Anforderungen, insbesondere bzgl. brandschutzrelevanter Teile / Schnittstellen.
</t>
  </si>
  <si>
    <t>Bereitstellen der Arbeitsergebnisse als Grundlage für die anderen an der Planung fachlich Beteiligten sowie Koordination und Integration von deren Leistungen, insbesondere bzgl. brandschutzrelevanter Teile / Schnittstellen.</t>
  </si>
  <si>
    <t xml:space="preserve">Fortschreiben der Ausführungsplanung aufgrund der </t>
  </si>
  <si>
    <t>gewerkeorientierten Bearbeitung während der Objektausführung - hinsichtlich des Brandschutzes, in diesem Zusammenhang, insbesondere Fortschreiben des genehmigten Brandschutznachweises, bezügl. der Ergebnisse der Prüfung der Bauaufsichtsbehörde / Forderungen des Prüfsachverständigen.</t>
  </si>
  <si>
    <t>Überprüfen der erforderlichen Monatgepläne der vom Objektplaner geplanten Baukonstruktionen und baukonstruktiven Einbauten auf Übereinstimmung mit der Ausführungsplanung, insbesondere bzgl. Brandschutzrelevanter Teile / Schnittstellen.</t>
  </si>
  <si>
    <t>BL2.01</t>
  </si>
  <si>
    <t>Fortschreiben des erweiterten, genehmigten Brandschutznachweises bzw. -konzepts 
(gem. BL1.01) i.V.m. 5.01.</t>
  </si>
  <si>
    <t>BL2.02</t>
  </si>
  <si>
    <t>Bereitstellen der Arbeitsergebnisse als Grundlage für die anderen an der Planung fachlich Beteiligten sowie Koordination und Integration von deren Leistungen in Bezug auf den/das erweiterte(n) genehmigungsfähigen Brandschutznachweis bzw. -konzept.</t>
  </si>
  <si>
    <t>BL2.03</t>
  </si>
  <si>
    <t>BL2.04</t>
  </si>
  <si>
    <t>BL2.05</t>
  </si>
  <si>
    <r>
      <rPr>
        <b/>
        <sz val="10"/>
        <color theme="1"/>
        <rFont val="Arial"/>
        <family val="2"/>
      </rPr>
      <t>Grundleistungen der Leistungsstufe 3 - Vorbereitung</t>
    </r>
    <r>
      <rPr>
        <b/>
        <sz val="10"/>
        <rFont val="Arial"/>
        <family val="2"/>
      </rPr>
      <t xml:space="preserve"> und </t>
    </r>
    <r>
      <rPr>
        <b/>
        <sz val="10"/>
        <color theme="1"/>
        <rFont val="Arial"/>
        <family val="2"/>
      </rPr>
      <t>Mitwirkung bei der Vergabe</t>
    </r>
    <r>
      <rPr>
        <b/>
        <sz val="9"/>
        <color theme="1"/>
        <rFont val="Arial"/>
        <family val="2"/>
      </rPr>
      <t xml:space="preserve">
</t>
    </r>
    <r>
      <rPr>
        <sz val="8"/>
        <color rgb="FFFF0000"/>
        <rFont val="Arial"/>
        <family val="2"/>
      </rPr>
      <t>Grundleistungen der Spezifischen Leistungspflichten aus dem Leistungsumfang Gebäude. Diese werden nicht gesondert vergütet.</t>
    </r>
  </si>
  <si>
    <t>6.01 / 7.01</t>
  </si>
  <si>
    <t xml:space="preserve">Aufstellen von Leistungsbeschreibungen mit </t>
  </si>
  <si>
    <t>Leistungsverzeichnissen nach Leistungsbereichen gemäß Richtlinie VHB/VHL/VHF, Ermitteln und Zusammenstellen von Mengen auf Grundlage der Ausführungsplanung unter Verwendung der Beiträge anderer an der Planung fachlich Beteiligter – insbesondere bzgl. brandschutzrelevanter Teile / Schnittstellen.</t>
  </si>
  <si>
    <t>6.02 / 7.02</t>
  </si>
  <si>
    <t>Abstimmen und Koordinieren der Schnittstellen</t>
  </si>
  <si>
    <t>zu den Leistungsbeschreibungen der an der Planung fachlich Beteiligten, einschließlich Erarbeiten von Beiträgen zur Erstellung der Besonderen Vertragsbedingungen (BVB), insbesondere bzgl. brandschutzrelevanter Teile / Schnittstellen.</t>
  </si>
  <si>
    <t>6.03 / 7.03</t>
  </si>
  <si>
    <t>Prüfen und Werten der Angebote</t>
  </si>
  <si>
    <t>(technische und wirtschaftliche Prüfung), einschließlich Aufstellen eines Preisspiegels nach Einzelpositionen oder Teilleistungen, insbesondere bzgl. brandschutzrelevanter Teile / Schnittstellen.</t>
  </si>
  <si>
    <r>
      <rPr>
        <b/>
        <sz val="10"/>
        <color theme="1"/>
        <rFont val="Arial"/>
        <family val="2"/>
      </rPr>
      <t>Grundleistungen der Leistungsstufe 4 - Objektüberwachung (Bauüberwachung) und Dokumentation</t>
    </r>
    <r>
      <rPr>
        <b/>
        <sz val="9"/>
        <color theme="1"/>
        <rFont val="Arial"/>
        <family val="2"/>
      </rPr>
      <t xml:space="preserve">
</t>
    </r>
    <r>
      <rPr>
        <sz val="8"/>
        <color rgb="FFFF0000"/>
        <rFont val="Arial"/>
        <family val="2"/>
      </rPr>
      <t>Grundleistungen der Spezifischen Leistungspflichten aus dem Leistungsumfang Gebäude. Diese werden nicht gesondert vergütet.</t>
    </r>
  </si>
  <si>
    <t>Überwachen der Ausführung des Objekts auf Übereinstimmung mit der öffentlich-rechtlichen Genehmigung oder Zustimmung, den Verträgen mit ausführenden Unternehmen, den Ausführungsunterlagen, den einschlägigen Vorschriften sowie mit den allgemein anerkannten Regeln der Technik; insbesondere hinsichtlich des genehmigten Brandschutznachweises, einschließlich der Auflagen aus der Genehmigung. Prüfung der brandschutzrelevanten Bauprodukte/-arten, auf Übereinstimmung mit den vorgelegten Verwendbarkeitsnachweisen und Bescheinigungen zum baulichen Brandschutz.</t>
  </si>
  <si>
    <t xml:space="preserve">Grundleistung </t>
  </si>
  <si>
    <t xml:space="preserve">Koordinieren der an der Objektüberwachung fachlich Beteiligten – insbesondere bzgl. brandschutzrelevanter Teile / Schnittstellen. </t>
  </si>
  <si>
    <t xml:space="preserve">Organisation der Abnahme der Bauleistungen und Feststellung gemäß VOB/B nach Baufortschritt, zeitnah nach Fertigstellung der jeweiligen Leistung sowie Teilnahme daran.
</t>
  </si>
  <si>
    <t>Fachtechnisches Feststellen der Abnahmereife der Leistungen und des Leistungszustandes unter Mitwirkung anderer an der Planung und Objektüberwachung fachlich Beteiligter, Einholen der erforderlichen Unterlagen, wie z.B. Bedienungsanleitungen, Prüfprotokolle, Übereinstimmungsnachweise.</t>
  </si>
  <si>
    <t xml:space="preserve">Feststellung von Mängeln, Abnahmeempfehlung für den Auftraggeber, Erstellen der Abnahmeprotokolle gemäß VHB/VHL/VHF sowie der sonstigen Feststellungsniederschriften, insbesondere hinsichtlich brandschutzrelevanter Bauteile und Komponenten.
</t>
  </si>
  <si>
    <t>Antrag auf öffentlich-rechtliche Abnahmen und</t>
  </si>
  <si>
    <t>Teilnahme daran. Außerdem:
•  Systematische Zusammenstellung der 
   Dokumentation, 
•  der zeichnerischen Darstellungen 
   (letzter Stand der Ausführungs- und Detailpläne), 
•  der Verwendbarkeitsnachweise, 
•  der rechnerischen Ergebnisse des Objekts
   (Kosten, Flächen, Rauminhalte), 
•  der Bescheinigungen und Erklärungen
    in zweifacher Ausfertigung und digital.</t>
  </si>
  <si>
    <t xml:space="preserve">(Ziel ist die Erlangung der Brandschutzbescheinigung II eines durch den AG gestellten Prüfsachverständigen für Brandschutz.)
</t>
  </si>
  <si>
    <t>Mitwirken bei der Übergabe des Objekts gemäß Abschnitt F RLBau.
Zusammenstellen und Übergeben der dafür erforderlichen Unterlagen (unter Verwendung des RLBau Musters "Übergabe")
hinsichtlich brandschutzrelevanter Teile / Schnittstellen, (u.a.: Brandmeldeanlegen, Sicherheitsbeleuchtung, Entrauchungsanlagen...)</t>
  </si>
  <si>
    <t>und hinsichtlich des genehmigten Brandschutznachweises, einschließlich der Auflagen aus der Genehmigung.</t>
  </si>
  <si>
    <t xml:space="preserve">Überwachen der Beseitigung der bei der Abnahme </t>
  </si>
  <si>
    <t>festgestellten Mängel – insbesondere hinsichtlich brandschutzrelevanter Bauteile und Komponenten.</t>
  </si>
  <si>
    <t>BL4.01</t>
  </si>
  <si>
    <t>Koordinieren der an der Objektüberwachung fachlich Beteiligten in Bezug auf den/das erweiterte(n), genehmigungsfähige(n) Brandschutznachweis bzw. -konzept.</t>
  </si>
  <si>
    <t>BL4.02</t>
  </si>
  <si>
    <t>BL4.03</t>
  </si>
  <si>
    <t>Leistungsstufen 1 und 2</t>
  </si>
  <si>
    <t>Leistungsstufe 4</t>
  </si>
  <si>
    <t>(Geb., inkl. BS)</t>
  </si>
  <si>
    <t>(InR., inkl. BS)</t>
  </si>
  <si>
    <t xml:space="preserve">Summe Besonderer Leistungen Hochbau  </t>
  </si>
  <si>
    <t xml:space="preserve">Summe Besonderer Leistungen Brandschutz  </t>
  </si>
  <si>
    <t xml:space="preserve">Summe sämtlicher Besonderen Leistungen  </t>
  </si>
  <si>
    <t xml:space="preserve">Summe Besonderer Leistungen Brandschutz - Leistungsstufe 2 </t>
  </si>
  <si>
    <t xml:space="preserve">Summe Besonderer Leistungen Brandschutz - Leistungsstufe 4 </t>
  </si>
  <si>
    <t>Besondere Leistungen im Brandschutz</t>
  </si>
  <si>
    <t xml:space="preserve">Summe Besonderer Leistungen BS - LST 4  </t>
  </si>
  <si>
    <t>Besondere Leistungen BS zu Leistungsstufe 4</t>
  </si>
  <si>
    <t xml:space="preserve">Summe Besonderer Leistungen BS -  LST 2  </t>
  </si>
  <si>
    <t>Besondere Leistungen BS zu Leistungsstufe 2</t>
  </si>
  <si>
    <t xml:space="preserve">Summe Besondere Leistungen BS - LST 1  </t>
  </si>
  <si>
    <t>Besondere Leistungen BS zu Leistungsstufe 1</t>
  </si>
  <si>
    <t xml:space="preserve">Summe Besonderer Leistungen Brandschutz - Leistungsstufe 1  </t>
  </si>
  <si>
    <t xml:space="preserve">Summe Leistungsstufe 1  </t>
  </si>
  <si>
    <t xml:space="preserve">Summe LST 2 - inkl. BS  </t>
  </si>
  <si>
    <t xml:space="preserve">Summe LST 1D - inkl. BS  </t>
  </si>
  <si>
    <t xml:space="preserve">Summe LST 4 - inkl. BS </t>
  </si>
  <si>
    <r>
      <t xml:space="preserve">Besondere Leistungen; 
</t>
    </r>
    <r>
      <rPr>
        <b/>
        <u/>
        <sz val="8"/>
        <color theme="1"/>
        <rFont val="Arial"/>
        <family val="2"/>
      </rPr>
      <t xml:space="preserve">inkl. </t>
    </r>
    <r>
      <rPr>
        <b/>
        <sz val="8"/>
        <color theme="1"/>
        <rFont val="Arial"/>
        <family val="2"/>
      </rPr>
      <t xml:space="preserve">
Besondere Leistungen BS</t>
    </r>
  </si>
  <si>
    <t xml:space="preserve">Erweiterte Honorartabelle der ‚Richtlinien der Staatlichen Vermögens- und Hochbauverwaltung Baden-Württemberg für die Beteiligung freiberuflich Tätiger‘ –RiFT-, (Fassung 2022) </t>
  </si>
  <si>
    <t xml:space="preserve">Anrechenbare 
Kosten </t>
  </si>
  <si>
    <r>
      <rPr>
        <b/>
        <sz val="10"/>
        <rFont val="Arial"/>
        <family val="2"/>
      </rPr>
      <t>Zone I</t>
    </r>
  </si>
  <si>
    <r>
      <rPr>
        <b/>
        <sz val="10"/>
        <rFont val="Arial"/>
        <family val="2"/>
      </rPr>
      <t>Zone II</t>
    </r>
  </si>
  <si>
    <r>
      <rPr>
        <b/>
        <sz val="10"/>
        <rFont val="Arial"/>
        <family val="2"/>
      </rPr>
      <t>Zone III</t>
    </r>
  </si>
  <si>
    <r>
      <rPr>
        <b/>
        <sz val="10"/>
        <rFont val="Arial"/>
        <family val="2"/>
      </rPr>
      <t>€</t>
    </r>
  </si>
  <si>
    <r>
      <rPr>
        <sz val="10"/>
        <rFont val="Arial"/>
        <family val="2"/>
      </rPr>
      <t>von €</t>
    </r>
  </si>
  <si>
    <t>Anrechenbare Kosten (netto):</t>
  </si>
  <si>
    <t>Werte aus RifT Tabelle</t>
  </si>
  <si>
    <t>von €</t>
  </si>
  <si>
    <t>Zone IV</t>
  </si>
  <si>
    <t>bis €</t>
  </si>
  <si>
    <t>Zone V</t>
  </si>
  <si>
    <t xml:space="preserve">Summe Besonderer Leistungen im Brandschutz  </t>
  </si>
  <si>
    <t>Honorar für die Besonderen Leistungen (inkl. BS) wird vereinbart in Höhe von</t>
  </si>
  <si>
    <t>HB-D2 Besondere Lstg BS</t>
  </si>
  <si>
    <t>Festlegung der Besonderen Leistungen Hochbau - Brandschutz</t>
  </si>
  <si>
    <t>Vergabe-Nr.:</t>
  </si>
  <si>
    <t>HINWEIS:</t>
  </si>
  <si>
    <t>Tabelle zur Interpolation des Gesamthonorars lt. RiFT</t>
  </si>
  <si>
    <t>HZ</t>
  </si>
  <si>
    <t>"x"</t>
  </si>
  <si>
    <r>
      <rPr>
        <b/>
        <sz val="11"/>
        <rFont val="Arial"/>
        <family val="2"/>
      </rPr>
      <t>Summe anrechenbare Kosten Kostenschätzung gesamt</t>
    </r>
    <r>
      <rPr>
        <sz val="8"/>
        <rFont val="Arial"/>
        <family val="2"/>
      </rPr>
      <t xml:space="preserve"> (netto)</t>
    </r>
    <r>
      <rPr>
        <sz val="10"/>
        <rFont val="Arial"/>
        <family val="2"/>
      </rPr>
      <t>:</t>
    </r>
  </si>
  <si>
    <t xml:space="preserve">Gesamthonorar Honorar (netto) </t>
  </si>
  <si>
    <r>
      <t>Die Bearbeitung der Tabelle zur Ermittlung der hat manuell zu erfolgen.
Dazu aus der Tabelle links die anrechenbaren Kosten unterhalb und oberhalb der in der Vergabe vorliegenden Höhe der anrechenbaren Kosten (</t>
    </r>
    <r>
      <rPr>
        <b/>
        <sz val="12"/>
        <color rgb="FF0070C0"/>
        <rFont val="Calibri"/>
        <family val="2"/>
        <scheme val="minor"/>
      </rPr>
      <t>Wert in R12</t>
    </r>
    <r>
      <rPr>
        <sz val="11"/>
        <color theme="1"/>
        <rFont val="Calibri"/>
        <family val="2"/>
        <scheme val="minor"/>
      </rPr>
      <t xml:space="preserve">) auswählen. 
Diese Werte in </t>
    </r>
    <r>
      <rPr>
        <b/>
        <sz val="12"/>
        <color rgb="FF0070C0"/>
        <rFont val="Calibri"/>
        <family val="2"/>
        <scheme val="minor"/>
      </rPr>
      <t>N18</t>
    </r>
    <r>
      <rPr>
        <sz val="11"/>
        <color theme="1"/>
        <rFont val="Calibri"/>
        <family val="2"/>
        <scheme val="minor"/>
      </rPr>
      <t xml:space="preserve"> und </t>
    </r>
    <r>
      <rPr>
        <b/>
        <sz val="12"/>
        <color rgb="FF0070C0"/>
        <rFont val="Calibri"/>
        <family val="2"/>
        <scheme val="minor"/>
      </rPr>
      <t>N19</t>
    </r>
    <r>
      <rPr>
        <sz val="11"/>
        <color theme="1"/>
        <rFont val="Calibri"/>
        <family val="2"/>
        <scheme val="minor"/>
      </rPr>
      <t xml:space="preserve"> eintragen. 
Anschließend in der RifT-Tabelle bis zur vorliegenden HZ (</t>
    </r>
    <r>
      <rPr>
        <b/>
        <sz val="12"/>
        <color rgb="FF0070C0"/>
        <rFont val="Calibri"/>
        <family val="2"/>
        <scheme val="minor"/>
      </rPr>
      <t>Wert in R11</t>
    </r>
    <r>
      <rPr>
        <sz val="11"/>
        <color theme="1"/>
        <rFont val="Calibri"/>
        <family val="2"/>
        <scheme val="minor"/>
      </rPr>
      <t xml:space="preserve">) gehen: liegt </t>
    </r>
    <r>
      <rPr>
        <u/>
        <sz val="11"/>
        <color theme="1"/>
        <rFont val="Calibri"/>
        <family val="2"/>
        <scheme val="minor"/>
      </rPr>
      <t>nur eine HZ</t>
    </r>
    <r>
      <rPr>
        <sz val="11"/>
        <color theme="1"/>
        <rFont val="Calibri"/>
        <family val="2"/>
        <scheme val="minor"/>
      </rPr>
      <t xml:space="preserve"> zugrunde, jeweils den Wert "von" ( =</t>
    </r>
    <r>
      <rPr>
        <sz val="11"/>
        <color rgb="FFC00000"/>
        <rFont val="Calibri"/>
        <family val="2"/>
        <scheme val="minor"/>
      </rPr>
      <t xml:space="preserve"> </t>
    </r>
    <r>
      <rPr>
        <b/>
        <sz val="11"/>
        <color rgb="FFC00000"/>
        <rFont val="Calibri"/>
        <family val="2"/>
        <scheme val="minor"/>
      </rPr>
      <t>unterer Wert!</t>
    </r>
    <r>
      <rPr>
        <sz val="11"/>
        <color theme="1"/>
        <rFont val="Calibri"/>
        <family val="2"/>
        <scheme val="minor"/>
      </rPr>
      <t xml:space="preserve">) in </t>
    </r>
    <r>
      <rPr>
        <b/>
        <sz val="12"/>
        <color rgb="FF0070C0"/>
        <rFont val="Calibri"/>
        <family val="2"/>
        <scheme val="minor"/>
      </rPr>
      <t>R18</t>
    </r>
    <r>
      <rPr>
        <sz val="11"/>
        <color theme="1"/>
        <rFont val="Calibri"/>
        <family val="2"/>
        <scheme val="minor"/>
      </rPr>
      <t xml:space="preserve"> und </t>
    </r>
    <r>
      <rPr>
        <b/>
        <sz val="12"/>
        <color rgb="FF0070C0"/>
        <rFont val="Calibri"/>
        <family val="2"/>
        <scheme val="minor"/>
      </rPr>
      <t>R19</t>
    </r>
    <r>
      <rPr>
        <sz val="11"/>
        <color theme="1"/>
        <rFont val="Calibri"/>
        <family val="2"/>
        <scheme val="minor"/>
      </rPr>
      <t xml:space="preserve"> eintragen. 
Liegen mehrere HZ vor, die Werte "HZ II" (Beispiel) in </t>
    </r>
    <r>
      <rPr>
        <b/>
        <sz val="12"/>
        <color rgb="FF0070C0"/>
        <rFont val="Calibri"/>
        <family val="2"/>
        <scheme val="minor"/>
      </rPr>
      <t>P18/P19</t>
    </r>
    <r>
      <rPr>
        <sz val="11"/>
        <color theme="1"/>
        <rFont val="Calibri"/>
        <family val="2"/>
        <scheme val="minor"/>
      </rPr>
      <t xml:space="preserve">, die von "HZ III" (Beispiel)  in </t>
    </r>
    <r>
      <rPr>
        <b/>
        <sz val="12"/>
        <color rgb="FF0070C0"/>
        <rFont val="Calibri"/>
        <family val="2"/>
        <scheme val="minor"/>
      </rPr>
      <t>R18/R19</t>
    </r>
    <r>
      <rPr>
        <sz val="11"/>
        <color theme="1"/>
        <rFont val="Calibri"/>
        <family val="2"/>
        <scheme val="minor"/>
      </rPr>
      <t xml:space="preserve"> eintragen.</t>
    </r>
  </si>
  <si>
    <r>
      <t xml:space="preserve">Die Tabelle interpoliert nun den gesuchten Wertm, das Ergebnis = das Gesamthonorar (netto) ist in Zelle </t>
    </r>
    <r>
      <rPr>
        <b/>
        <sz val="12"/>
        <color rgb="FF0070C0"/>
        <rFont val="Calibri"/>
        <family val="2"/>
        <scheme val="minor"/>
      </rPr>
      <t>R26</t>
    </r>
    <r>
      <rPr>
        <sz val="11"/>
        <color theme="1"/>
        <rFont val="Calibri"/>
        <family val="2"/>
        <scheme val="minor"/>
      </rPr>
      <t xml:space="preserve"> abzulesen.
Dieser Wert wird automatisch in das Registerblatt "E_Honorarberechnung" übertragen.</t>
    </r>
  </si>
  <si>
    <r>
      <t xml:space="preserve">Die Honorarzone wird </t>
    </r>
    <r>
      <rPr>
        <b/>
        <sz val="11"/>
        <rFont val="Calibri"/>
        <family val="2"/>
        <scheme val="minor"/>
      </rPr>
      <t>nicht automatisch</t>
    </r>
    <r>
      <rPr>
        <sz val="11"/>
        <rFont val="Calibri"/>
        <family val="2"/>
        <scheme val="minor"/>
      </rPr>
      <t xml:space="preserve"> aus dem Register B Hzone übertragen, wenn sie per bepunktung ermittelt wurde! In dem Fall bitte per Hand in </t>
    </r>
    <r>
      <rPr>
        <b/>
        <sz val="12"/>
        <color rgb="FF0070C0"/>
        <rFont val="Calibri"/>
        <family val="2"/>
        <scheme val="minor"/>
      </rPr>
      <t>R11</t>
    </r>
    <r>
      <rPr>
        <sz val="11"/>
        <rFont val="Calibri"/>
        <family val="2"/>
        <scheme val="minor"/>
      </rPr>
      <t xml:space="preserve"> eintragen.</t>
    </r>
  </si>
  <si>
    <t>Bestandsaufnahme</t>
  </si>
  <si>
    <t>Machbarkeitsstudie</t>
  </si>
  <si>
    <t>Beachten der Anforderungen des vereinbarten Zertifizierungssystems</t>
  </si>
  <si>
    <t>Durchführen des Zertifizierungssystems</t>
  </si>
  <si>
    <t>Zusammenstellung der Anforderungen des Zertifizierungssystems</t>
  </si>
  <si>
    <t>Fortschreiben von besonderen</t>
  </si>
  <si>
    <t xml:space="preserve">bauordnungsrechtlichen Nachweisen für den vorbeugenden und organisatorischen Brandschutz bei baulichen Anlagen besonderer Art und Nutzung, Bestandsbauten oder im Falle von Abweichungen von der Bauordnung, aufgrund der gewerkeorientierten Bearbeitung während der Objektausführung. </t>
  </si>
  <si>
    <t>bauordnungsrechtlichen Nachweisen für den vorbeugenden und organisatorischen Brandschutz bei baulichen Anlagen besonderer Art und Nutzung, Bestandsbauten oder im Falle von Abweichungen von der Bauordnung i.V.m. der Ausführungsplanung.</t>
  </si>
  <si>
    <t>Fachliche Vorbereitung und Mitwirken bei Nachprüfungsverfahren</t>
  </si>
  <si>
    <t>Mitwirken bei der Prüfung von bauwirtschaftlich begründeten Nachtragsangeboten</t>
  </si>
  <si>
    <t>Erstellen von Baubestandsplänen nach den Vorgaben:</t>
  </si>
  <si>
    <t>Erstellen und Planung der Baustelleneinrichtung bei besonderen Schwierigkeiten und/oder komplexen Baufeldern</t>
  </si>
  <si>
    <t xml:space="preserve">Überwachen der Ausführung des Objekts auf </t>
  </si>
  <si>
    <t xml:space="preserve">Übereinstimmung mit den besonderen bauordnungsrechtlichen Nachweisen für den vorbeugenden und organisatorischen Brandschutz bei baulichen Anlagen besonderer Art und Nutzung, Bestandsbauten oder im Falle von Abweichungen von der Bauordnung. </t>
  </si>
  <si>
    <t>Künstlerische Bauoberleitung</t>
  </si>
  <si>
    <t>Ermitteln von Schadensursachen</t>
  </si>
  <si>
    <t>Technische Erfassung: Baustoffe, Konstruktionen, Installationen.</t>
  </si>
  <si>
    <t xml:space="preserve">Schadstoffe, Energieeffizienz, etc. </t>
  </si>
  <si>
    <t>Prüfung von Maßnahmen zum Schutz von vorhandener Substanz</t>
  </si>
  <si>
    <t xml:space="preserve">Anlalyse und Dokumentation: Auswertung der gewonnenen Daten </t>
  </si>
  <si>
    <t>Sichtung vorhandener Unterlagen: Prüfung und Auswertung</t>
  </si>
  <si>
    <t>vorhandener Pläne, statischer Berechnungen, Gutachten, etc.</t>
  </si>
  <si>
    <t xml:space="preserve">und Erstellung eines Zustandsberichts als Grundlage </t>
  </si>
  <si>
    <t xml:space="preserve"> für die weitere Planung</t>
  </si>
  <si>
    <t>Prüfung zustandsbedingter Kosten-Risiko-Potentiale</t>
  </si>
  <si>
    <t>Prüfung zum Umgang mit Bestandsschutz / Denkmalschutz</t>
  </si>
  <si>
    <t>Digitalisierung von Bestandsplänen</t>
  </si>
  <si>
    <t>Erstellen einer Schadenskartierung inkl. Fotodokumentation</t>
  </si>
  <si>
    <t>Maßliche Erfassung: Bestandsaufmaß</t>
  </si>
  <si>
    <t>zur Feststellung der Umsetzbarkeit</t>
  </si>
  <si>
    <t>Bestandsanalyse / Gestaltungsanalyse</t>
  </si>
  <si>
    <t>Kosten-Nutzen-Analyse</t>
  </si>
  <si>
    <t>Wirtschaftlichkeitsanalyse hinsichtlich Neubau/Abbruch</t>
  </si>
  <si>
    <t>Vorläufiges Honorar (bezogen auf die anrechenbaren Kosten)</t>
  </si>
  <si>
    <t xml:space="preserve">Maßliches, technisches und verformungsgerechtes Aufmaß </t>
  </si>
  <si>
    <t>(z.B. 3D-Laserscanning)</t>
  </si>
  <si>
    <t>einfaches Aufmaß (z.B. Distometer)</t>
  </si>
  <si>
    <t>Maßliche Überprüfung auf Übereinstimmung des Bestandes mit den</t>
  </si>
  <si>
    <t>vorliegenden Planunterlagen</t>
  </si>
  <si>
    <t>Standortanalyse</t>
  </si>
  <si>
    <t>Aufstellung eines Raumprogramms</t>
  </si>
  <si>
    <t>Aufstellung eines Funktionsprogramms</t>
  </si>
  <si>
    <t>Prüfung der Umweltverträglichkeit</t>
  </si>
  <si>
    <t>B14HA150700001</t>
  </si>
  <si>
    <t>Untersuchung alternativer Lösungsmöglichkeiten</t>
  </si>
  <si>
    <t>Wirtschaftlichkeitsberechnungen</t>
  </si>
  <si>
    <t>Visualisierungen</t>
  </si>
  <si>
    <t>pauschal</t>
  </si>
  <si>
    <t>Berechnungen zum Vorentwurf und/oder Entwurf, optionale Leistung</t>
  </si>
  <si>
    <t>Darstellungen (Renderings), die den Vorentwurf und/oder Entwurf realistisch darstellen, 3 Stk.</t>
  </si>
  <si>
    <t>26-004187</t>
  </si>
  <si>
    <t>Vertrags-Nr.:</t>
  </si>
  <si>
    <t>000.792.717</t>
  </si>
  <si>
    <t>Neubau ASG TUM Campus Taufkirchen / Ottobrunn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</si>
</sst>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0.00\ &quot;€&quot;"/>
    <numFmt numFmtId="165" formatCode="0.0000000%"/>
    <numFmt numFmtId="166" formatCode="#,##0;;;@"/>
    <numFmt numFmtId="167" formatCode="#,##0.00;;;@"/>
    <numFmt numFmtId="168" formatCode="#,##0.00%;;;@"/>
    <numFmt numFmtId="169" formatCode="0.0%"/>
    <numFmt numFmtId="170" formatCode="_-* #,##0.00\ [$€-407]_-;\-* #,##0.00\ [$€-407]_-;_-* &quot;-&quot;??\ [$€-407]_-;_-@_-"/>
    <numFmt numFmtId="171" formatCode="_-* #,##0\ [$€-407]_-;\-* #,##0\ [$€-407]_-;_-* &quot;-&quot;\ [$€-407]_-;_-@_-"/>
  </numFmts>
  <fonts count="9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
      <color theme="1"/>
      <name val="Arial"/>
      <family val="2"/>
    </font>
    <font>
      <b/>
      <sz val="14"/>
      <color theme="1"/>
      <name val="Arial"/>
      <family val="2"/>
    </font>
    <font>
      <b/>
      <sz val="10"/>
      <color theme="1"/>
      <name val="Arial"/>
      <family val="2"/>
    </font>
    <font>
      <sz val="9"/>
      <color theme="1"/>
      <name val="Arial"/>
      <family val="2"/>
    </font>
    <font>
      <b/>
      <sz val="8"/>
      <color theme="1"/>
      <name val="Arial"/>
      <family val="2"/>
    </font>
    <font>
      <b/>
      <sz val="9"/>
      <color theme="1"/>
      <name val="Arial"/>
      <family val="2"/>
    </font>
    <font>
      <sz val="8"/>
      <color rgb="FFFF0000"/>
      <name val="Arial"/>
      <family val="2"/>
    </font>
    <font>
      <i/>
      <sz val="8"/>
      <color rgb="FFFF0000"/>
      <name val="Arial"/>
      <family val="2"/>
    </font>
    <font>
      <sz val="11"/>
      <color theme="1"/>
      <name val="Arial"/>
      <family val="2"/>
    </font>
    <font>
      <i/>
      <sz val="10"/>
      <color theme="1"/>
      <name val="Arial"/>
      <family val="2"/>
    </font>
    <font>
      <i/>
      <sz val="10"/>
      <color rgb="FFFF0000"/>
      <name val="Arial"/>
      <family val="2"/>
    </font>
    <font>
      <b/>
      <sz val="10"/>
      <color rgb="FFFF0000"/>
      <name val="Arial"/>
      <family val="2"/>
    </font>
    <font>
      <sz val="8"/>
      <color rgb="FF0070C0"/>
      <name val="Arial"/>
      <family val="2"/>
    </font>
    <font>
      <i/>
      <sz val="8"/>
      <color theme="1"/>
      <name val="Arial"/>
      <family val="2"/>
    </font>
    <font>
      <sz val="10"/>
      <color rgb="FF222222"/>
      <name val="Arial"/>
      <family val="2"/>
    </font>
    <font>
      <sz val="10"/>
      <color theme="1"/>
      <name val="Arial"/>
      <family val="2"/>
    </font>
    <font>
      <sz val="10"/>
      <name val="Arial"/>
      <family val="2"/>
    </font>
    <font>
      <sz val="14"/>
      <color theme="1"/>
      <name val="Arial"/>
      <family val="2"/>
    </font>
    <font>
      <sz val="12"/>
      <color theme="1"/>
      <name val="Arial"/>
      <family val="2"/>
    </font>
    <font>
      <b/>
      <sz val="8"/>
      <color rgb="FFFF0000"/>
      <name val="Arial"/>
      <family val="2"/>
    </font>
    <font>
      <b/>
      <sz val="8"/>
      <name val="Arial"/>
      <family val="2"/>
    </font>
    <font>
      <b/>
      <sz val="10"/>
      <name val="Arial"/>
      <family val="2"/>
    </font>
    <font>
      <sz val="10"/>
      <color rgb="FFDCE6F1"/>
      <name val="Arial"/>
      <family val="2"/>
    </font>
    <font>
      <i/>
      <sz val="8"/>
      <color rgb="FFC00000"/>
      <name val="Arial"/>
      <family val="2"/>
    </font>
    <font>
      <sz val="10"/>
      <color theme="0"/>
      <name val="Arial"/>
      <family val="2"/>
    </font>
    <font>
      <sz val="10"/>
      <color rgb="FFFF0000"/>
      <name val="Arial"/>
      <family val="2"/>
    </font>
    <font>
      <sz val="13"/>
      <color theme="1"/>
      <name val="Arial"/>
      <family val="2"/>
    </font>
    <font>
      <i/>
      <sz val="10"/>
      <name val="Arial"/>
      <family val="2"/>
    </font>
    <font>
      <u/>
      <sz val="10"/>
      <color theme="1"/>
      <name val="Arial"/>
      <family val="2"/>
    </font>
    <font>
      <b/>
      <u/>
      <sz val="10"/>
      <color theme="1"/>
      <name val="Arial"/>
      <family val="2"/>
    </font>
    <font>
      <i/>
      <sz val="10"/>
      <color rgb="FF0070C0"/>
      <name val="Arial"/>
      <family val="2"/>
    </font>
    <font>
      <b/>
      <i/>
      <sz val="8"/>
      <color rgb="FFFF0000"/>
      <name val="Arial"/>
      <family val="2"/>
    </font>
    <font>
      <i/>
      <sz val="9"/>
      <color rgb="FF0070C0"/>
      <name val="Arial"/>
      <family val="2"/>
    </font>
    <font>
      <u/>
      <sz val="10"/>
      <color theme="10"/>
      <name val="Arial"/>
      <family val="2"/>
    </font>
    <font>
      <b/>
      <sz val="12"/>
      <color theme="1"/>
      <name val="Arial"/>
      <family val="2"/>
    </font>
    <font>
      <i/>
      <sz val="8"/>
      <name val="Arial"/>
      <family val="2"/>
    </font>
    <font>
      <sz val="8"/>
      <color theme="4"/>
      <name val="Arial"/>
      <family val="2"/>
    </font>
    <font>
      <i/>
      <u/>
      <sz val="8"/>
      <color theme="1"/>
      <name val="Arial"/>
      <family val="2"/>
    </font>
    <font>
      <b/>
      <i/>
      <sz val="8"/>
      <color rgb="FFC00000"/>
      <name val="Arial"/>
      <family val="2"/>
    </font>
    <font>
      <sz val="12"/>
      <name val="Arial"/>
      <family val="2"/>
    </font>
    <font>
      <i/>
      <sz val="12"/>
      <name val="Arial"/>
      <family val="2"/>
    </font>
    <font>
      <sz val="12"/>
      <color rgb="FF0070C0"/>
      <name val="Arial"/>
      <family val="2"/>
    </font>
    <font>
      <sz val="14"/>
      <name val="Arial"/>
      <family val="2"/>
    </font>
    <font>
      <i/>
      <sz val="12"/>
      <color rgb="FF0070C0"/>
      <name val="Arial"/>
      <family val="2"/>
    </font>
    <font>
      <i/>
      <u/>
      <sz val="10"/>
      <name val="Arial"/>
      <family val="2"/>
    </font>
    <font>
      <i/>
      <u/>
      <sz val="8"/>
      <name val="Arial"/>
      <family val="2"/>
    </font>
    <font>
      <i/>
      <sz val="10"/>
      <color theme="4"/>
      <name val="Arial"/>
      <family val="2"/>
    </font>
    <font>
      <sz val="13"/>
      <name val="Arial"/>
      <family val="2"/>
    </font>
    <font>
      <b/>
      <i/>
      <sz val="10"/>
      <color rgb="FFC00000"/>
      <name val="Arial"/>
      <family val="2"/>
    </font>
    <font>
      <b/>
      <sz val="9"/>
      <name val="Arial"/>
      <family val="2"/>
    </font>
    <font>
      <b/>
      <sz val="9"/>
      <color theme="0"/>
      <name val="Arial"/>
      <family val="2"/>
    </font>
    <font>
      <b/>
      <sz val="10"/>
      <color rgb="FFC00000"/>
      <name val="Arial"/>
      <family val="2"/>
    </font>
    <font>
      <i/>
      <vertAlign val="superscript"/>
      <sz val="8"/>
      <name val="Arial"/>
      <family val="2"/>
    </font>
    <font>
      <sz val="8"/>
      <color theme="4" tint="0.79998168889431442"/>
      <name val="Arial"/>
      <family val="2"/>
    </font>
    <font>
      <sz val="10"/>
      <color theme="1"/>
      <name val="SymbolPS"/>
      <family val="5"/>
      <charset val="2"/>
    </font>
    <font>
      <sz val="13"/>
      <color rgb="FFFF0000"/>
      <name val="SymbolPS"/>
      <family val="5"/>
      <charset val="2"/>
    </font>
    <font>
      <sz val="13"/>
      <color rgb="FFFF0000"/>
      <name val="Arial"/>
      <family val="2"/>
    </font>
    <font>
      <sz val="13"/>
      <color rgb="FFC00000"/>
      <name val="SymbolPS"/>
      <family val="5"/>
      <charset val="2"/>
    </font>
    <font>
      <b/>
      <sz val="13"/>
      <color rgb="FFC00000"/>
      <name val="SymbolPS"/>
      <family val="5"/>
      <charset val="2"/>
    </font>
    <font>
      <sz val="13"/>
      <color rgb="FFC00000"/>
      <name val="Arial"/>
      <family val="2"/>
    </font>
    <font>
      <sz val="7"/>
      <color theme="1"/>
      <name val="Arial"/>
      <family val="2"/>
    </font>
    <font>
      <b/>
      <sz val="7"/>
      <color theme="1"/>
      <name val="Arial"/>
      <family val="2"/>
    </font>
    <font>
      <vertAlign val="superscript"/>
      <sz val="10"/>
      <name val="Arial"/>
      <family val="2"/>
    </font>
    <font>
      <strike/>
      <sz val="10"/>
      <color rgb="FFC00000"/>
      <name val="Arial"/>
      <family val="2"/>
    </font>
    <font>
      <sz val="10"/>
      <color rgb="FF192527"/>
      <name val="Segoe UI"/>
      <family val="2"/>
    </font>
    <font>
      <b/>
      <sz val="14"/>
      <name val="Arial"/>
      <family val="2"/>
    </font>
    <font>
      <sz val="12"/>
      <color rgb="FFFF0000"/>
      <name val="Arial"/>
      <family val="2"/>
    </font>
    <font>
      <sz val="10"/>
      <color rgb="FF7030A0"/>
      <name val="Arial"/>
      <family val="2"/>
    </font>
    <font>
      <sz val="14"/>
      <color rgb="FFFF0000"/>
      <name val="Arial"/>
      <family val="2"/>
    </font>
    <font>
      <b/>
      <u/>
      <sz val="8"/>
      <color theme="1"/>
      <name val="Arial"/>
      <family val="2"/>
    </font>
    <font>
      <b/>
      <sz val="10"/>
      <color rgb="FF000000"/>
      <name val="Arial"/>
      <family val="2"/>
    </font>
    <font>
      <sz val="10"/>
      <color rgb="FF000000"/>
      <name val="Arial"/>
      <family val="2"/>
    </font>
    <font>
      <b/>
      <sz val="11"/>
      <color theme="1"/>
      <name val="Calibri"/>
      <family val="2"/>
      <scheme val="minor"/>
    </font>
    <font>
      <b/>
      <sz val="12"/>
      <color rgb="FF0070C0"/>
      <name val="Calibri"/>
      <family val="2"/>
      <scheme val="minor"/>
    </font>
    <font>
      <sz val="11"/>
      <color rgb="FFC00000"/>
      <name val="Calibri"/>
      <family val="2"/>
      <scheme val="minor"/>
    </font>
    <font>
      <b/>
      <sz val="11"/>
      <color rgb="FFC00000"/>
      <name val="Calibri"/>
      <family val="2"/>
      <scheme val="minor"/>
    </font>
    <font>
      <b/>
      <sz val="11"/>
      <color theme="1"/>
      <name val="Arial"/>
      <family val="2"/>
    </font>
    <font>
      <b/>
      <sz val="11"/>
      <name val="Arial"/>
      <family val="2"/>
    </font>
    <font>
      <b/>
      <sz val="12"/>
      <color theme="0"/>
      <name val="Arial"/>
      <family val="2"/>
    </font>
    <font>
      <u/>
      <sz val="11"/>
      <color theme="1"/>
      <name val="Calibri"/>
      <family val="2"/>
      <scheme val="minor"/>
    </font>
    <font>
      <sz val="10"/>
      <color theme="0" tint="-0.34998626667073579"/>
      <name val="Arial"/>
      <family val="2"/>
    </font>
    <font>
      <b/>
      <sz val="11"/>
      <name val="Calibri"/>
      <family val="2"/>
      <scheme val="minor"/>
    </font>
    <font>
      <sz val="11"/>
      <name val="Calibri"/>
      <family val="2"/>
      <scheme val="minor"/>
    </font>
  </fonts>
  <fills count="2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CC"/>
        <bgColor indexed="64"/>
      </patternFill>
    </fill>
    <fill>
      <patternFill patternType="solid">
        <fgColor rgb="FFDCE6F1"/>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59996337778862885"/>
        <bgColor indexed="64"/>
      </patternFill>
    </fill>
    <fill>
      <patternFill patternType="solid">
        <fgColor theme="1" tint="0.24994659260841701"/>
        <bgColor indexed="64"/>
      </patternFill>
    </fill>
    <fill>
      <patternFill patternType="solid">
        <fgColor theme="0" tint="-0.14996795556505021"/>
        <bgColor indexed="64"/>
      </patternFill>
    </fill>
    <fill>
      <patternFill patternType="solid">
        <fgColor theme="9" tint="0.59996337778862885"/>
        <bgColor indexed="64"/>
      </patternFill>
    </fill>
    <fill>
      <patternFill patternType="solid">
        <fgColor theme="7" tint="0.59996337778862885"/>
        <bgColor indexed="64"/>
      </patternFill>
    </fill>
    <fill>
      <patternFill patternType="solid">
        <fgColor theme="4" tint="-0.249977111117893"/>
        <bgColor theme="4" tint="0.79998168889431442"/>
      </patternFill>
    </fill>
    <fill>
      <patternFill patternType="solid">
        <fgColor rgb="FFFF9966"/>
        <bgColor indexed="64"/>
      </patternFill>
    </fill>
    <fill>
      <patternFill patternType="solid">
        <fgColor theme="3" tint="0.79998168889431442"/>
        <bgColor indexed="64"/>
      </patternFill>
    </fill>
    <fill>
      <patternFill patternType="solid">
        <fgColor rgb="FFCCCCCC"/>
      </patternFill>
    </fill>
    <fill>
      <patternFill patternType="solid">
        <fgColor rgb="FFC8D7EA"/>
        <bgColor indexed="64"/>
      </patternFill>
    </fill>
    <fill>
      <patternFill patternType="solid">
        <fgColor rgb="FFEAF0F6"/>
        <bgColor indexed="64"/>
      </patternFill>
    </fill>
    <fill>
      <patternFill patternType="solid">
        <fgColor rgb="FF0070C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ck">
        <color theme="4" tint="-0.24994659260841701"/>
      </left>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5" tint="-0.24994659260841701"/>
      </left>
      <right/>
      <top style="thick">
        <color theme="5" tint="-0.24994659260841701"/>
      </top>
      <bottom style="thick">
        <color theme="5" tint="-0.24994659260841701"/>
      </bottom>
      <diagonal/>
    </border>
    <border>
      <left/>
      <right style="thick">
        <color theme="5" tint="-0.24994659260841701"/>
      </right>
      <top style="thick">
        <color theme="5" tint="-0.24994659260841701"/>
      </top>
      <bottom style="thick">
        <color theme="5" tint="-0.24994659260841701"/>
      </bottom>
      <diagonal/>
    </border>
    <border>
      <left/>
      <right/>
      <top style="thick">
        <color theme="5" tint="-0.24994659260841701"/>
      </top>
      <bottom style="thick">
        <color theme="5" tint="-0.24994659260841701"/>
      </bottom>
      <diagonal/>
    </border>
    <border>
      <left/>
      <right/>
      <top style="thick">
        <color theme="4" tint="-0.24994659260841701"/>
      </top>
      <bottom style="thick">
        <color theme="4" tint="-0.24994659260841701"/>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hair">
        <color indexed="64"/>
      </bottom>
      <diagonal/>
    </border>
    <border>
      <left/>
      <right style="thin">
        <color indexed="64"/>
      </right>
      <top style="hair">
        <color indexed="64"/>
      </top>
      <bottom/>
      <diagonal/>
    </border>
    <border>
      <left style="hair">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style="thin">
        <color indexed="64"/>
      </right>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right style="medium">
        <color indexed="64"/>
      </right>
      <top/>
      <bottom/>
      <diagonal/>
    </border>
    <border>
      <left/>
      <right style="hair">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bottom/>
      <diagonal/>
    </border>
    <border>
      <left/>
      <right/>
      <top style="thin">
        <color indexed="64"/>
      </top>
      <bottom style="medium">
        <color indexed="64"/>
      </bottom>
      <diagonal/>
    </border>
    <border>
      <left style="hair">
        <color indexed="64"/>
      </left>
      <right style="hair">
        <color indexed="64"/>
      </right>
      <top/>
      <bottom style="hair">
        <color indexed="64"/>
      </bottom>
      <diagonal/>
    </border>
    <border>
      <left style="hair">
        <color indexed="64"/>
      </left>
      <right/>
      <top/>
      <bottom style="thin">
        <color indexed="64"/>
      </bottom>
      <diagonal/>
    </border>
    <border>
      <left style="medium">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style="thin">
        <color indexed="64"/>
      </right>
      <top style="thin">
        <color indexed="64"/>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style="medium">
        <color indexed="64"/>
      </left>
      <right/>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thin">
        <color indexed="64"/>
      </top>
      <bottom style="thin">
        <color indexed="64"/>
      </bottom>
      <diagonal/>
    </border>
    <border>
      <left/>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4">
    <xf numFmtId="0" fontId="0" fillId="0" borderId="0"/>
    <xf numFmtId="0" fontId="7" fillId="0" borderId="0"/>
    <xf numFmtId="0" fontId="6" fillId="0" borderId="0"/>
    <xf numFmtId="0" fontId="42" fillId="0" borderId="0" applyNumberFormat="0" applyFill="0" applyBorder="0" applyAlignment="0" applyProtection="0"/>
    <xf numFmtId="0" fontId="5" fillId="0" borderId="0"/>
    <xf numFmtId="0" fontId="5" fillId="0" borderId="0"/>
    <xf numFmtId="44" fontId="24" fillId="0" borderId="0" applyFont="0" applyFill="0" applyBorder="0" applyAlignment="0" applyProtection="0"/>
    <xf numFmtId="0" fontId="4" fillId="0" borderId="0"/>
    <xf numFmtId="0" fontId="4" fillId="0" borderId="0"/>
    <xf numFmtId="0" fontId="4" fillId="0" borderId="0"/>
    <xf numFmtId="0" fontId="4" fillId="0" borderId="0"/>
    <xf numFmtId="44" fontId="24" fillId="0" borderId="0" applyFont="0" applyFill="0" applyBorder="0" applyAlignment="0" applyProtection="0"/>
    <xf numFmtId="0" fontId="3" fillId="0" borderId="0"/>
    <xf numFmtId="0" fontId="3" fillId="0" borderId="0"/>
  </cellStyleXfs>
  <cellXfs count="2152">
    <xf numFmtId="0" fontId="0" fillId="0" borderId="0" xfId="0"/>
    <xf numFmtId="0" fontId="0" fillId="0" borderId="0" xfId="0" applyAlignment="1" applyProtection="1">
      <alignment vertical="top"/>
      <protection hidden="1"/>
    </xf>
    <xf numFmtId="0" fontId="13" fillId="0" borderId="12" xfId="0" applyFont="1" applyBorder="1" applyAlignment="1" applyProtection="1">
      <alignment horizontal="center" vertical="top"/>
      <protection hidden="1"/>
    </xf>
    <xf numFmtId="0" fontId="9" fillId="0" borderId="5" xfId="0" applyFont="1" applyBorder="1" applyAlignment="1" applyProtection="1">
      <alignment vertical="top"/>
      <protection hidden="1"/>
    </xf>
    <xf numFmtId="0" fontId="9" fillId="0" borderId="11" xfId="0" applyFont="1" applyBorder="1" applyAlignment="1" applyProtection="1">
      <alignment vertical="top"/>
      <protection hidden="1"/>
    </xf>
    <xf numFmtId="16" fontId="11" fillId="0" borderId="0" xfId="0" quotePrefix="1" applyNumberFormat="1" applyFont="1" applyAlignment="1" applyProtection="1">
      <alignment vertical="top"/>
      <protection hidden="1"/>
    </xf>
    <xf numFmtId="0" fontId="11" fillId="0" borderId="2" xfId="0" applyFont="1" applyBorder="1" applyAlignment="1" applyProtection="1">
      <alignment vertical="top"/>
      <protection hidden="1"/>
    </xf>
    <xf numFmtId="0" fontId="0" fillId="0" borderId="3" xfId="0" applyBorder="1" applyAlignment="1" applyProtection="1">
      <alignment vertical="top"/>
      <protection hidden="1"/>
    </xf>
    <xf numFmtId="0" fontId="0" fillId="0" borderId="6" xfId="0" applyBorder="1" applyAlignment="1" applyProtection="1">
      <alignment vertical="top"/>
      <protection hidden="1"/>
    </xf>
    <xf numFmtId="0" fontId="0" fillId="0" borderId="0" xfId="0" applyAlignment="1" applyProtection="1">
      <alignment vertical="top" wrapText="1"/>
      <protection hidden="1"/>
    </xf>
    <xf numFmtId="0" fontId="0" fillId="0" borderId="0" xfId="0" applyAlignment="1" applyProtection="1">
      <alignment horizontal="center" vertical="top" wrapText="1"/>
      <protection hidden="1"/>
    </xf>
    <xf numFmtId="0" fontId="0" fillId="0" borderId="11" xfId="0" applyBorder="1" applyAlignment="1" applyProtection="1">
      <alignment vertical="top"/>
      <protection hidden="1"/>
    </xf>
    <xf numFmtId="0" fontId="13" fillId="0" borderId="0" xfId="0" applyFont="1" applyAlignment="1" applyProtection="1">
      <alignment horizontal="center" vertical="top"/>
      <protection hidden="1"/>
    </xf>
    <xf numFmtId="16" fontId="9" fillId="0" borderId="0" xfId="0" quotePrefix="1" applyNumberFormat="1" applyFont="1" applyAlignment="1" applyProtection="1">
      <alignment horizontal="center" vertical="top"/>
      <protection hidden="1"/>
    </xf>
    <xf numFmtId="0" fontId="9" fillId="0" borderId="0" xfId="0" applyFont="1" applyAlignment="1" applyProtection="1">
      <alignment vertical="top"/>
      <protection hidden="1"/>
    </xf>
    <xf numFmtId="0" fontId="16" fillId="0" borderId="0" xfId="0" applyFont="1" applyAlignment="1" applyProtection="1">
      <alignment vertical="top"/>
      <protection hidden="1"/>
    </xf>
    <xf numFmtId="0" fontId="18" fillId="0" borderId="0" xfId="0" applyFont="1" applyAlignment="1" applyProtection="1">
      <alignment horizontal="center" vertical="top"/>
      <protection hidden="1"/>
    </xf>
    <xf numFmtId="0" fontId="11" fillId="0" borderId="9" xfId="0" applyFont="1" applyBorder="1" applyAlignment="1" applyProtection="1">
      <alignment horizontal="center" vertical="center" wrapText="1"/>
      <protection hidden="1"/>
    </xf>
    <xf numFmtId="0" fontId="9" fillId="0" borderId="14" xfId="0" applyFont="1" applyBorder="1" applyAlignment="1" applyProtection="1">
      <alignment horizontal="center" vertical="top" wrapText="1"/>
      <protection hidden="1"/>
    </xf>
    <xf numFmtId="16" fontId="9" fillId="0" borderId="12" xfId="0" quotePrefix="1" applyNumberFormat="1" applyFont="1" applyBorder="1" applyAlignment="1" applyProtection="1">
      <alignment horizontal="center" vertical="top"/>
      <protection hidden="1"/>
    </xf>
    <xf numFmtId="0" fontId="0" fillId="0" borderId="11" xfId="0" applyBorder="1" applyAlignment="1" applyProtection="1">
      <alignment vertical="center"/>
      <protection hidden="1"/>
    </xf>
    <xf numFmtId="0" fontId="0" fillId="0" borderId="0" xfId="0" applyAlignment="1" applyProtection="1">
      <alignment vertical="center"/>
      <protection hidden="1"/>
    </xf>
    <xf numFmtId="0" fontId="0" fillId="0" borderId="13" xfId="0" applyBorder="1" applyAlignment="1" applyProtection="1">
      <alignment vertical="top"/>
      <protection hidden="1"/>
    </xf>
    <xf numFmtId="0" fontId="15" fillId="0" borderId="0" xfId="0" applyFont="1" applyAlignment="1" applyProtection="1">
      <alignment vertical="top"/>
      <protection hidden="1"/>
    </xf>
    <xf numFmtId="0" fontId="0" fillId="0" borderId="10" xfId="0" applyBorder="1" applyAlignment="1" applyProtection="1">
      <alignment vertical="top"/>
      <protection hidden="1"/>
    </xf>
    <xf numFmtId="0" fontId="0" fillId="0" borderId="4" xfId="0" applyBorder="1" applyAlignment="1" applyProtection="1">
      <alignment vertical="top"/>
      <protection hidden="1"/>
    </xf>
    <xf numFmtId="0" fontId="0" fillId="0" borderId="7" xfId="0" applyBorder="1" applyAlignment="1" applyProtection="1">
      <alignment vertical="top"/>
      <protection hidden="1"/>
    </xf>
    <xf numFmtId="4" fontId="11" fillId="0" borderId="3" xfId="0" applyNumberFormat="1" applyFont="1" applyBorder="1" applyAlignment="1" applyProtection="1">
      <alignment vertical="top"/>
      <protection hidden="1"/>
    </xf>
    <xf numFmtId="0" fontId="10" fillId="0" borderId="8" xfId="0" applyFont="1" applyBorder="1" applyAlignment="1" applyProtection="1">
      <alignment horizontal="left" vertical="center"/>
      <protection hidden="1"/>
    </xf>
    <xf numFmtId="0" fontId="26" fillId="0" borderId="9" xfId="0" applyFont="1" applyBorder="1" applyAlignment="1" applyProtection="1">
      <alignment horizontal="left" vertical="center"/>
      <protection hidden="1"/>
    </xf>
    <xf numFmtId="0" fontId="26" fillId="0" borderId="10" xfId="0" applyFont="1" applyBorder="1" applyAlignment="1" applyProtection="1">
      <alignment horizontal="left" vertical="center"/>
      <protection hidden="1"/>
    </xf>
    <xf numFmtId="0" fontId="18" fillId="0" borderId="0" xfId="0" applyFont="1" applyAlignment="1" applyProtection="1">
      <alignment horizontal="left" vertical="top"/>
      <protection hidden="1"/>
    </xf>
    <xf numFmtId="0" fontId="0" fillId="0" borderId="0" xfId="0" applyAlignment="1" applyProtection="1">
      <alignment horizontal="center" vertical="center" wrapText="1"/>
      <protection hidden="1"/>
    </xf>
    <xf numFmtId="0" fontId="14" fillId="0" borderId="9" xfId="1" applyFont="1" applyBorder="1" applyAlignment="1" applyProtection="1">
      <alignment vertical="center"/>
      <protection hidden="1"/>
    </xf>
    <xf numFmtId="0" fontId="9" fillId="0" borderId="15" xfId="0" applyFont="1" applyBorder="1" applyAlignment="1" applyProtection="1">
      <alignment vertical="top"/>
      <protection hidden="1"/>
    </xf>
    <xf numFmtId="0" fontId="20" fillId="0" borderId="0" xfId="0" applyFont="1" applyAlignment="1" applyProtection="1">
      <alignment vertical="center"/>
      <protection hidden="1"/>
    </xf>
    <xf numFmtId="0" fontId="13" fillId="0" borderId="9" xfId="1" applyFont="1" applyBorder="1" applyAlignment="1" applyProtection="1">
      <alignment horizontal="right" vertical="center"/>
      <protection hidden="1"/>
    </xf>
    <xf numFmtId="0" fontId="13" fillId="0" borderId="1" xfId="0" applyFont="1" applyBorder="1" applyAlignment="1" applyProtection="1">
      <alignment horizontal="center" vertical="top" wrapText="1"/>
      <protection hidden="1"/>
    </xf>
    <xf numFmtId="0" fontId="13" fillId="0" borderId="0" xfId="0" applyFont="1" applyAlignment="1" applyProtection="1">
      <alignment vertical="top"/>
      <protection hidden="1"/>
    </xf>
    <xf numFmtId="0" fontId="9" fillId="0" borderId="7" xfId="0" applyFont="1" applyBorder="1" applyAlignment="1" applyProtection="1">
      <alignment vertical="top"/>
      <protection hidden="1"/>
    </xf>
    <xf numFmtId="0" fontId="9" fillId="0" borderId="12" xfId="0" applyFont="1" applyBorder="1" applyAlignment="1" applyProtection="1">
      <alignment vertical="top"/>
      <protection hidden="1"/>
    </xf>
    <xf numFmtId="0" fontId="13" fillId="0" borderId="15" xfId="0" applyFont="1" applyBorder="1" applyAlignment="1" applyProtection="1">
      <alignment horizontal="center" vertical="top" wrapText="1"/>
      <protection hidden="1"/>
    </xf>
    <xf numFmtId="0" fontId="20" fillId="0" borderId="9" xfId="0" applyFont="1" applyBorder="1" applyAlignment="1" applyProtection="1">
      <alignment vertical="center"/>
      <protection hidden="1"/>
    </xf>
    <xf numFmtId="0" fontId="20" fillId="0" borderId="10" xfId="0" applyFont="1" applyBorder="1" applyAlignment="1" applyProtection="1">
      <alignment vertical="center"/>
      <protection hidden="1"/>
    </xf>
    <xf numFmtId="0" fontId="22" fillId="0" borderId="0" xfId="0" applyFont="1" applyAlignment="1" applyProtection="1">
      <alignment vertical="top"/>
      <protection hidden="1"/>
    </xf>
    <xf numFmtId="0" fontId="28" fillId="0" borderId="6" xfId="0" applyFont="1" applyBorder="1" applyAlignment="1" applyProtection="1">
      <alignment vertical="top"/>
      <protection hidden="1"/>
    </xf>
    <xf numFmtId="0" fontId="13" fillId="0" borderId="14" xfId="0" applyFont="1" applyBorder="1" applyAlignment="1" applyProtection="1">
      <alignment horizontal="left" vertical="top"/>
      <protection hidden="1"/>
    </xf>
    <xf numFmtId="0" fontId="13" fillId="0" borderId="11" xfId="0" applyFont="1" applyBorder="1" applyAlignment="1" applyProtection="1">
      <alignment vertical="top" wrapText="1"/>
      <protection hidden="1"/>
    </xf>
    <xf numFmtId="0" fontId="0" fillId="0" borderId="13" xfId="0" applyBorder="1" applyAlignment="1" applyProtection="1">
      <alignment horizontal="center" vertical="top" wrapText="1"/>
      <protection hidden="1"/>
    </xf>
    <xf numFmtId="0" fontId="13" fillId="3" borderId="4" xfId="0" applyFont="1" applyFill="1" applyBorder="1" applyAlignment="1" applyProtection="1">
      <alignment horizontal="center" vertical="top" wrapText="1"/>
      <protection hidden="1"/>
    </xf>
    <xf numFmtId="0" fontId="9" fillId="3" borderId="5" xfId="0" applyFont="1" applyFill="1" applyBorder="1" applyAlignment="1" applyProtection="1">
      <alignment horizontal="left" vertical="center"/>
      <protection hidden="1"/>
    </xf>
    <xf numFmtId="4" fontId="25" fillId="3" borderId="7" xfId="0" applyNumberFormat="1" applyFont="1" applyFill="1" applyBorder="1" applyAlignment="1" applyProtection="1">
      <alignment horizontal="right" vertical="center"/>
      <protection hidden="1"/>
    </xf>
    <xf numFmtId="0" fontId="9" fillId="0" borderId="15" xfId="0" applyFont="1" applyBorder="1" applyAlignment="1" applyProtection="1">
      <alignment horizontal="center" vertical="top" wrapText="1"/>
      <protection hidden="1"/>
    </xf>
    <xf numFmtId="0" fontId="11" fillId="3" borderId="3" xfId="0" applyFont="1" applyFill="1" applyBorder="1" applyAlignment="1" applyProtection="1">
      <alignment vertical="center"/>
      <protection hidden="1"/>
    </xf>
    <xf numFmtId="0" fontId="11" fillId="3" borderId="2" xfId="0" applyFont="1" applyFill="1" applyBorder="1" applyAlignment="1" applyProtection="1">
      <alignment vertical="top"/>
      <protection hidden="1"/>
    </xf>
    <xf numFmtId="0" fontId="0" fillId="4" borderId="8" xfId="0" applyFill="1" applyBorder="1" applyAlignment="1" applyProtection="1">
      <alignment vertical="top"/>
      <protection hidden="1"/>
    </xf>
    <xf numFmtId="2" fontId="20" fillId="0" borderId="0" xfId="0" applyNumberFormat="1" applyFont="1" applyAlignment="1" applyProtection="1">
      <alignment horizontal="center" vertical="center"/>
      <protection hidden="1"/>
    </xf>
    <xf numFmtId="16" fontId="9" fillId="0" borderId="5" xfId="0" quotePrefix="1" applyNumberFormat="1" applyFont="1" applyBorder="1" applyAlignment="1" applyProtection="1">
      <alignment horizontal="center" vertical="top"/>
      <protection hidden="1"/>
    </xf>
    <xf numFmtId="0" fontId="9" fillId="0" borderId="2" xfId="0" applyFont="1" applyBorder="1" applyAlignment="1" applyProtection="1">
      <alignment horizontal="center" vertical="top" wrapText="1"/>
      <protection hidden="1"/>
    </xf>
    <xf numFmtId="166" fontId="0" fillId="0" borderId="15" xfId="0" applyNumberFormat="1" applyBorder="1" applyAlignment="1" applyProtection="1">
      <alignment horizontal="center" vertical="center"/>
      <protection hidden="1"/>
    </xf>
    <xf numFmtId="0" fontId="0" fillId="0" borderId="14" xfId="0" applyBorder="1" applyAlignment="1" applyProtection="1">
      <alignment horizontal="center" vertical="top" wrapText="1"/>
      <protection hidden="1"/>
    </xf>
    <xf numFmtId="0" fontId="11" fillId="0" borderId="14" xfId="0" applyFont="1" applyBorder="1" applyAlignment="1" applyProtection="1">
      <alignment horizontal="center" vertical="top" wrapText="1"/>
      <protection hidden="1"/>
    </xf>
    <xf numFmtId="0" fontId="12" fillId="0" borderId="10" xfId="1" applyFont="1" applyBorder="1" applyAlignment="1" applyProtection="1">
      <alignment wrapText="1"/>
      <protection hidden="1"/>
    </xf>
    <xf numFmtId="0" fontId="12" fillId="0" borderId="9" xfId="1" applyFont="1" applyBorder="1" applyProtection="1">
      <protection hidden="1"/>
    </xf>
    <xf numFmtId="166" fontId="11" fillId="0" borderId="6" xfId="0" applyNumberFormat="1" applyFont="1" applyBorder="1" applyAlignment="1" applyProtection="1">
      <alignment horizontal="center" vertical="top"/>
      <protection hidden="1"/>
    </xf>
    <xf numFmtId="167" fontId="0" fillId="0" borderId="1" xfId="0" applyNumberFormat="1" applyBorder="1" applyAlignment="1" applyProtection="1">
      <alignment vertical="top"/>
      <protection hidden="1"/>
    </xf>
    <xf numFmtId="167" fontId="0" fillId="0" borderId="1" xfId="0" applyNumberFormat="1" applyBorder="1" applyAlignment="1" applyProtection="1">
      <alignment vertical="center"/>
      <protection hidden="1"/>
    </xf>
    <xf numFmtId="16" fontId="9" fillId="0" borderId="0" xfId="0" quotePrefix="1" applyNumberFormat="1" applyFont="1" applyAlignment="1" applyProtection="1">
      <alignment vertical="top"/>
      <protection hidden="1"/>
    </xf>
    <xf numFmtId="16" fontId="9" fillId="0" borderId="0" xfId="0" quotePrefix="1" applyNumberFormat="1" applyFont="1" applyAlignment="1" applyProtection="1">
      <alignment horizontal="right" vertical="top"/>
      <protection hidden="1"/>
    </xf>
    <xf numFmtId="167" fontId="9" fillId="0" borderId="15" xfId="0" applyNumberFormat="1" applyFont="1" applyBorder="1" applyAlignment="1" applyProtection="1">
      <alignment vertical="top"/>
      <protection hidden="1"/>
    </xf>
    <xf numFmtId="167" fontId="9" fillId="0" borderId="12" xfId="0" applyNumberFormat="1" applyFont="1" applyBorder="1" applyAlignment="1" applyProtection="1">
      <alignment vertical="top"/>
      <protection hidden="1"/>
    </xf>
    <xf numFmtId="167" fontId="11" fillId="0" borderId="16" xfId="0" applyNumberFormat="1" applyFont="1" applyBorder="1" applyAlignment="1" applyProtection="1">
      <alignment vertical="top"/>
      <protection hidden="1"/>
    </xf>
    <xf numFmtId="0" fontId="18" fillId="0" borderId="0" xfId="0" applyFont="1" applyAlignment="1" applyProtection="1">
      <alignment vertical="top"/>
      <protection locked="0" hidden="1"/>
    </xf>
    <xf numFmtId="0" fontId="31" fillId="6" borderId="8" xfId="0" applyFont="1" applyFill="1" applyBorder="1" applyAlignment="1" applyProtection="1">
      <alignment vertical="top"/>
      <protection hidden="1"/>
    </xf>
    <xf numFmtId="0" fontId="0" fillId="0" borderId="14" xfId="0" applyBorder="1" applyAlignment="1" applyProtection="1">
      <alignment vertical="top"/>
      <protection hidden="1"/>
    </xf>
    <xf numFmtId="0" fontId="0" fillId="0" borderId="9" xfId="0" applyBorder="1" applyAlignment="1" applyProtection="1">
      <alignment vertical="top"/>
      <protection hidden="1"/>
    </xf>
    <xf numFmtId="0" fontId="11" fillId="0" borderId="9" xfId="0" applyFont="1" applyBorder="1" applyAlignment="1" applyProtection="1">
      <alignment vertical="top"/>
      <protection hidden="1"/>
    </xf>
    <xf numFmtId="16" fontId="11" fillId="0" borderId="3" xfId="0" quotePrefix="1" applyNumberFormat="1" applyFont="1" applyBorder="1" applyAlignment="1" applyProtection="1">
      <alignment vertical="top"/>
      <protection hidden="1"/>
    </xf>
    <xf numFmtId="167" fontId="13" fillId="0" borderId="1" xfId="0" applyNumberFormat="1" applyFont="1" applyBorder="1" applyAlignment="1" applyProtection="1">
      <alignment horizontal="center" vertical="top" wrapText="1"/>
      <protection hidden="1"/>
    </xf>
    <xf numFmtId="0" fontId="9" fillId="0" borderId="12" xfId="0" applyFont="1" applyBorder="1" applyAlignment="1" applyProtection="1">
      <alignment horizontal="center" vertical="top" wrapText="1"/>
      <protection hidden="1"/>
    </xf>
    <xf numFmtId="10" fontId="0" fillId="5" borderId="1" xfId="0" applyNumberFormat="1" applyFill="1" applyBorder="1" applyAlignment="1" applyProtection="1">
      <alignment horizontal="center" vertical="top"/>
      <protection locked="0"/>
    </xf>
    <xf numFmtId="0" fontId="0" fillId="0" borderId="0" xfId="0" applyAlignment="1" applyProtection="1">
      <alignment horizontal="right" vertical="center"/>
      <protection hidden="1"/>
    </xf>
    <xf numFmtId="4" fontId="0" fillId="0" borderId="1" xfId="0" applyNumberFormat="1" applyBorder="1" applyAlignment="1" applyProtection="1">
      <alignment vertical="top"/>
      <protection hidden="1"/>
    </xf>
    <xf numFmtId="0" fontId="13" fillId="0" borderId="5" xfId="0" applyFont="1" applyBorder="1" applyAlignment="1" applyProtection="1">
      <alignment vertical="center" wrapText="1"/>
      <protection hidden="1"/>
    </xf>
    <xf numFmtId="0" fontId="13" fillId="0" borderId="9" xfId="0" applyFont="1" applyBorder="1" applyAlignment="1" applyProtection="1">
      <alignment vertical="top"/>
      <protection hidden="1"/>
    </xf>
    <xf numFmtId="0" fontId="0" fillId="0" borderId="0" xfId="0" applyAlignment="1" applyProtection="1">
      <alignment vertical="top"/>
      <protection locked="0" hidden="1"/>
    </xf>
    <xf numFmtId="0" fontId="17" fillId="0" borderId="0" xfId="1" applyFont="1" applyProtection="1">
      <protection hidden="1"/>
    </xf>
    <xf numFmtId="0" fontId="0" fillId="0" borderId="0" xfId="1" applyFont="1" applyProtection="1">
      <protection hidden="1"/>
    </xf>
    <xf numFmtId="0" fontId="0" fillId="0" borderId="0" xfId="1" applyFont="1" applyAlignment="1" applyProtection="1">
      <alignment vertical="top"/>
      <protection locked="0" hidden="1"/>
    </xf>
    <xf numFmtId="0" fontId="0" fillId="0" borderId="0" xfId="1" applyFont="1" applyAlignment="1" applyProtection="1">
      <alignment wrapText="1"/>
      <protection hidden="1"/>
    </xf>
    <xf numFmtId="0" fontId="0" fillId="0" borderId="0" xfId="1" applyFont="1" applyAlignment="1" applyProtection="1">
      <alignment vertical="top" wrapText="1"/>
      <protection locked="0" hidden="1"/>
    </xf>
    <xf numFmtId="0" fontId="0" fillId="0" borderId="0" xfId="1" applyFont="1" applyAlignment="1" applyProtection="1">
      <alignment vertical="top"/>
      <protection hidden="1"/>
    </xf>
    <xf numFmtId="0" fontId="0" fillId="0" borderId="0" xfId="1" applyFont="1" applyAlignment="1" applyProtection="1">
      <alignment vertical="center"/>
      <protection hidden="1"/>
    </xf>
    <xf numFmtId="0" fontId="0" fillId="0" borderId="0" xfId="1" applyFont="1" applyAlignment="1" applyProtection="1">
      <alignment vertical="center"/>
      <protection locked="0" hidden="1"/>
    </xf>
    <xf numFmtId="0" fontId="24" fillId="0" borderId="0" xfId="1" applyFont="1" applyProtection="1">
      <protection hidden="1"/>
    </xf>
    <xf numFmtId="0" fontId="24" fillId="0" borderId="0" xfId="1" applyFont="1" applyAlignment="1" applyProtection="1">
      <alignment vertical="top"/>
      <protection hidden="1"/>
    </xf>
    <xf numFmtId="0" fontId="24" fillId="4" borderId="1" xfId="1" applyFont="1" applyFill="1" applyBorder="1" applyAlignment="1" applyProtection="1">
      <alignment vertical="top"/>
      <protection hidden="1"/>
    </xf>
    <xf numFmtId="0" fontId="24" fillId="4" borderId="1" xfId="1" applyFont="1" applyFill="1" applyBorder="1" applyAlignment="1" applyProtection="1">
      <alignment vertical="center"/>
      <protection hidden="1"/>
    </xf>
    <xf numFmtId="0" fontId="24" fillId="4" borderId="14" xfId="1" applyFont="1" applyFill="1" applyBorder="1" applyProtection="1">
      <protection hidden="1"/>
    </xf>
    <xf numFmtId="0" fontId="24" fillId="4" borderId="15" xfId="1" applyFont="1" applyFill="1" applyBorder="1" applyProtection="1">
      <protection hidden="1"/>
    </xf>
    <xf numFmtId="0" fontId="35" fillId="4" borderId="1" xfId="1" applyFont="1" applyFill="1" applyBorder="1" applyAlignment="1" applyProtection="1">
      <alignment vertical="top"/>
      <protection hidden="1"/>
    </xf>
    <xf numFmtId="0" fontId="35" fillId="4" borderId="14" xfId="1" applyFont="1" applyFill="1" applyBorder="1" applyAlignment="1" applyProtection="1">
      <alignment vertical="top"/>
      <protection hidden="1"/>
    </xf>
    <xf numFmtId="0" fontId="35" fillId="4" borderId="14" xfId="1" applyFont="1" applyFill="1" applyBorder="1" applyAlignment="1" applyProtection="1">
      <alignment vertical="center"/>
      <protection hidden="1"/>
    </xf>
    <xf numFmtId="0" fontId="0" fillId="0" borderId="12" xfId="0" applyBorder="1" applyAlignment="1" applyProtection="1">
      <alignment vertical="top"/>
      <protection hidden="1"/>
    </xf>
    <xf numFmtId="0" fontId="0" fillId="0" borderId="15" xfId="0" applyBorder="1" applyAlignment="1" applyProtection="1">
      <alignment vertical="top"/>
      <protection hidden="1"/>
    </xf>
    <xf numFmtId="0" fontId="0" fillId="6" borderId="8" xfId="0" applyFill="1" applyBorder="1" applyAlignment="1" applyProtection="1">
      <alignment vertical="top"/>
      <protection hidden="1"/>
    </xf>
    <xf numFmtId="0" fontId="20" fillId="0" borderId="0" xfId="0" applyFont="1" applyAlignment="1" applyProtection="1">
      <alignment horizontal="left" vertical="center"/>
      <protection hidden="1"/>
    </xf>
    <xf numFmtId="0" fontId="0" fillId="3" borderId="3" xfId="0" applyFill="1" applyBorder="1" applyAlignment="1" applyProtection="1">
      <alignment vertical="top"/>
      <protection hidden="1"/>
    </xf>
    <xf numFmtId="0" fontId="0" fillId="3" borderId="6" xfId="0" applyFill="1" applyBorder="1" applyAlignment="1" applyProtection="1">
      <alignment vertical="top"/>
      <protection hidden="1"/>
    </xf>
    <xf numFmtId="0" fontId="0" fillId="3" borderId="6" xfId="0" applyFill="1" applyBorder="1" applyAlignment="1" applyProtection="1">
      <alignment horizontal="left" vertical="center" wrapText="1"/>
      <protection hidden="1"/>
    </xf>
    <xf numFmtId="0" fontId="0" fillId="0" borderId="5" xfId="0" applyBorder="1" applyAlignment="1" applyProtection="1">
      <alignment vertical="top" wrapText="1"/>
      <protection hidden="1"/>
    </xf>
    <xf numFmtId="0" fontId="0" fillId="0" borderId="0" xfId="0" applyAlignment="1" applyProtection="1">
      <alignment horizontal="left" vertical="center"/>
      <protection hidden="1"/>
    </xf>
    <xf numFmtId="0" fontId="0" fillId="0" borderId="5" xfId="0" applyBorder="1" applyAlignment="1" applyProtection="1">
      <alignment vertical="top"/>
      <protection hidden="1"/>
    </xf>
    <xf numFmtId="0" fontId="0" fillId="0" borderId="2" xfId="0" applyBorder="1" applyAlignment="1" applyProtection="1">
      <alignment vertical="top"/>
      <protection hidden="1"/>
    </xf>
    <xf numFmtId="4" fontId="0" fillId="0" borderId="11" xfId="0" applyNumberFormat="1" applyBorder="1" applyAlignment="1" applyProtection="1">
      <alignment vertical="top"/>
      <protection hidden="1"/>
    </xf>
    <xf numFmtId="167" fontId="0" fillId="0" borderId="11" xfId="0" applyNumberFormat="1" applyBorder="1" applyAlignment="1" applyProtection="1">
      <alignment vertical="top"/>
      <protection hidden="1"/>
    </xf>
    <xf numFmtId="167" fontId="0" fillId="0" borderId="0" xfId="0" applyNumberFormat="1" applyAlignment="1" applyProtection="1">
      <alignment vertical="top"/>
      <protection hidden="1"/>
    </xf>
    <xf numFmtId="4" fontId="0" fillId="0" borderId="5" xfId="0" applyNumberFormat="1" applyBorder="1" applyAlignment="1" applyProtection="1">
      <alignment vertical="top"/>
      <protection hidden="1"/>
    </xf>
    <xf numFmtId="167" fontId="0" fillId="0" borderId="5" xfId="0" applyNumberFormat="1" applyBorder="1" applyAlignment="1" applyProtection="1">
      <alignment vertical="top"/>
      <protection hidden="1"/>
    </xf>
    <xf numFmtId="167" fontId="0" fillId="0" borderId="7" xfId="0" applyNumberFormat="1" applyBorder="1" applyAlignment="1" applyProtection="1">
      <alignment vertical="top"/>
      <protection hidden="1"/>
    </xf>
    <xf numFmtId="167" fontId="0" fillId="0" borderId="12" xfId="0" applyNumberFormat="1" applyBorder="1" applyAlignment="1" applyProtection="1">
      <alignment vertical="top"/>
      <protection hidden="1"/>
    </xf>
    <xf numFmtId="3" fontId="0" fillId="0" borderId="1" xfId="0" applyNumberFormat="1" applyBorder="1" applyAlignment="1" applyProtection="1">
      <alignment horizontal="center" vertical="top" wrapText="1"/>
      <protection hidden="1"/>
    </xf>
    <xf numFmtId="3" fontId="0" fillId="0" borderId="1" xfId="0" applyNumberFormat="1" applyBorder="1" applyAlignment="1" applyProtection="1">
      <alignment vertical="top"/>
      <protection hidden="1"/>
    </xf>
    <xf numFmtId="3" fontId="0" fillId="0" borderId="17" xfId="0" applyNumberFormat="1" applyBorder="1" applyAlignment="1" applyProtection="1">
      <alignment vertical="top"/>
      <protection hidden="1"/>
    </xf>
    <xf numFmtId="3" fontId="0" fillId="0" borderId="12" xfId="0" applyNumberFormat="1" applyBorder="1" applyAlignment="1" applyProtection="1">
      <alignment vertical="top"/>
      <protection hidden="1"/>
    </xf>
    <xf numFmtId="0" fontId="33" fillId="0" borderId="0" xfId="0" applyFont="1" applyAlignment="1" applyProtection="1">
      <alignment vertical="top"/>
      <protection hidden="1"/>
    </xf>
    <xf numFmtId="0" fontId="33" fillId="0" borderId="0" xfId="1" applyFont="1" applyProtection="1">
      <protection hidden="1"/>
    </xf>
    <xf numFmtId="0" fontId="33" fillId="0" borderId="0" xfId="1" applyFont="1" applyAlignment="1" applyProtection="1">
      <alignment horizontal="left" vertical="top"/>
      <protection hidden="1"/>
    </xf>
    <xf numFmtId="0" fontId="36" fillId="0" borderId="0" xfId="1" applyFont="1" applyAlignment="1" applyProtection="1">
      <alignment vertical="top"/>
      <protection locked="0" hidden="1"/>
    </xf>
    <xf numFmtId="0" fontId="25" fillId="0" borderId="0" xfId="0" applyFont="1" applyAlignment="1" applyProtection="1">
      <alignment vertical="top"/>
      <protection hidden="1"/>
    </xf>
    <xf numFmtId="0" fontId="25" fillId="0" borderId="0" xfId="0" applyFont="1" applyAlignment="1" applyProtection="1">
      <alignment vertical="top"/>
      <protection locked="0" hidden="1"/>
    </xf>
    <xf numFmtId="0" fontId="25" fillId="0" borderId="0" xfId="1" applyFont="1" applyAlignment="1" applyProtection="1">
      <alignment vertical="top"/>
      <protection locked="0" hidden="1"/>
    </xf>
    <xf numFmtId="0" fontId="25" fillId="0" borderId="0" xfId="1" applyFont="1" applyProtection="1">
      <protection hidden="1"/>
    </xf>
    <xf numFmtId="0" fontId="25" fillId="0" borderId="0" xfId="1" applyFont="1" applyAlignment="1" applyProtection="1">
      <alignment horizontal="left" vertical="top"/>
      <protection locked="0" hidden="1"/>
    </xf>
    <xf numFmtId="0" fontId="25" fillId="0" borderId="0" xfId="1" applyFont="1" applyAlignment="1" applyProtection="1">
      <alignment horizontal="left" vertical="top"/>
      <protection hidden="1"/>
    </xf>
    <xf numFmtId="0" fontId="0" fillId="0" borderId="8" xfId="0" applyBorder="1" applyAlignment="1" applyProtection="1">
      <alignment horizontal="center" vertical="top" wrapText="1"/>
      <protection hidden="1"/>
    </xf>
    <xf numFmtId="0" fontId="0" fillId="0" borderId="10" xfId="0" applyBorder="1" applyAlignment="1" applyProtection="1">
      <alignment horizontal="center" vertical="top" wrapText="1"/>
      <protection hidden="1"/>
    </xf>
    <xf numFmtId="3" fontId="24" fillId="0" borderId="1" xfId="0" applyNumberFormat="1" applyFont="1" applyBorder="1" applyAlignment="1" applyProtection="1">
      <alignment horizontal="center" vertical="top" wrapText="1"/>
      <protection hidden="1"/>
    </xf>
    <xf numFmtId="49" fontId="12" fillId="0" borderId="9" xfId="1" applyNumberFormat="1" applyFont="1" applyBorder="1" applyAlignment="1" applyProtection="1">
      <alignment vertical="center"/>
      <protection hidden="1"/>
    </xf>
    <xf numFmtId="0" fontId="14" fillId="0" borderId="9" xfId="1" applyFont="1" applyBorder="1" applyAlignment="1" applyProtection="1">
      <alignment horizontal="right" vertical="center"/>
      <protection hidden="1"/>
    </xf>
    <xf numFmtId="49" fontId="12" fillId="0" borderId="3" xfId="1" applyNumberFormat="1" applyFont="1" applyBorder="1" applyAlignment="1" applyProtection="1">
      <alignment vertical="center"/>
      <protection hidden="1"/>
    </xf>
    <xf numFmtId="0" fontId="14" fillId="0" borderId="3" xfId="1" applyFont="1" applyBorder="1" applyAlignment="1" applyProtection="1">
      <alignment vertical="center"/>
      <protection hidden="1"/>
    </xf>
    <xf numFmtId="0" fontId="14" fillId="0" borderId="3" xfId="1" applyFont="1" applyBorder="1" applyAlignment="1" applyProtection="1">
      <alignment horizontal="right" vertical="center"/>
      <protection hidden="1"/>
    </xf>
    <xf numFmtId="0" fontId="13" fillId="0" borderId="3" xfId="0" applyFont="1" applyBorder="1" applyAlignment="1" applyProtection="1">
      <alignment vertical="top"/>
      <protection hidden="1"/>
    </xf>
    <xf numFmtId="1" fontId="32" fillId="3" borderId="6" xfId="0" applyNumberFormat="1" applyFont="1" applyFill="1" applyBorder="1" applyAlignment="1" applyProtection="1">
      <alignment vertical="center"/>
      <protection hidden="1"/>
    </xf>
    <xf numFmtId="4" fontId="0" fillId="0" borderId="15" xfId="0" applyNumberFormat="1" applyBorder="1" applyAlignment="1" applyProtection="1">
      <alignment horizontal="right" vertical="top"/>
      <protection hidden="1"/>
    </xf>
    <xf numFmtId="0" fontId="11" fillId="0" borderId="9" xfId="0" applyFont="1" applyBorder="1" applyAlignment="1" applyProtection="1">
      <alignment horizontal="left" vertical="center"/>
      <protection hidden="1"/>
    </xf>
    <xf numFmtId="16" fontId="13" fillId="0" borderId="3" xfId="0" quotePrefix="1" applyNumberFormat="1" applyFont="1" applyBorder="1" applyAlignment="1" applyProtection="1">
      <alignment vertical="top"/>
      <protection hidden="1"/>
    </xf>
    <xf numFmtId="16" fontId="28" fillId="0" borderId="3" xfId="0" quotePrefix="1" applyNumberFormat="1" applyFont="1" applyBorder="1" applyAlignment="1" applyProtection="1">
      <alignment vertical="top"/>
      <protection hidden="1"/>
    </xf>
    <xf numFmtId="0" fontId="0" fillId="0" borderId="0" xfId="0" applyProtection="1">
      <protection locked="0"/>
    </xf>
    <xf numFmtId="0" fontId="9" fillId="0" borderId="1" xfId="0" applyFont="1" applyBorder="1" applyAlignment="1" applyProtection="1">
      <alignment horizontal="center" vertical="top" wrapText="1"/>
      <protection locked="0"/>
    </xf>
    <xf numFmtId="10" fontId="9" fillId="0" borderId="1" xfId="0" applyNumberFormat="1" applyFont="1" applyBorder="1" applyAlignment="1" applyProtection="1">
      <alignment horizontal="center" vertical="top"/>
      <protection locked="0"/>
    </xf>
    <xf numFmtId="0" fontId="9" fillId="0" borderId="1" xfId="0" applyFont="1" applyBorder="1" applyAlignment="1" applyProtection="1">
      <alignment vertical="top"/>
      <protection locked="0"/>
    </xf>
    <xf numFmtId="0" fontId="9" fillId="0" borderId="1" xfId="0" applyFont="1" applyBorder="1" applyAlignment="1" applyProtection="1">
      <alignment horizontal="center" vertical="top"/>
      <protection locked="0"/>
    </xf>
    <xf numFmtId="0" fontId="34" fillId="0" borderId="0" xfId="0" applyFont="1" applyAlignment="1" applyProtection="1">
      <alignment vertical="top"/>
      <protection hidden="1"/>
    </xf>
    <xf numFmtId="0" fontId="34" fillId="0" borderId="0" xfId="1" applyFont="1" applyProtection="1">
      <protection hidden="1"/>
    </xf>
    <xf numFmtId="0" fontId="34" fillId="0" borderId="0" xfId="1" applyFont="1" applyAlignment="1" applyProtection="1">
      <alignment vertical="top"/>
      <protection hidden="1"/>
    </xf>
    <xf numFmtId="0" fontId="34" fillId="0" borderId="0" xfId="1" quotePrefix="1" applyFont="1" applyProtection="1">
      <protection hidden="1"/>
    </xf>
    <xf numFmtId="0" fontId="34" fillId="0" borderId="0" xfId="1" applyFont="1" applyAlignment="1" applyProtection="1">
      <alignment wrapText="1"/>
      <protection hidden="1"/>
    </xf>
    <xf numFmtId="0" fontId="34" fillId="0" borderId="0" xfId="1" applyFont="1" applyAlignment="1" applyProtection="1">
      <alignment vertical="center"/>
      <protection hidden="1"/>
    </xf>
    <xf numFmtId="0" fontId="8" fillId="0" borderId="0" xfId="0" quotePrefix="1" applyFont="1" applyAlignment="1" applyProtection="1">
      <alignment horizontal="left" vertical="top"/>
      <protection hidden="1"/>
    </xf>
    <xf numFmtId="16" fontId="9" fillId="0" borderId="9" xfId="0" quotePrefix="1" applyNumberFormat="1" applyFont="1" applyBorder="1" applyAlignment="1" applyProtection="1">
      <alignment horizontal="right" vertical="top"/>
      <protection hidden="1"/>
    </xf>
    <xf numFmtId="167" fontId="0" fillId="0" borderId="9" xfId="0" applyNumberFormat="1" applyBorder="1" applyAlignment="1" applyProtection="1">
      <alignment vertical="top"/>
      <protection hidden="1"/>
    </xf>
    <xf numFmtId="0" fontId="38" fillId="0" borderId="9" xfId="0" applyFont="1" applyBorder="1" applyAlignment="1" applyProtection="1">
      <alignment horizontal="left" vertical="center"/>
      <protection hidden="1"/>
    </xf>
    <xf numFmtId="0" fontId="38" fillId="0" borderId="9" xfId="0" applyFont="1" applyBorder="1" applyAlignment="1" applyProtection="1">
      <alignment horizontal="center" vertical="center" wrapText="1"/>
      <protection hidden="1"/>
    </xf>
    <xf numFmtId="0" fontId="37" fillId="0" borderId="9" xfId="0" applyFont="1" applyBorder="1" applyAlignment="1" applyProtection="1">
      <alignment horizontal="right" vertical="center"/>
      <protection hidden="1"/>
    </xf>
    <xf numFmtId="0" fontId="37" fillId="0" borderId="9" xfId="0" applyFont="1" applyBorder="1" applyAlignment="1" applyProtection="1">
      <alignment vertical="top"/>
      <protection hidden="1"/>
    </xf>
    <xf numFmtId="4" fontId="11" fillId="0" borderId="0" xfId="1" applyNumberFormat="1" applyFont="1" applyAlignment="1" applyProtection="1">
      <alignment horizontal="center" vertical="center"/>
      <protection hidden="1"/>
    </xf>
    <xf numFmtId="0" fontId="11" fillId="0" borderId="9" xfId="1" applyFont="1" applyBorder="1" applyAlignment="1" applyProtection="1">
      <alignment horizontal="left" vertical="top" wrapText="1"/>
      <protection hidden="1"/>
    </xf>
    <xf numFmtId="0" fontId="11" fillId="4" borderId="11" xfId="1" applyFont="1" applyFill="1" applyBorder="1" applyAlignment="1" applyProtection="1">
      <alignment horizontal="left" vertical="top" wrapText="1"/>
      <protection hidden="1"/>
    </xf>
    <xf numFmtId="0" fontId="9" fillId="0" borderId="9" xfId="0" applyFont="1" applyBorder="1" applyAlignment="1" applyProtection="1">
      <alignment vertical="center"/>
      <protection hidden="1"/>
    </xf>
    <xf numFmtId="0" fontId="13" fillId="0" borderId="9" xfId="1" applyFont="1" applyBorder="1" applyAlignment="1" applyProtection="1">
      <alignment horizontal="left" vertical="top" wrapText="1"/>
      <protection hidden="1"/>
    </xf>
    <xf numFmtId="0" fontId="13" fillId="2" borderId="9" xfId="1" applyFont="1" applyFill="1" applyBorder="1" applyAlignment="1" applyProtection="1">
      <alignment horizontal="center" vertical="top" wrapText="1"/>
      <protection hidden="1"/>
    </xf>
    <xf numFmtId="0" fontId="14" fillId="0" borderId="6" xfId="1" applyFont="1" applyBorder="1" applyAlignment="1" applyProtection="1">
      <alignment vertical="center"/>
      <protection hidden="1"/>
    </xf>
    <xf numFmtId="4" fontId="11" fillId="0" borderId="0" xfId="0" applyNumberFormat="1" applyFont="1" applyAlignment="1" applyProtection="1">
      <alignment horizontal="right" vertical="center"/>
      <protection hidden="1"/>
    </xf>
    <xf numFmtId="0" fontId="13" fillId="0" borderId="3" xfId="1" applyFont="1" applyBorder="1" applyAlignment="1" applyProtection="1">
      <alignment horizontal="right" vertical="center"/>
      <protection hidden="1"/>
    </xf>
    <xf numFmtId="49" fontId="12" fillId="0" borderId="6" xfId="1" applyNumberFormat="1" applyFont="1" applyBorder="1" applyAlignment="1" applyProtection="1">
      <alignment vertical="center"/>
      <protection hidden="1"/>
    </xf>
    <xf numFmtId="0" fontId="14" fillId="0" borderId="6" xfId="1" applyFont="1" applyBorder="1" applyAlignment="1" applyProtection="1">
      <alignment horizontal="right" vertical="center"/>
      <protection hidden="1"/>
    </xf>
    <xf numFmtId="0" fontId="13" fillId="0" borderId="6" xfId="1" applyFont="1" applyBorder="1" applyAlignment="1" applyProtection="1">
      <alignment horizontal="right" vertical="center"/>
      <protection hidden="1"/>
    </xf>
    <xf numFmtId="4" fontId="11" fillId="0" borderId="20" xfId="0" applyNumberFormat="1" applyFont="1" applyBorder="1" applyAlignment="1" applyProtection="1">
      <alignment horizontal="right" vertical="center"/>
      <protection hidden="1"/>
    </xf>
    <xf numFmtId="0" fontId="9" fillId="0" borderId="0" xfId="0" quotePrefix="1" applyFont="1" applyAlignment="1" applyProtection="1">
      <alignment vertical="top"/>
      <protection hidden="1"/>
    </xf>
    <xf numFmtId="0" fontId="24" fillId="0" borderId="2" xfId="1" applyFont="1" applyBorder="1" applyAlignment="1" applyProtection="1">
      <alignment vertical="top"/>
      <protection hidden="1"/>
    </xf>
    <xf numFmtId="0" fontId="24" fillId="4" borderId="14" xfId="1" applyFont="1" applyFill="1" applyBorder="1" applyAlignment="1" applyProtection="1">
      <alignment vertical="top"/>
      <protection hidden="1"/>
    </xf>
    <xf numFmtId="0" fontId="11" fillId="0" borderId="9" xfId="1" applyFont="1" applyBorder="1" applyAlignment="1" applyProtection="1">
      <alignment vertical="center"/>
      <protection hidden="1"/>
    </xf>
    <xf numFmtId="0" fontId="24" fillId="0" borderId="6" xfId="1" applyFont="1" applyBorder="1" applyAlignment="1" applyProtection="1">
      <alignment vertical="center"/>
      <protection hidden="1"/>
    </xf>
    <xf numFmtId="0" fontId="24" fillId="0" borderId="14" xfId="1" applyFont="1" applyBorder="1" applyAlignment="1" applyProtection="1">
      <alignment vertical="top"/>
      <protection hidden="1"/>
    </xf>
    <xf numFmtId="0" fontId="11" fillId="0" borderId="9" xfId="1" applyFont="1" applyBorder="1" applyAlignment="1" applyProtection="1">
      <alignment horizontal="right" vertical="center"/>
      <protection hidden="1"/>
    </xf>
    <xf numFmtId="0" fontId="25" fillId="0" borderId="9" xfId="0" applyFont="1" applyBorder="1" applyAlignment="1" applyProtection="1">
      <alignment horizontal="left" vertical="top" wrapText="1"/>
      <protection hidden="1"/>
    </xf>
    <xf numFmtId="0" fontId="27" fillId="0" borderId="11" xfId="1" applyFont="1" applyBorder="1" applyAlignment="1" applyProtection="1">
      <alignment horizontal="left" vertical="top"/>
      <protection hidden="1"/>
    </xf>
    <xf numFmtId="0" fontId="11" fillId="0" borderId="9" xfId="0" applyFont="1" applyBorder="1" applyAlignment="1" applyProtection="1">
      <alignment horizontal="left" vertical="center" wrapText="1"/>
      <protection hidden="1"/>
    </xf>
    <xf numFmtId="0" fontId="18" fillId="0" borderId="0" xfId="0" applyFont="1" applyAlignment="1" applyProtection="1">
      <alignment vertical="top"/>
      <protection hidden="1"/>
    </xf>
    <xf numFmtId="0" fontId="11" fillId="3" borderId="2" xfId="0" applyFont="1" applyFill="1" applyBorder="1" applyAlignment="1" applyProtection="1">
      <alignment horizontal="left" vertical="center"/>
      <protection hidden="1"/>
    </xf>
    <xf numFmtId="1" fontId="30" fillId="3" borderId="3" xfId="0" applyNumberFormat="1" applyFont="1" applyFill="1" applyBorder="1" applyAlignment="1" applyProtection="1">
      <alignment vertical="center"/>
      <protection hidden="1"/>
    </xf>
    <xf numFmtId="0" fontId="0" fillId="0" borderId="0" xfId="0" applyAlignment="1" applyProtection="1">
      <alignment vertical="top" wrapText="1"/>
      <protection locked="0" hidden="1"/>
    </xf>
    <xf numFmtId="0" fontId="0" fillId="0" borderId="0" xfId="0" quotePrefix="1" applyAlignment="1" applyProtection="1">
      <alignment vertical="top"/>
      <protection hidden="1"/>
    </xf>
    <xf numFmtId="0" fontId="9" fillId="0" borderId="9" xfId="0" applyFont="1" applyBorder="1" applyAlignment="1" applyProtection="1">
      <alignment vertical="top"/>
      <protection hidden="1"/>
    </xf>
    <xf numFmtId="0" fontId="39" fillId="0" borderId="6" xfId="1" quotePrefix="1" applyFont="1" applyBorder="1" applyAlignment="1" applyProtection="1">
      <alignment vertical="top" wrapText="1"/>
      <protection hidden="1"/>
    </xf>
    <xf numFmtId="0" fontId="25" fillId="0" borderId="6" xfId="1" quotePrefix="1" applyFont="1" applyBorder="1" applyAlignment="1" applyProtection="1">
      <alignment vertical="top" wrapText="1"/>
      <protection hidden="1"/>
    </xf>
    <xf numFmtId="0" fontId="24" fillId="0" borderId="8" xfId="1" applyFont="1" applyBorder="1" applyAlignment="1" applyProtection="1">
      <alignment vertical="top"/>
      <protection hidden="1"/>
    </xf>
    <xf numFmtId="0" fontId="24" fillId="0" borderId="5" xfId="1" applyFont="1" applyBorder="1" applyAlignment="1" applyProtection="1">
      <alignment vertical="top"/>
      <protection hidden="1"/>
    </xf>
    <xf numFmtId="0" fontId="39" fillId="0" borderId="0" xfId="1" quotePrefix="1" applyFont="1" applyAlignment="1" applyProtection="1">
      <alignment vertical="top" wrapText="1"/>
      <protection hidden="1"/>
    </xf>
    <xf numFmtId="0" fontId="24" fillId="0" borderId="0" xfId="1" applyFont="1" applyAlignment="1" applyProtection="1">
      <alignment horizontal="center" vertical="top"/>
      <protection hidden="1"/>
    </xf>
    <xf numFmtId="0" fontId="24" fillId="0" borderId="11" xfId="1" applyFont="1" applyBorder="1" applyAlignment="1" applyProtection="1">
      <alignment vertical="top"/>
      <protection hidden="1"/>
    </xf>
    <xf numFmtId="0" fontId="24" fillId="0" borderId="0" xfId="1" applyFont="1" applyAlignment="1" applyProtection="1">
      <alignment vertical="top" wrapText="1"/>
      <protection hidden="1"/>
    </xf>
    <xf numFmtId="49" fontId="25" fillId="4" borderId="0" xfId="1" applyNumberFormat="1" applyFont="1" applyFill="1" applyAlignment="1" applyProtection="1">
      <alignment horizontal="center" vertical="top"/>
      <protection hidden="1"/>
    </xf>
    <xf numFmtId="0" fontId="35" fillId="0" borderId="11" xfId="1" applyFont="1" applyBorder="1" applyAlignment="1" applyProtection="1">
      <alignment vertical="center"/>
      <protection hidden="1"/>
    </xf>
    <xf numFmtId="0" fontId="11" fillId="0" borderId="8" xfId="0" applyFont="1" applyBorder="1" applyAlignment="1" applyProtection="1">
      <alignment horizontal="left" vertical="center"/>
      <protection hidden="1"/>
    </xf>
    <xf numFmtId="0" fontId="36" fillId="0" borderId="0" xfId="0" applyFont="1" applyAlignment="1" applyProtection="1">
      <alignment vertical="top"/>
      <protection hidden="1"/>
    </xf>
    <xf numFmtId="0" fontId="0" fillId="0" borderId="0" xfId="2" applyFont="1" applyProtection="1">
      <protection hidden="1"/>
    </xf>
    <xf numFmtId="0" fontId="0" fillId="0" borderId="0" xfId="2" applyFont="1" applyAlignment="1" applyProtection="1">
      <alignment vertical="top"/>
      <protection locked="0" hidden="1"/>
    </xf>
    <xf numFmtId="0" fontId="0" fillId="0" borderId="0" xfId="2" applyFont="1" applyAlignment="1" applyProtection="1">
      <alignment wrapText="1"/>
      <protection hidden="1"/>
    </xf>
    <xf numFmtId="0" fontId="0" fillId="0" borderId="0" xfId="2" applyFont="1" applyAlignment="1" applyProtection="1">
      <alignment vertical="top" wrapText="1"/>
      <protection locked="0" hidden="1"/>
    </xf>
    <xf numFmtId="0" fontId="0" fillId="4" borderId="14" xfId="2" applyFont="1" applyFill="1" applyBorder="1" applyAlignment="1" applyProtection="1">
      <alignment horizontal="center" vertical="top"/>
      <protection hidden="1"/>
    </xf>
    <xf numFmtId="0" fontId="0" fillId="4" borderId="14" xfId="2" applyFont="1" applyFill="1" applyBorder="1" applyAlignment="1" applyProtection="1">
      <alignment vertical="top"/>
      <protection hidden="1"/>
    </xf>
    <xf numFmtId="4" fontId="0" fillId="0" borderId="13" xfId="2" applyNumberFormat="1" applyFont="1" applyBorder="1" applyAlignment="1" applyProtection="1">
      <alignment horizontal="center" vertical="top"/>
      <protection hidden="1"/>
    </xf>
    <xf numFmtId="0" fontId="0" fillId="0" borderId="0" xfId="2" applyFont="1" applyAlignment="1" applyProtection="1">
      <alignment vertical="top"/>
      <protection hidden="1"/>
    </xf>
    <xf numFmtId="0" fontId="17" fillId="0" borderId="0" xfId="2" applyFont="1" applyProtection="1">
      <protection hidden="1"/>
    </xf>
    <xf numFmtId="0" fontId="14" fillId="0" borderId="9" xfId="2" applyFont="1" applyBorder="1" applyAlignment="1" applyProtection="1">
      <alignment vertical="center"/>
      <protection hidden="1"/>
    </xf>
    <xf numFmtId="0" fontId="0" fillId="0" borderId="0" xfId="2" applyFont="1" applyAlignment="1" applyProtection="1">
      <alignment vertical="center"/>
      <protection hidden="1"/>
    </xf>
    <xf numFmtId="0" fontId="0" fillId="0" borderId="0" xfId="2" applyFont="1" applyAlignment="1" applyProtection="1">
      <alignment vertical="center"/>
      <protection locked="0" hidden="1"/>
    </xf>
    <xf numFmtId="0" fontId="13" fillId="0" borderId="9" xfId="2" applyFont="1" applyBorder="1" applyAlignment="1" applyProtection="1">
      <alignment horizontal="right" vertical="center"/>
      <protection hidden="1"/>
    </xf>
    <xf numFmtId="0" fontId="36" fillId="0" borderId="0" xfId="2" applyFont="1" applyAlignment="1" applyProtection="1">
      <alignment vertical="top"/>
      <protection locked="0" hidden="1"/>
    </xf>
    <xf numFmtId="0" fontId="33" fillId="0" borderId="0" xfId="2" applyFont="1" applyProtection="1">
      <protection hidden="1"/>
    </xf>
    <xf numFmtId="0" fontId="25" fillId="0" borderId="0" xfId="2" applyFont="1" applyAlignment="1" applyProtection="1">
      <alignment vertical="top"/>
      <protection locked="0" hidden="1"/>
    </xf>
    <xf numFmtId="0" fontId="25" fillId="0" borderId="0" xfId="2" applyFont="1" applyProtection="1">
      <protection hidden="1"/>
    </xf>
    <xf numFmtId="0" fontId="24" fillId="4" borderId="1" xfId="2" applyFont="1" applyFill="1" applyBorder="1" applyAlignment="1" applyProtection="1">
      <alignment vertical="top"/>
      <protection hidden="1"/>
    </xf>
    <xf numFmtId="0" fontId="35" fillId="4" borderId="1" xfId="2" applyFont="1" applyFill="1" applyBorder="1" applyAlignment="1" applyProtection="1">
      <alignment vertical="top"/>
      <protection hidden="1"/>
    </xf>
    <xf numFmtId="49" fontId="12" fillId="0" borderId="9" xfId="2" applyNumberFormat="1" applyFont="1" applyBorder="1" applyAlignment="1" applyProtection="1">
      <alignment vertical="center"/>
      <protection hidden="1"/>
    </xf>
    <xf numFmtId="0" fontId="14" fillId="0" borderId="9" xfId="2" applyFont="1" applyBorder="1" applyAlignment="1" applyProtection="1">
      <alignment horizontal="right" vertical="center"/>
      <protection hidden="1"/>
    </xf>
    <xf numFmtId="0" fontId="35" fillId="4" borderId="14" xfId="2" applyFont="1" applyFill="1" applyBorder="1" applyAlignment="1" applyProtection="1">
      <alignment vertical="top"/>
      <protection hidden="1"/>
    </xf>
    <xf numFmtId="0" fontId="24" fillId="4" borderId="1" xfId="2" applyFont="1" applyFill="1" applyBorder="1" applyAlignment="1" applyProtection="1">
      <alignment vertical="center"/>
      <protection hidden="1"/>
    </xf>
    <xf numFmtId="0" fontId="35" fillId="4" borderId="14" xfId="2" applyFont="1" applyFill="1" applyBorder="1" applyAlignment="1" applyProtection="1">
      <alignment vertical="center"/>
      <protection hidden="1"/>
    </xf>
    <xf numFmtId="0" fontId="27" fillId="4" borderId="1" xfId="2" applyFont="1" applyFill="1" applyBorder="1" applyAlignment="1" applyProtection="1">
      <alignment vertical="top"/>
      <protection hidden="1"/>
    </xf>
    <xf numFmtId="49" fontId="12" fillId="0" borderId="3" xfId="2" applyNumberFormat="1" applyFont="1" applyBorder="1" applyAlignment="1" applyProtection="1">
      <alignment vertical="center"/>
      <protection hidden="1"/>
    </xf>
    <xf numFmtId="0" fontId="14" fillId="0" borderId="3" xfId="2" applyFont="1" applyBorder="1" applyAlignment="1" applyProtection="1">
      <alignment vertical="center"/>
      <protection hidden="1"/>
    </xf>
    <xf numFmtId="0" fontId="14" fillId="0" borderId="3" xfId="2" applyFont="1" applyBorder="1" applyAlignment="1" applyProtection="1">
      <alignment horizontal="right" vertical="center"/>
      <protection hidden="1"/>
    </xf>
    <xf numFmtId="0" fontId="24" fillId="4" borderId="14" xfId="2" applyFont="1" applyFill="1" applyBorder="1" applyProtection="1">
      <protection hidden="1"/>
    </xf>
    <xf numFmtId="0" fontId="24" fillId="0" borderId="0" xfId="2" applyFont="1" applyProtection="1">
      <protection hidden="1"/>
    </xf>
    <xf numFmtId="0" fontId="24" fillId="0" borderId="0" xfId="2" applyFont="1" applyAlignment="1" applyProtection="1">
      <alignment vertical="top"/>
      <protection hidden="1"/>
    </xf>
    <xf numFmtId="0" fontId="33" fillId="0" borderId="11" xfId="2" applyFont="1" applyBorder="1" applyProtection="1">
      <protection hidden="1"/>
    </xf>
    <xf numFmtId="0" fontId="19" fillId="0" borderId="0" xfId="0" applyFont="1" applyAlignment="1" applyProtection="1">
      <alignment vertical="top"/>
      <protection hidden="1"/>
    </xf>
    <xf numFmtId="0" fontId="24" fillId="0" borderId="9" xfId="1" applyFont="1" applyBorder="1" applyAlignment="1" applyProtection="1">
      <alignment vertical="top"/>
      <protection hidden="1"/>
    </xf>
    <xf numFmtId="0" fontId="11" fillId="4" borderId="1" xfId="1" applyFont="1" applyFill="1" applyBorder="1" applyAlignment="1" applyProtection="1">
      <alignment horizontal="left" vertical="top" wrapText="1"/>
      <protection hidden="1"/>
    </xf>
    <xf numFmtId="0" fontId="24" fillId="0" borderId="9" xfId="2" applyFont="1" applyBorder="1" applyAlignment="1" applyProtection="1">
      <alignment vertical="top"/>
      <protection hidden="1"/>
    </xf>
    <xf numFmtId="4" fontId="11" fillId="0" borderId="9" xfId="0" applyNumberFormat="1" applyFont="1" applyBorder="1" applyAlignment="1" applyProtection="1">
      <alignment horizontal="right" vertical="center"/>
      <protection hidden="1"/>
    </xf>
    <xf numFmtId="4" fontId="11" fillId="0" borderId="3" xfId="0" applyNumberFormat="1" applyFont="1" applyBorder="1" applyAlignment="1" applyProtection="1">
      <alignment horizontal="right" vertical="center"/>
      <protection hidden="1"/>
    </xf>
    <xf numFmtId="0" fontId="20" fillId="0" borderId="0" xfId="0" applyFont="1" applyAlignment="1" applyProtection="1">
      <alignment vertical="top"/>
      <protection hidden="1"/>
    </xf>
    <xf numFmtId="16" fontId="20" fillId="0" borderId="3" xfId="0" quotePrefix="1" applyNumberFormat="1" applyFont="1" applyBorder="1" applyAlignment="1" applyProtection="1">
      <alignment vertical="top"/>
      <protection hidden="1"/>
    </xf>
    <xf numFmtId="16" fontId="0" fillId="0" borderId="0" xfId="0" quotePrefix="1" applyNumberFormat="1" applyAlignment="1" applyProtection="1">
      <alignment vertical="top"/>
      <protection hidden="1"/>
    </xf>
    <xf numFmtId="0" fontId="11" fillId="0" borderId="0" xfId="0" applyFont="1" applyAlignment="1" applyProtection="1">
      <alignment vertical="top"/>
      <protection hidden="1"/>
    </xf>
    <xf numFmtId="0" fontId="0" fillId="0" borderId="8" xfId="0" applyBorder="1" applyAlignment="1" applyProtection="1">
      <alignment vertical="top"/>
      <protection hidden="1"/>
    </xf>
    <xf numFmtId="0" fontId="0" fillId="0" borderId="11" xfId="0" applyBorder="1" applyAlignment="1" applyProtection="1">
      <alignment horizontal="left" vertical="top"/>
      <protection hidden="1"/>
    </xf>
    <xf numFmtId="0" fontId="11" fillId="0" borderId="6" xfId="0" applyFont="1" applyBorder="1" applyAlignment="1" applyProtection="1">
      <alignment vertical="top"/>
      <protection hidden="1"/>
    </xf>
    <xf numFmtId="16" fontId="0" fillId="0" borderId="8" xfId="0" quotePrefix="1" applyNumberFormat="1" applyBorder="1" applyAlignment="1" applyProtection="1">
      <alignment vertical="top"/>
      <protection hidden="1"/>
    </xf>
    <xf numFmtId="16" fontId="0" fillId="0" borderId="9" xfId="0" quotePrefix="1" applyNumberFormat="1" applyBorder="1" applyAlignment="1" applyProtection="1">
      <alignment vertical="top"/>
      <protection hidden="1"/>
    </xf>
    <xf numFmtId="16" fontId="11" fillId="0" borderId="8" xfId="0" quotePrefix="1" applyNumberFormat="1" applyFont="1" applyBorder="1" applyAlignment="1" applyProtection="1">
      <alignment vertical="top"/>
      <protection hidden="1"/>
    </xf>
    <xf numFmtId="0" fontId="11" fillId="0" borderId="5" xfId="0" applyFont="1" applyBorder="1" applyAlignment="1" applyProtection="1">
      <alignment vertical="top"/>
      <protection hidden="1"/>
    </xf>
    <xf numFmtId="0" fontId="11" fillId="0" borderId="13" xfId="0" applyFont="1" applyBorder="1" applyAlignment="1" applyProtection="1">
      <alignment vertical="top"/>
      <protection hidden="1"/>
    </xf>
    <xf numFmtId="165" fontId="0" fillId="0" borderId="10" xfId="0" quotePrefix="1" applyNumberFormat="1" applyBorder="1" applyAlignment="1" applyProtection="1">
      <alignment horizontal="right" vertical="top"/>
      <protection hidden="1"/>
    </xf>
    <xf numFmtId="0" fontId="0" fillId="0" borderId="9" xfId="2" applyFont="1" applyBorder="1" applyProtection="1">
      <protection hidden="1"/>
    </xf>
    <xf numFmtId="0" fontId="0" fillId="0" borderId="2" xfId="2" applyFont="1" applyBorder="1" applyAlignment="1" applyProtection="1">
      <alignment vertical="top"/>
      <protection hidden="1"/>
    </xf>
    <xf numFmtId="0" fontId="24" fillId="0" borderId="8" xfId="2" applyFont="1" applyBorder="1" applyAlignment="1" applyProtection="1">
      <alignment vertical="top"/>
      <protection hidden="1"/>
    </xf>
    <xf numFmtId="0" fontId="0" fillId="4" borderId="1" xfId="0" applyFill="1" applyBorder="1" applyAlignment="1" applyProtection="1">
      <alignment vertical="top"/>
      <protection hidden="1"/>
    </xf>
    <xf numFmtId="0" fontId="11" fillId="0" borderId="8" xfId="1" applyFont="1" applyBorder="1" applyAlignment="1" applyProtection="1">
      <alignment horizontal="left" vertical="top" wrapText="1"/>
      <protection hidden="1"/>
    </xf>
    <xf numFmtId="0" fontId="11" fillId="0" borderId="3" xfId="0" applyFont="1" applyBorder="1" applyAlignment="1" applyProtection="1">
      <alignment horizontal="left" vertical="top"/>
      <protection hidden="1"/>
    </xf>
    <xf numFmtId="0" fontId="24" fillId="0" borderId="6" xfId="1" applyFont="1" applyBorder="1" applyAlignment="1" applyProtection="1">
      <alignment horizontal="center" vertical="top"/>
      <protection hidden="1"/>
    </xf>
    <xf numFmtId="4" fontId="0" fillId="0" borderId="13" xfId="1" applyNumberFormat="1" applyFont="1" applyBorder="1" applyAlignment="1" applyProtection="1">
      <alignment horizontal="center" vertical="top"/>
      <protection hidden="1"/>
    </xf>
    <xf numFmtId="0" fontId="27" fillId="0" borderId="8" xfId="1" applyFont="1" applyBorder="1" applyAlignment="1" applyProtection="1">
      <alignment horizontal="left" vertical="top"/>
      <protection hidden="1"/>
    </xf>
    <xf numFmtId="0" fontId="27" fillId="0" borderId="2" xfId="1" applyFont="1" applyBorder="1" applyAlignment="1" applyProtection="1">
      <alignment horizontal="left" vertical="top"/>
      <protection hidden="1"/>
    </xf>
    <xf numFmtId="0" fontId="24" fillId="0" borderId="6" xfId="1" applyFont="1" applyBorder="1" applyAlignment="1" applyProtection="1">
      <alignment vertical="top"/>
      <protection hidden="1"/>
    </xf>
    <xf numFmtId="2" fontId="11" fillId="0" borderId="9" xfId="1" applyNumberFormat="1" applyFont="1" applyBorder="1" applyAlignment="1" applyProtection="1">
      <alignment horizontal="center" vertical="center" wrapText="1"/>
      <protection hidden="1"/>
    </xf>
    <xf numFmtId="0" fontId="12" fillId="0" borderId="9" xfId="1" applyFont="1" applyBorder="1" applyAlignment="1" applyProtection="1">
      <alignment wrapText="1"/>
      <protection hidden="1"/>
    </xf>
    <xf numFmtId="0" fontId="9" fillId="0" borderId="0" xfId="1" applyFont="1" applyAlignment="1" applyProtection="1">
      <alignment vertical="center"/>
      <protection hidden="1"/>
    </xf>
    <xf numFmtId="0" fontId="0" fillId="0" borderId="5" xfId="2" applyFont="1" applyBorder="1" applyAlignment="1" applyProtection="1">
      <alignment horizontal="center" vertical="top"/>
      <protection hidden="1"/>
    </xf>
    <xf numFmtId="0" fontId="0" fillId="0" borderId="11" xfId="2" applyFont="1" applyBorder="1" applyAlignment="1" applyProtection="1">
      <alignment vertical="top"/>
      <protection hidden="1"/>
    </xf>
    <xf numFmtId="0" fontId="0" fillId="0" borderId="5" xfId="2" applyFont="1" applyBorder="1" applyAlignment="1" applyProtection="1">
      <alignment vertical="top"/>
      <protection hidden="1"/>
    </xf>
    <xf numFmtId="0" fontId="24" fillId="0" borderId="6" xfId="2" applyFont="1" applyBorder="1" applyAlignment="1" applyProtection="1">
      <alignment horizontal="center" vertical="top"/>
      <protection hidden="1"/>
    </xf>
    <xf numFmtId="0" fontId="0" fillId="0" borderId="0" xfId="2" applyFont="1" applyAlignment="1" applyProtection="1">
      <alignment horizontal="center" vertical="top"/>
      <protection hidden="1"/>
    </xf>
    <xf numFmtId="4" fontId="0" fillId="0" borderId="13" xfId="2" applyNumberFormat="1" applyFont="1" applyBorder="1" applyAlignment="1" applyProtection="1">
      <alignment vertical="top"/>
      <protection hidden="1"/>
    </xf>
    <xf numFmtId="4" fontId="0" fillId="4" borderId="35" xfId="1" applyNumberFormat="1" applyFont="1" applyFill="1" applyBorder="1" applyAlignment="1" applyProtection="1">
      <alignment horizontal="center" vertical="top"/>
      <protection locked="0"/>
    </xf>
    <xf numFmtId="0" fontId="13" fillId="4" borderId="1" xfId="0" applyFont="1" applyFill="1" applyBorder="1" applyAlignment="1" applyProtection="1">
      <alignment vertical="top"/>
      <protection hidden="1"/>
    </xf>
    <xf numFmtId="16" fontId="0" fillId="0" borderId="44" xfId="0" quotePrefix="1" applyNumberFormat="1" applyBorder="1" applyAlignment="1" applyProtection="1">
      <alignment vertical="top"/>
      <protection hidden="1"/>
    </xf>
    <xf numFmtId="16" fontId="0" fillId="0" borderId="45" xfId="0" quotePrefix="1" applyNumberFormat="1" applyBorder="1" applyAlignment="1" applyProtection="1">
      <alignment vertical="top"/>
      <protection hidden="1"/>
    </xf>
    <xf numFmtId="0" fontId="0" fillId="0" borderId="46" xfId="0" applyBorder="1" applyAlignment="1" applyProtection="1">
      <alignment horizontal="center" vertical="top"/>
      <protection hidden="1"/>
    </xf>
    <xf numFmtId="16" fontId="0" fillId="0" borderId="21" xfId="0" quotePrefix="1" applyNumberFormat="1" applyBorder="1" applyAlignment="1" applyProtection="1">
      <alignment horizontal="left" vertical="top"/>
      <protection hidden="1"/>
    </xf>
    <xf numFmtId="16" fontId="0" fillId="0" borderId="22" xfId="0" quotePrefix="1" applyNumberFormat="1" applyBorder="1" applyAlignment="1" applyProtection="1">
      <alignment horizontal="left" vertical="top"/>
      <protection hidden="1"/>
    </xf>
    <xf numFmtId="0" fontId="0" fillId="0" borderId="48" xfId="0" applyBorder="1" applyAlignment="1" applyProtection="1">
      <alignment horizontal="center" vertical="top"/>
      <protection hidden="1"/>
    </xf>
    <xf numFmtId="0" fontId="22" fillId="0" borderId="7" xfId="0" applyFont="1" applyBorder="1" applyAlignment="1" applyProtection="1">
      <alignment horizontal="right" vertical="center"/>
      <protection hidden="1"/>
    </xf>
    <xf numFmtId="0" fontId="0" fillId="0" borderId="23" xfId="0" applyBorder="1" applyAlignment="1" applyProtection="1">
      <alignment vertical="top"/>
      <protection hidden="1"/>
    </xf>
    <xf numFmtId="0" fontId="0" fillId="0" borderId="24" xfId="0" applyBorder="1" applyAlignment="1" applyProtection="1">
      <alignment vertical="top"/>
      <protection hidden="1"/>
    </xf>
    <xf numFmtId="0" fontId="22" fillId="0" borderId="25" xfId="0" applyFont="1" applyBorder="1" applyAlignment="1" applyProtection="1">
      <alignment horizontal="right" vertical="center"/>
      <protection hidden="1"/>
    </xf>
    <xf numFmtId="0" fontId="0" fillId="0" borderId="45" xfId="0" applyBorder="1" applyAlignment="1" applyProtection="1">
      <alignment vertical="top"/>
      <protection hidden="1"/>
    </xf>
    <xf numFmtId="0" fontId="0" fillId="0" borderId="50" xfId="0" applyBorder="1" applyAlignment="1" applyProtection="1">
      <alignment vertical="top"/>
      <protection hidden="1"/>
    </xf>
    <xf numFmtId="16" fontId="0" fillId="0" borderId="50" xfId="0" quotePrefix="1" applyNumberFormat="1" applyBorder="1" applyAlignment="1" applyProtection="1">
      <alignment vertical="top"/>
      <protection hidden="1"/>
    </xf>
    <xf numFmtId="16" fontId="9" fillId="0" borderId="50" xfId="0" quotePrefix="1" applyNumberFormat="1" applyFont="1" applyBorder="1" applyAlignment="1" applyProtection="1">
      <alignment vertical="top"/>
      <protection hidden="1"/>
    </xf>
    <xf numFmtId="16" fontId="9" fillId="0" borderId="50" xfId="0" quotePrefix="1" applyNumberFormat="1" applyFont="1" applyBorder="1" applyAlignment="1" applyProtection="1">
      <alignment horizontal="right" vertical="top"/>
      <protection hidden="1"/>
    </xf>
    <xf numFmtId="0" fontId="22" fillId="0" borderId="6" xfId="0" quotePrefix="1" applyFont="1" applyBorder="1" applyAlignment="1" applyProtection="1">
      <alignment vertical="top"/>
      <protection hidden="1"/>
    </xf>
    <xf numFmtId="0" fontId="9" fillId="0" borderId="12" xfId="0" quotePrefix="1" applyFont="1" applyBorder="1" applyAlignment="1" applyProtection="1">
      <alignment horizontal="right" vertical="top"/>
      <protection hidden="1"/>
    </xf>
    <xf numFmtId="16" fontId="9" fillId="0" borderId="47" xfId="0" quotePrefix="1" applyNumberFormat="1" applyFont="1" applyBorder="1" applyAlignment="1" applyProtection="1">
      <alignment horizontal="right" vertical="top"/>
      <protection hidden="1"/>
    </xf>
    <xf numFmtId="0" fontId="9" fillId="0" borderId="47" xfId="0" quotePrefix="1" applyFont="1" applyBorder="1" applyAlignment="1" applyProtection="1">
      <alignment horizontal="right" vertical="top"/>
      <protection hidden="1"/>
    </xf>
    <xf numFmtId="0" fontId="0" fillId="0" borderId="46" xfId="0" applyBorder="1" applyAlignment="1" applyProtection="1">
      <alignment vertical="top"/>
      <protection hidden="1"/>
    </xf>
    <xf numFmtId="0" fontId="9" fillId="0" borderId="7" xfId="0" applyFont="1" applyBorder="1" applyAlignment="1" applyProtection="1">
      <alignment horizontal="right" vertical="top"/>
      <protection hidden="1"/>
    </xf>
    <xf numFmtId="16" fontId="11" fillId="0" borderId="23" xfId="0" quotePrefix="1" applyNumberFormat="1" applyFont="1" applyBorder="1" applyAlignment="1" applyProtection="1">
      <alignment horizontal="left" vertical="center"/>
      <protection hidden="1"/>
    </xf>
    <xf numFmtId="0" fontId="11" fillId="0" borderId="24" xfId="0" applyFont="1" applyBorder="1" applyAlignment="1" applyProtection="1">
      <alignment vertical="center"/>
      <protection hidden="1"/>
    </xf>
    <xf numFmtId="0" fontId="0" fillId="0" borderId="25" xfId="0" applyBorder="1" applyAlignment="1" applyProtection="1">
      <alignment vertical="center"/>
      <protection hidden="1"/>
    </xf>
    <xf numFmtId="0" fontId="9" fillId="0" borderId="44" xfId="0" applyFont="1" applyBorder="1" applyAlignment="1" applyProtection="1">
      <alignment vertical="top"/>
      <protection hidden="1"/>
    </xf>
    <xf numFmtId="0" fontId="9" fillId="0" borderId="46" xfId="0" applyFont="1" applyBorder="1" applyAlignment="1" applyProtection="1">
      <alignment horizontal="right" vertical="top"/>
      <protection hidden="1"/>
    </xf>
    <xf numFmtId="0" fontId="13" fillId="0" borderId="49" xfId="0" applyFont="1" applyBorder="1" applyAlignment="1" applyProtection="1">
      <alignment vertical="top"/>
      <protection hidden="1"/>
    </xf>
    <xf numFmtId="0" fontId="9" fillId="0" borderId="49" xfId="0" applyFont="1" applyBorder="1" applyAlignment="1" applyProtection="1">
      <alignment vertical="top"/>
      <protection hidden="1"/>
    </xf>
    <xf numFmtId="167" fontId="0" fillId="0" borderId="49" xfId="0" applyNumberFormat="1" applyBorder="1" applyAlignment="1" applyProtection="1">
      <alignment horizontal="right" vertical="top"/>
      <protection hidden="1"/>
    </xf>
    <xf numFmtId="167" fontId="11" fillId="0" borderId="49" xfId="0" applyNumberFormat="1" applyFont="1" applyBorder="1" applyAlignment="1" applyProtection="1">
      <alignment horizontal="right" vertical="top"/>
      <protection hidden="1"/>
    </xf>
    <xf numFmtId="0" fontId="13" fillId="0" borderId="47" xfId="0" applyFont="1" applyBorder="1" applyAlignment="1" applyProtection="1">
      <alignment vertical="top"/>
      <protection hidden="1"/>
    </xf>
    <xf numFmtId="0" fontId="9" fillId="0" borderId="47" xfId="0" applyFont="1" applyBorder="1" applyAlignment="1" applyProtection="1">
      <alignment vertical="top"/>
      <protection hidden="1"/>
    </xf>
    <xf numFmtId="167" fontId="0" fillId="0" borderId="47" xfId="0" applyNumberFormat="1" applyBorder="1" applyAlignment="1" applyProtection="1">
      <alignment horizontal="right" vertical="top"/>
      <protection hidden="1"/>
    </xf>
    <xf numFmtId="167" fontId="11" fillId="0" borderId="47" xfId="0" applyNumberFormat="1" applyFont="1" applyBorder="1" applyAlignment="1" applyProtection="1">
      <alignment horizontal="right" vertical="top"/>
      <protection hidden="1"/>
    </xf>
    <xf numFmtId="0" fontId="13" fillId="0" borderId="43" xfId="0" applyFont="1" applyBorder="1" applyAlignment="1" applyProtection="1">
      <alignment vertical="top"/>
      <protection hidden="1"/>
    </xf>
    <xf numFmtId="0" fontId="9" fillId="0" borderId="43" xfId="0" applyFont="1" applyBorder="1" applyAlignment="1" applyProtection="1">
      <alignment vertical="top"/>
      <protection hidden="1"/>
    </xf>
    <xf numFmtId="167" fontId="0" fillId="0" borderId="43" xfId="0" applyNumberFormat="1" applyBorder="1" applyAlignment="1" applyProtection="1">
      <alignment horizontal="right" vertical="top"/>
      <protection hidden="1"/>
    </xf>
    <xf numFmtId="0" fontId="0" fillId="0" borderId="6" xfId="0" applyBorder="1"/>
    <xf numFmtId="0" fontId="24" fillId="0" borderId="8" xfId="1" applyFont="1" applyBorder="1" applyProtection="1">
      <protection hidden="1"/>
    </xf>
    <xf numFmtId="0" fontId="24" fillId="0" borderId="2" xfId="1" applyFont="1" applyBorder="1" applyProtection="1">
      <protection hidden="1"/>
    </xf>
    <xf numFmtId="0" fontId="0" fillId="0" borderId="11" xfId="1" applyFont="1" applyBorder="1" applyProtection="1">
      <protection hidden="1"/>
    </xf>
    <xf numFmtId="49" fontId="25" fillId="4" borderId="45" xfId="1" applyNumberFormat="1" applyFont="1" applyFill="1" applyBorder="1" applyAlignment="1" applyProtection="1">
      <alignment horizontal="center" vertical="top"/>
      <protection hidden="1"/>
    </xf>
    <xf numFmtId="0" fontId="24" fillId="4" borderId="14" xfId="1" applyFont="1" applyFill="1" applyBorder="1" applyAlignment="1" applyProtection="1">
      <alignment vertical="center"/>
      <protection hidden="1"/>
    </xf>
    <xf numFmtId="0" fontId="35" fillId="0" borderId="8" xfId="1" applyFont="1" applyBorder="1" applyAlignment="1" applyProtection="1">
      <alignment vertical="center"/>
      <protection hidden="1"/>
    </xf>
    <xf numFmtId="4" fontId="11" fillId="0" borderId="6" xfId="0" applyNumberFormat="1" applyFont="1" applyBorder="1" applyAlignment="1" applyProtection="1">
      <alignment horizontal="right" vertical="center"/>
      <protection hidden="1"/>
    </xf>
    <xf numFmtId="0" fontId="11" fillId="0" borderId="3" xfId="0" applyFont="1" applyBorder="1" applyAlignment="1" applyProtection="1">
      <alignment vertical="top"/>
      <protection hidden="1"/>
    </xf>
    <xf numFmtId="0" fontId="24" fillId="0" borderId="2" xfId="2" applyFont="1" applyBorder="1" applyProtection="1">
      <protection hidden="1"/>
    </xf>
    <xf numFmtId="0" fontId="0" fillId="0" borderId="0" xfId="0" applyAlignment="1" applyProtection="1">
      <alignment horizontal="left" vertical="top" wrapText="1"/>
      <protection hidden="1"/>
    </xf>
    <xf numFmtId="167" fontId="11" fillId="0" borderId="9" xfId="0" applyNumberFormat="1" applyFont="1" applyBorder="1" applyAlignment="1" applyProtection="1">
      <alignment vertical="top"/>
      <protection hidden="1"/>
    </xf>
    <xf numFmtId="0" fontId="9" fillId="4" borderId="1" xfId="0" applyFont="1" applyFill="1" applyBorder="1" applyAlignment="1" applyProtection="1">
      <alignment vertical="top"/>
      <protection hidden="1"/>
    </xf>
    <xf numFmtId="0" fontId="9" fillId="6" borderId="1" xfId="0" applyFont="1" applyFill="1" applyBorder="1" applyAlignment="1" applyProtection="1">
      <alignment vertical="top"/>
      <protection hidden="1"/>
    </xf>
    <xf numFmtId="0" fontId="9" fillId="0" borderId="3" xfId="0" applyFont="1" applyBorder="1" applyAlignment="1" applyProtection="1">
      <alignment vertical="center"/>
      <protection hidden="1"/>
    </xf>
    <xf numFmtId="0" fontId="13" fillId="4" borderId="1" xfId="0" applyFont="1" applyFill="1" applyBorder="1" applyAlignment="1" applyProtection="1">
      <alignment vertical="top" wrapText="1"/>
      <protection hidden="1"/>
    </xf>
    <xf numFmtId="0" fontId="11" fillId="0" borderId="11" xfId="0" applyFont="1" applyBorder="1" applyAlignment="1" applyProtection="1">
      <alignment vertical="top" wrapText="1"/>
      <protection hidden="1"/>
    </xf>
    <xf numFmtId="0" fontId="11" fillId="0" borderId="0" xfId="0" applyFont="1" applyAlignment="1" applyProtection="1">
      <alignment vertical="top" wrapText="1"/>
      <protection hidden="1"/>
    </xf>
    <xf numFmtId="2" fontId="0" fillId="0" borderId="1" xfId="0" applyNumberFormat="1" applyBorder="1" applyAlignment="1" applyProtection="1">
      <alignment horizontal="center" vertical="center"/>
      <protection hidden="1"/>
    </xf>
    <xf numFmtId="0" fontId="0" fillId="0" borderId="0" xfId="0" applyAlignment="1" applyProtection="1">
      <alignment horizontal="right" vertical="top"/>
      <protection hidden="1"/>
    </xf>
    <xf numFmtId="166" fontId="0" fillId="0" borderId="1" xfId="0" applyNumberFormat="1" applyBorder="1" applyAlignment="1" applyProtection="1">
      <alignment horizontal="center" vertical="center"/>
      <protection hidden="1"/>
    </xf>
    <xf numFmtId="2" fontId="0" fillId="5" borderId="1" xfId="0" applyNumberFormat="1" applyFill="1" applyBorder="1" applyAlignment="1" applyProtection="1">
      <alignment horizontal="center" vertical="top" wrapText="1"/>
      <protection locked="0"/>
    </xf>
    <xf numFmtId="16" fontId="9" fillId="6" borderId="1" xfId="0" quotePrefix="1" applyNumberFormat="1" applyFont="1" applyFill="1" applyBorder="1" applyAlignment="1" applyProtection="1">
      <alignment horizontal="left" vertical="top"/>
      <protection hidden="1"/>
    </xf>
    <xf numFmtId="16" fontId="13" fillId="6" borderId="1" xfId="0" quotePrefix="1" applyNumberFormat="1" applyFont="1" applyFill="1" applyBorder="1" applyAlignment="1" applyProtection="1">
      <alignment vertical="top"/>
      <protection hidden="1"/>
    </xf>
    <xf numFmtId="167" fontId="0" fillId="0" borderId="12" xfId="0" applyNumberFormat="1" applyBorder="1" applyAlignment="1" applyProtection="1">
      <alignment vertical="center"/>
      <protection hidden="1"/>
    </xf>
    <xf numFmtId="4" fontId="34" fillId="0" borderId="13" xfId="1" applyNumberFormat="1" applyFont="1" applyBorder="1" applyAlignment="1" applyProtection="1">
      <alignment horizontal="left" wrapText="1"/>
      <protection hidden="1"/>
    </xf>
    <xf numFmtId="0" fontId="15" fillId="0" borderId="0" xfId="1" applyFont="1" applyAlignment="1" applyProtection="1">
      <alignment horizontal="left" wrapText="1"/>
      <protection hidden="1"/>
    </xf>
    <xf numFmtId="4" fontId="0" fillId="0" borderId="0" xfId="1" applyNumberFormat="1" applyFont="1" applyAlignment="1" applyProtection="1">
      <alignment vertical="top"/>
      <protection hidden="1"/>
    </xf>
    <xf numFmtId="4" fontId="24" fillId="0" borderId="0" xfId="1" applyNumberFormat="1" applyFont="1" applyAlignment="1" applyProtection="1">
      <alignment vertical="top"/>
      <protection hidden="1"/>
    </xf>
    <xf numFmtId="0" fontId="27" fillId="0" borderId="2" xfId="2" applyFont="1" applyBorder="1" applyProtection="1">
      <protection hidden="1"/>
    </xf>
    <xf numFmtId="2" fontId="0" fillId="4" borderId="1" xfId="0" applyNumberFormat="1" applyFill="1" applyBorder="1" applyAlignment="1" applyProtection="1">
      <alignment horizontal="center" vertical="center" wrapText="1"/>
      <protection locked="0" hidden="1"/>
    </xf>
    <xf numFmtId="0" fontId="0" fillId="0" borderId="3" xfId="0" applyBorder="1" applyAlignment="1" applyProtection="1">
      <alignment horizontal="left" vertical="top"/>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 xfId="0" applyFont="1" applyBorder="1" applyAlignment="1" applyProtection="1">
      <alignment horizontal="left" vertical="center"/>
      <protection hidden="1"/>
    </xf>
    <xf numFmtId="0" fontId="11" fillId="0" borderId="3" xfId="0" applyFont="1" applyBorder="1" applyAlignment="1" applyProtection="1">
      <alignment vertical="center"/>
      <protection hidden="1"/>
    </xf>
    <xf numFmtId="167" fontId="11" fillId="0" borderId="3" xfId="0" applyNumberFormat="1" applyFont="1" applyBorder="1" applyAlignment="1" applyProtection="1">
      <alignment vertical="top"/>
      <protection hidden="1"/>
    </xf>
    <xf numFmtId="16" fontId="9" fillId="4" borderId="1" xfId="0" quotePrefix="1" applyNumberFormat="1" applyFont="1" applyFill="1" applyBorder="1" applyAlignment="1" applyProtection="1">
      <alignment vertical="top"/>
      <protection hidden="1"/>
    </xf>
    <xf numFmtId="167" fontId="0" fillId="0" borderId="14" xfId="0" applyNumberFormat="1" applyBorder="1" applyAlignment="1" applyProtection="1">
      <alignment vertical="center"/>
      <protection hidden="1"/>
    </xf>
    <xf numFmtId="4" fontId="0" fillId="0" borderId="0" xfId="0" applyNumberFormat="1" applyAlignment="1" applyProtection="1">
      <alignment vertical="top"/>
      <protection hidden="1"/>
    </xf>
    <xf numFmtId="4" fontId="0" fillId="0" borderId="0" xfId="0" applyNumberFormat="1" applyAlignment="1" applyProtection="1">
      <alignment vertical="top"/>
      <protection locked="0" hidden="1"/>
    </xf>
    <xf numFmtId="0" fontId="24" fillId="0" borderId="0" xfId="2" applyFont="1" applyAlignment="1" applyProtection="1">
      <alignment vertical="top" wrapText="1"/>
      <protection hidden="1"/>
    </xf>
    <xf numFmtId="0" fontId="0" fillId="0" borderId="0" xfId="2" applyFont="1" applyAlignment="1" applyProtection="1">
      <alignment vertical="top" wrapText="1"/>
      <protection hidden="1"/>
    </xf>
    <xf numFmtId="0" fontId="11" fillId="0" borderId="0" xfId="2" applyFont="1" applyProtection="1">
      <protection hidden="1"/>
    </xf>
    <xf numFmtId="0" fontId="0" fillId="0" borderId="45" xfId="0" applyBorder="1" applyAlignment="1" applyProtection="1">
      <alignment horizontal="left" vertical="center"/>
      <protection hidden="1"/>
    </xf>
    <xf numFmtId="0" fontId="0" fillId="0" borderId="50" xfId="0" applyBorder="1" applyAlignment="1" applyProtection="1">
      <alignment horizontal="left" vertical="center"/>
      <protection hidden="1"/>
    </xf>
    <xf numFmtId="167" fontId="0" fillId="0" borderId="0" xfId="0" applyNumberFormat="1" applyAlignment="1" applyProtection="1">
      <alignment vertical="top"/>
      <protection locked="0" hidden="1"/>
    </xf>
    <xf numFmtId="0" fontId="36" fillId="0" borderId="0" xfId="0" applyFont="1" applyAlignment="1" applyProtection="1">
      <alignment vertical="top"/>
      <protection locked="0" hidden="1"/>
    </xf>
    <xf numFmtId="0" fontId="30" fillId="0" borderId="0" xfId="3" applyFont="1" applyFill="1" applyBorder="1" applyAlignment="1" applyProtection="1">
      <alignment horizontal="center" vertical="center"/>
      <protection hidden="1"/>
    </xf>
    <xf numFmtId="0" fontId="11" fillId="0" borderId="24" xfId="0" applyFont="1" applyBorder="1" applyAlignment="1" applyProtection="1">
      <alignment horizontal="left" vertical="center"/>
      <protection hidden="1"/>
    </xf>
    <xf numFmtId="0" fontId="22" fillId="0" borderId="0" xfId="0" applyFont="1" applyAlignment="1" applyProtection="1">
      <alignment vertical="top" wrapText="1"/>
      <protection hidden="1"/>
    </xf>
    <xf numFmtId="0" fontId="0" fillId="0" borderId="9" xfId="0" applyBorder="1" applyAlignment="1" applyProtection="1">
      <alignment horizontal="left" vertical="center"/>
      <protection hidden="1"/>
    </xf>
    <xf numFmtId="0" fontId="11" fillId="0" borderId="0" xfId="0" applyFont="1" applyAlignment="1" applyProtection="1">
      <alignment horizontal="left" vertical="center"/>
      <protection hidden="1"/>
    </xf>
    <xf numFmtId="0" fontId="10" fillId="0" borderId="0" xfId="0" applyFont="1" applyAlignment="1" applyProtection="1">
      <alignment horizontal="center" vertical="center" wrapText="1"/>
      <protection hidden="1"/>
    </xf>
    <xf numFmtId="0" fontId="11" fillId="0" borderId="6" xfId="0" applyFont="1" applyBorder="1" applyAlignment="1" applyProtection="1">
      <alignment horizontal="left" vertical="center"/>
      <protection hidden="1"/>
    </xf>
    <xf numFmtId="0" fontId="11" fillId="0" borderId="6" xfId="0" applyFont="1" applyBorder="1" applyAlignment="1" applyProtection="1">
      <alignment horizontal="center" vertical="center" wrapText="1"/>
      <protection hidden="1"/>
    </xf>
    <xf numFmtId="0" fontId="11" fillId="0" borderId="3" xfId="0" applyFont="1" applyBorder="1" applyAlignment="1" applyProtection="1">
      <alignment horizontal="left" vertical="center"/>
      <protection hidden="1"/>
    </xf>
    <xf numFmtId="0" fontId="11" fillId="0" borderId="25" xfId="0" applyFont="1" applyBorder="1" applyAlignment="1" applyProtection="1">
      <alignment horizontal="right" vertical="center"/>
      <protection hidden="1"/>
    </xf>
    <xf numFmtId="0" fontId="11" fillId="0" borderId="23" xfId="0" applyFont="1" applyBorder="1" applyAlignment="1" applyProtection="1">
      <alignment vertical="center"/>
      <protection hidden="1"/>
    </xf>
    <xf numFmtId="0" fontId="11" fillId="0" borderId="6" xfId="0" applyFont="1" applyBorder="1" applyAlignment="1" applyProtection="1">
      <alignment vertical="center"/>
      <protection hidden="1"/>
    </xf>
    <xf numFmtId="0" fontId="0" fillId="0" borderId="24" xfId="0" applyBorder="1" applyAlignment="1" applyProtection="1">
      <alignment horizontal="left" vertical="center"/>
      <protection hidden="1"/>
    </xf>
    <xf numFmtId="0" fontId="10" fillId="0" borderId="6" xfId="0" applyFont="1" applyBorder="1" applyAlignment="1" applyProtection="1">
      <alignment vertical="center" wrapText="1"/>
      <protection hidden="1"/>
    </xf>
    <xf numFmtId="0" fontId="11" fillId="0" borderId="22" xfId="0" applyFont="1" applyBorder="1" applyAlignment="1" applyProtection="1">
      <alignment horizontal="left" vertical="center"/>
      <protection hidden="1"/>
    </xf>
    <xf numFmtId="166" fontId="11" fillId="0" borderId="14" xfId="0" applyNumberFormat="1" applyFont="1" applyBorder="1" applyAlignment="1" applyProtection="1">
      <alignment horizontal="center" vertical="center"/>
      <protection hidden="1"/>
    </xf>
    <xf numFmtId="0" fontId="0" fillId="0" borderId="12" xfId="0" applyBorder="1" applyAlignment="1" applyProtection="1">
      <alignment horizontal="center" vertical="top" wrapText="1"/>
      <protection hidden="1"/>
    </xf>
    <xf numFmtId="0" fontId="0" fillId="0" borderId="21" xfId="0" applyBorder="1" applyAlignment="1" applyProtection="1">
      <alignment horizontal="left" vertical="center"/>
      <protection hidden="1"/>
    </xf>
    <xf numFmtId="0" fontId="0" fillId="0" borderId="6" xfId="0" applyBorder="1" applyAlignment="1" applyProtection="1">
      <alignment horizontal="center" vertical="center"/>
      <protection hidden="1"/>
    </xf>
    <xf numFmtId="0" fontId="29" fillId="0" borderId="6" xfId="0" applyFont="1" applyBorder="1" applyAlignment="1" applyProtection="1">
      <alignment vertical="top"/>
      <protection hidden="1"/>
    </xf>
    <xf numFmtId="0" fontId="9" fillId="0" borderId="6" xfId="0" applyFont="1" applyBorder="1" applyAlignment="1" applyProtection="1">
      <alignment horizontal="center" vertical="center"/>
      <protection hidden="1"/>
    </xf>
    <xf numFmtId="0" fontId="0" fillId="0" borderId="6" xfId="0" applyBorder="1" applyAlignment="1" applyProtection="1">
      <alignment horizontal="center" vertical="center" textRotation="90"/>
      <protection hidden="1"/>
    </xf>
    <xf numFmtId="16" fontId="9" fillId="0" borderId="43" xfId="0" quotePrefix="1" applyNumberFormat="1" applyFont="1" applyBorder="1" applyAlignment="1" applyProtection="1">
      <alignment horizontal="right" vertical="top"/>
      <protection hidden="1"/>
    </xf>
    <xf numFmtId="167" fontId="0" fillId="0" borderId="41" xfId="0" applyNumberFormat="1" applyBorder="1" applyAlignment="1" applyProtection="1">
      <alignment vertical="center"/>
      <protection hidden="1"/>
    </xf>
    <xf numFmtId="0" fontId="43" fillId="0" borderId="6" xfId="0" applyFont="1" applyBorder="1" applyAlignment="1" applyProtection="1">
      <alignment horizontal="center" vertical="center" wrapText="1"/>
      <protection hidden="1"/>
    </xf>
    <xf numFmtId="0" fontId="11" fillId="2" borderId="24" xfId="0" applyFont="1" applyFill="1" applyBorder="1" applyAlignment="1" applyProtection="1">
      <alignment horizontal="left" vertical="center"/>
      <protection hidden="1"/>
    </xf>
    <xf numFmtId="0" fontId="11" fillId="0" borderId="6" xfId="0" applyFont="1" applyBorder="1" applyAlignment="1" applyProtection="1">
      <alignment vertical="center" wrapText="1"/>
      <protection hidden="1"/>
    </xf>
    <xf numFmtId="0" fontId="11" fillId="0" borderId="22" xfId="0" applyFont="1" applyBorder="1" applyAlignment="1" applyProtection="1">
      <alignment vertical="center"/>
      <protection hidden="1"/>
    </xf>
    <xf numFmtId="0" fontId="11" fillId="0" borderId="48" xfId="0" applyFont="1" applyBorder="1" applyAlignment="1" applyProtection="1">
      <alignment vertical="center"/>
      <protection hidden="1"/>
    </xf>
    <xf numFmtId="0" fontId="11" fillId="0" borderId="25" xfId="0" applyFont="1" applyBorder="1" applyAlignment="1" applyProtection="1">
      <alignment vertical="center"/>
      <protection hidden="1"/>
    </xf>
    <xf numFmtId="0" fontId="10" fillId="0" borderId="22" xfId="0" applyFont="1" applyBorder="1" applyAlignment="1" applyProtection="1">
      <alignment vertical="center" wrapText="1"/>
      <protection hidden="1"/>
    </xf>
    <xf numFmtId="0" fontId="0" fillId="0" borderId="24" xfId="0" applyBorder="1" applyAlignment="1" applyProtection="1">
      <alignment horizontal="left" vertical="top"/>
      <protection hidden="1"/>
    </xf>
    <xf numFmtId="167" fontId="0" fillId="0" borderId="3" xfId="0" applyNumberFormat="1" applyBorder="1" applyAlignment="1" applyProtection="1">
      <alignment vertical="top"/>
      <protection hidden="1"/>
    </xf>
    <xf numFmtId="0" fontId="39" fillId="0" borderId="50" xfId="1" quotePrefix="1" applyFont="1" applyBorder="1" applyAlignment="1" applyProtection="1">
      <alignment vertical="top" wrapText="1"/>
      <protection hidden="1"/>
    </xf>
    <xf numFmtId="0" fontId="24" fillId="0" borderId="50" xfId="1" applyFont="1" applyBorder="1" applyAlignment="1" applyProtection="1">
      <alignment horizontal="center" vertical="top"/>
      <protection hidden="1"/>
    </xf>
    <xf numFmtId="0" fontId="24" fillId="0" borderId="3" xfId="1" applyFont="1" applyBorder="1" applyAlignment="1" applyProtection="1">
      <alignment vertical="top" wrapText="1"/>
      <protection hidden="1"/>
    </xf>
    <xf numFmtId="0" fontId="24" fillId="0" borderId="53" xfId="1" applyFont="1" applyBorder="1" applyAlignment="1" applyProtection="1">
      <alignment vertical="top" wrapText="1"/>
      <protection hidden="1"/>
    </xf>
    <xf numFmtId="0" fontId="24" fillId="0" borderId="53" xfId="2" applyFont="1" applyBorder="1" applyAlignment="1" applyProtection="1">
      <alignment vertical="top" wrapText="1"/>
      <protection hidden="1"/>
    </xf>
    <xf numFmtId="4" fontId="0" fillId="0" borderId="57" xfId="2" applyNumberFormat="1" applyFont="1" applyBorder="1" applyAlignment="1" applyProtection="1">
      <alignment horizontal="center" vertical="top"/>
      <protection hidden="1"/>
    </xf>
    <xf numFmtId="0" fontId="0" fillId="3" borderId="0" xfId="2" applyFont="1" applyFill="1" applyAlignment="1" applyProtection="1">
      <alignment vertical="top" wrapText="1"/>
      <protection hidden="1"/>
    </xf>
    <xf numFmtId="4" fontId="0" fillId="3" borderId="51" xfId="2" applyNumberFormat="1" applyFont="1" applyFill="1" applyBorder="1" applyAlignment="1" applyProtection="1">
      <alignment horizontal="center" vertical="top"/>
      <protection hidden="1"/>
    </xf>
    <xf numFmtId="0" fontId="24" fillId="0" borderId="0" xfId="2" applyFont="1" applyAlignment="1" applyProtection="1">
      <alignment horizontal="center" vertical="top"/>
      <protection hidden="1"/>
    </xf>
    <xf numFmtId="0" fontId="24" fillId="0" borderId="50" xfId="2" applyFont="1" applyBorder="1" applyAlignment="1" applyProtection="1">
      <alignment horizontal="center" vertical="top"/>
      <protection hidden="1"/>
    </xf>
    <xf numFmtId="0" fontId="12" fillId="0" borderId="57" xfId="2" applyFont="1" applyBorder="1" applyProtection="1">
      <protection hidden="1"/>
    </xf>
    <xf numFmtId="0" fontId="24" fillId="0" borderId="50" xfId="2" applyFont="1" applyBorder="1" applyAlignment="1" applyProtection="1">
      <alignment vertical="top"/>
      <protection hidden="1"/>
    </xf>
    <xf numFmtId="0" fontId="24" fillId="0" borderId="1" xfId="1" applyFont="1" applyBorder="1" applyAlignment="1" applyProtection="1">
      <alignment vertical="top"/>
      <protection hidden="1"/>
    </xf>
    <xf numFmtId="0" fontId="48" fillId="0" borderId="6" xfId="1" applyFont="1" applyBorder="1" applyAlignment="1" applyProtection="1">
      <alignment horizontal="left" vertical="top" wrapText="1"/>
      <protection hidden="1"/>
    </xf>
    <xf numFmtId="4" fontId="0" fillId="3" borderId="4" xfId="1" applyNumberFormat="1" applyFont="1" applyFill="1" applyBorder="1" applyAlignment="1" applyProtection="1">
      <alignment horizontal="center" vertical="top"/>
      <protection hidden="1"/>
    </xf>
    <xf numFmtId="4" fontId="0" fillId="0" borderId="57" xfId="1" applyNumberFormat="1" applyFont="1" applyBorder="1" applyAlignment="1" applyProtection="1">
      <alignment horizontal="center" vertical="top"/>
      <protection hidden="1"/>
    </xf>
    <xf numFmtId="4" fontId="0" fillId="3" borderId="51" xfId="1" applyNumberFormat="1" applyFont="1" applyFill="1" applyBorder="1" applyAlignment="1" applyProtection="1">
      <alignment horizontal="center" vertical="top"/>
      <protection hidden="1"/>
    </xf>
    <xf numFmtId="4" fontId="0" fillId="3" borderId="13" xfId="1" applyNumberFormat="1" applyFont="1" applyFill="1" applyBorder="1" applyAlignment="1" applyProtection="1">
      <alignment horizontal="center" vertical="top"/>
      <protection hidden="1"/>
    </xf>
    <xf numFmtId="0" fontId="48" fillId="0" borderId="9" xfId="1" applyFont="1" applyBorder="1" applyAlignment="1" applyProtection="1">
      <alignment vertical="center"/>
      <protection hidden="1"/>
    </xf>
    <xf numFmtId="0" fontId="24" fillId="0" borderId="3" xfId="2" applyFont="1" applyBorder="1" applyAlignment="1" applyProtection="1">
      <alignment vertical="top" wrapText="1"/>
      <protection hidden="1"/>
    </xf>
    <xf numFmtId="4" fontId="27" fillId="0" borderId="10" xfId="0" applyNumberFormat="1" applyFont="1" applyBorder="1" applyAlignment="1" applyProtection="1">
      <alignment horizontal="center" vertical="center"/>
      <protection hidden="1"/>
    </xf>
    <xf numFmtId="0" fontId="24" fillId="3" borderId="0" xfId="2" applyFont="1" applyFill="1" applyAlignment="1" applyProtection="1">
      <alignment vertical="top" wrapText="1"/>
      <protection hidden="1"/>
    </xf>
    <xf numFmtId="4" fontId="0" fillId="3" borderId="13" xfId="2" applyNumberFormat="1" applyFont="1" applyFill="1" applyBorder="1" applyAlignment="1" applyProtection="1">
      <alignment horizontal="center" vertical="top"/>
      <protection hidden="1"/>
    </xf>
    <xf numFmtId="4" fontId="0" fillId="0" borderId="57" xfId="2" applyNumberFormat="1" applyFont="1" applyBorder="1" applyAlignment="1" applyProtection="1">
      <alignment vertical="top"/>
      <protection hidden="1"/>
    </xf>
    <xf numFmtId="4" fontId="0" fillId="0" borderId="60" xfId="2" applyNumberFormat="1" applyFont="1" applyBorder="1" applyAlignment="1" applyProtection="1">
      <alignment horizontal="center" vertical="top"/>
      <protection hidden="1"/>
    </xf>
    <xf numFmtId="0" fontId="43" fillId="0" borderId="2" xfId="1" applyFont="1" applyBorder="1" applyAlignment="1" applyProtection="1">
      <alignment horizontal="left" vertical="top" wrapText="1"/>
      <protection hidden="1"/>
    </xf>
    <xf numFmtId="0" fontId="43" fillId="0" borderId="6" xfId="1" applyFont="1" applyBorder="1" applyAlignment="1" applyProtection="1">
      <alignment horizontal="left" vertical="top" wrapText="1"/>
      <protection hidden="1"/>
    </xf>
    <xf numFmtId="0" fontId="44" fillId="0" borderId="13" xfId="1" quotePrefix="1" applyFont="1" applyBorder="1" applyAlignment="1" applyProtection="1">
      <alignment vertical="top"/>
      <protection hidden="1"/>
    </xf>
    <xf numFmtId="0" fontId="14" fillId="3" borderId="9" xfId="1" applyFont="1" applyFill="1" applyBorder="1" applyAlignment="1" applyProtection="1">
      <alignment vertical="center"/>
      <protection hidden="1"/>
    </xf>
    <xf numFmtId="0" fontId="53" fillId="0" borderId="0" xfId="1" applyFont="1" applyAlignment="1" applyProtection="1">
      <alignment horizontal="center"/>
      <protection hidden="1"/>
    </xf>
    <xf numFmtId="0" fontId="54" fillId="0" borderId="0" xfId="1" applyFont="1" applyProtection="1">
      <protection hidden="1"/>
    </xf>
    <xf numFmtId="0" fontId="14" fillId="3" borderId="9" xfId="2" applyFont="1" applyFill="1" applyBorder="1" applyAlignment="1" applyProtection="1">
      <alignment vertical="center"/>
      <protection hidden="1"/>
    </xf>
    <xf numFmtId="0" fontId="9" fillId="0" borderId="0" xfId="2" applyFont="1" applyAlignment="1" applyProtection="1">
      <alignment vertical="top"/>
      <protection hidden="1"/>
    </xf>
    <xf numFmtId="0" fontId="39" fillId="0" borderId="50" xfId="1" quotePrefix="1" applyFont="1" applyBorder="1" applyAlignment="1" applyProtection="1">
      <alignment horizontal="center" vertical="top"/>
      <protection hidden="1"/>
    </xf>
    <xf numFmtId="0" fontId="14" fillId="0" borderId="50" xfId="2" applyFont="1" applyBorder="1" applyAlignment="1" applyProtection="1">
      <alignment horizontal="right" vertical="center"/>
      <protection hidden="1"/>
    </xf>
    <xf numFmtId="4" fontId="11" fillId="0" borderId="57" xfId="0" applyNumberFormat="1" applyFont="1" applyBorder="1" applyAlignment="1" applyProtection="1">
      <alignment horizontal="right" vertical="center"/>
      <protection hidden="1"/>
    </xf>
    <xf numFmtId="0" fontId="14" fillId="0" borderId="50" xfId="2" applyFont="1" applyBorder="1" applyAlignment="1" applyProtection="1">
      <alignment vertical="center"/>
      <protection hidden="1"/>
    </xf>
    <xf numFmtId="0" fontId="9" fillId="0" borderId="53" xfId="2" applyFont="1" applyBorder="1" applyAlignment="1" applyProtection="1">
      <alignment vertical="top"/>
      <protection hidden="1"/>
    </xf>
    <xf numFmtId="0" fontId="25" fillId="4" borderId="50" xfId="1" applyFont="1" applyFill="1" applyBorder="1" applyAlignment="1" applyProtection="1">
      <alignment vertical="top" wrapText="1"/>
      <protection locked="0"/>
    </xf>
    <xf numFmtId="3" fontId="0" fillId="4" borderId="52" xfId="2" applyNumberFormat="1" applyFont="1" applyFill="1" applyBorder="1" applyAlignment="1" applyProtection="1">
      <alignment horizontal="center" vertical="top"/>
      <protection locked="0"/>
    </xf>
    <xf numFmtId="4" fontId="0" fillId="3" borderId="51" xfId="0" applyNumberFormat="1" applyFill="1" applyBorder="1" applyAlignment="1" applyProtection="1">
      <alignment horizontal="right" vertical="top"/>
      <protection hidden="1"/>
    </xf>
    <xf numFmtId="4" fontId="0" fillId="3" borderId="4" xfId="0" applyNumberFormat="1" applyFill="1" applyBorder="1" applyAlignment="1" applyProtection="1">
      <alignment horizontal="right" vertical="top"/>
      <protection hidden="1"/>
    </xf>
    <xf numFmtId="0" fontId="25" fillId="3" borderId="50" xfId="1" applyFont="1" applyFill="1" applyBorder="1" applyAlignment="1" applyProtection="1">
      <alignment vertical="top" wrapText="1"/>
      <protection hidden="1"/>
    </xf>
    <xf numFmtId="0" fontId="39" fillId="0" borderId="0" xfId="1" quotePrefix="1" applyFont="1" applyAlignment="1" applyProtection="1">
      <alignment horizontal="center" vertical="top"/>
      <protection hidden="1"/>
    </xf>
    <xf numFmtId="0" fontId="14" fillId="0" borderId="0" xfId="2" applyFont="1" applyAlignment="1" applyProtection="1">
      <alignment vertical="center"/>
      <protection hidden="1"/>
    </xf>
    <xf numFmtId="4" fontId="11" fillId="0" borderId="13" xfId="0" applyNumberFormat="1" applyFont="1" applyBorder="1" applyAlignment="1" applyProtection="1">
      <alignment horizontal="right" vertical="center"/>
      <protection hidden="1"/>
    </xf>
    <xf numFmtId="0" fontId="14" fillId="0" borderId="0" xfId="2" applyFont="1" applyAlignment="1" applyProtection="1">
      <alignment horizontal="right" vertical="center"/>
      <protection hidden="1"/>
    </xf>
    <xf numFmtId="4" fontId="0" fillId="0" borderId="57" xfId="0" applyNumberFormat="1" applyBorder="1" applyAlignment="1" applyProtection="1">
      <alignment horizontal="left" vertical="top"/>
      <protection hidden="1"/>
    </xf>
    <xf numFmtId="4" fontId="0" fillId="0" borderId="13" xfId="0" applyNumberFormat="1" applyBorder="1" applyAlignment="1" applyProtection="1">
      <alignment horizontal="left" vertical="top"/>
      <protection hidden="1"/>
    </xf>
    <xf numFmtId="4" fontId="0" fillId="4" borderId="54" xfId="1" applyNumberFormat="1" applyFont="1" applyFill="1" applyBorder="1" applyAlignment="1" applyProtection="1">
      <alignment horizontal="center" vertical="top"/>
      <protection locked="0"/>
    </xf>
    <xf numFmtId="0" fontId="0" fillId="3" borderId="0" xfId="1" applyFont="1" applyFill="1" applyAlignment="1" applyProtection="1">
      <alignment horizontal="left" vertical="top" wrapText="1"/>
      <protection hidden="1"/>
    </xf>
    <xf numFmtId="0" fontId="24" fillId="0" borderId="50" xfId="1" applyFont="1" applyBorder="1" applyAlignment="1" applyProtection="1">
      <alignment vertical="top" wrapText="1"/>
      <protection hidden="1"/>
    </xf>
    <xf numFmtId="4" fontId="34" fillId="0" borderId="57" xfId="1" applyNumberFormat="1" applyFont="1" applyBorder="1" applyAlignment="1" applyProtection="1">
      <alignment horizontal="left" wrapText="1"/>
      <protection hidden="1"/>
    </xf>
    <xf numFmtId="0" fontId="0" fillId="3" borderId="0" xfId="1" applyFont="1" applyFill="1" applyAlignment="1" applyProtection="1">
      <alignment vertical="top" wrapText="1"/>
      <protection hidden="1"/>
    </xf>
    <xf numFmtId="16" fontId="9" fillId="0" borderId="55" xfId="0" quotePrefix="1" applyNumberFormat="1" applyFont="1" applyBorder="1" applyAlignment="1" applyProtection="1">
      <alignment horizontal="right" vertical="top"/>
      <protection hidden="1"/>
    </xf>
    <xf numFmtId="16" fontId="9" fillId="0" borderId="63" xfId="0" quotePrefix="1" applyNumberFormat="1" applyFont="1" applyBorder="1" applyAlignment="1" applyProtection="1">
      <alignment horizontal="right" vertical="top"/>
      <protection hidden="1"/>
    </xf>
    <xf numFmtId="167" fontId="11" fillId="0" borderId="43" xfId="0" applyNumberFormat="1" applyFont="1" applyBorder="1" applyAlignment="1" applyProtection="1">
      <alignment horizontal="right" vertical="top"/>
      <protection hidden="1"/>
    </xf>
    <xf numFmtId="167" fontId="0" fillId="0" borderId="14" xfId="0" applyNumberFormat="1" applyBorder="1" applyAlignment="1">
      <alignment vertical="center"/>
    </xf>
    <xf numFmtId="0" fontId="9" fillId="0" borderId="44" xfId="0" applyFont="1" applyBorder="1" applyAlignment="1">
      <alignment vertical="center"/>
    </xf>
    <xf numFmtId="0" fontId="0" fillId="0" borderId="46" xfId="0" applyBorder="1"/>
    <xf numFmtId="168" fontId="11" fillId="4" borderId="47" xfId="0" applyNumberFormat="1" applyFont="1" applyFill="1" applyBorder="1" applyAlignment="1" applyProtection="1">
      <alignment horizontal="center" vertical="center"/>
      <protection locked="0"/>
    </xf>
    <xf numFmtId="0" fontId="25" fillId="0" borderId="46" xfId="0" applyFont="1" applyBorder="1" applyAlignment="1" applyProtection="1">
      <alignment vertical="top"/>
      <protection hidden="1"/>
    </xf>
    <xf numFmtId="0" fontId="11" fillId="0" borderId="2" xfId="0" applyFont="1" applyBorder="1" applyAlignment="1" applyProtection="1">
      <alignment vertical="center"/>
      <protection hidden="1"/>
    </xf>
    <xf numFmtId="4" fontId="43" fillId="8" borderId="16" xfId="0" applyNumberFormat="1" applyFont="1" applyFill="1" applyBorder="1" applyAlignment="1" applyProtection="1">
      <alignment horizontal="right" vertical="center"/>
      <protection hidden="1"/>
    </xf>
    <xf numFmtId="0" fontId="9" fillId="0" borderId="3" xfId="0" applyFont="1" applyBorder="1" applyAlignment="1" applyProtection="1">
      <alignment horizontal="right" vertical="center"/>
      <protection hidden="1"/>
    </xf>
    <xf numFmtId="0" fontId="13" fillId="0" borderId="8" xfId="0" applyFont="1" applyBorder="1" applyAlignment="1" applyProtection="1">
      <alignment vertical="top"/>
      <protection hidden="1"/>
    </xf>
    <xf numFmtId="0" fontId="13" fillId="0" borderId="11" xfId="0" applyFont="1" applyBorder="1" applyAlignment="1" applyProtection="1">
      <alignment vertical="top"/>
      <protection hidden="1"/>
    </xf>
    <xf numFmtId="16" fontId="13" fillId="6" borderId="14" xfId="0" quotePrefix="1" applyNumberFormat="1" applyFont="1" applyFill="1" applyBorder="1" applyAlignment="1" applyProtection="1">
      <alignment vertical="top"/>
      <protection hidden="1"/>
    </xf>
    <xf numFmtId="167" fontId="25" fillId="0" borderId="1" xfId="0" quotePrefix="1" applyNumberFormat="1" applyFont="1" applyBorder="1" applyAlignment="1" applyProtection="1">
      <alignment vertical="top"/>
      <protection hidden="1"/>
    </xf>
    <xf numFmtId="0" fontId="35" fillId="0" borderId="0" xfId="0" applyFont="1" applyAlignment="1" applyProtection="1">
      <alignment vertical="top"/>
      <protection hidden="1"/>
    </xf>
    <xf numFmtId="0" fontId="56" fillId="0" borderId="0" xfId="0" applyFont="1" applyAlignment="1" applyProtection="1">
      <alignment vertical="top"/>
      <protection hidden="1"/>
    </xf>
    <xf numFmtId="0" fontId="35" fillId="0" borderId="0" xfId="0" applyFont="1" applyAlignment="1" applyProtection="1">
      <alignment vertical="center"/>
      <protection hidden="1"/>
    </xf>
    <xf numFmtId="0" fontId="35" fillId="0" borderId="0" xfId="0" applyFont="1"/>
    <xf numFmtId="0" fontId="9" fillId="0" borderId="46" xfId="0" applyFont="1" applyBorder="1" applyAlignment="1" applyProtection="1">
      <alignment horizontal="left" vertical="center"/>
      <protection hidden="1"/>
    </xf>
    <xf numFmtId="0" fontId="10" fillId="0" borderId="24" xfId="0" applyFont="1" applyBorder="1" applyAlignment="1" applyProtection="1">
      <alignment vertical="center" wrapText="1"/>
      <protection hidden="1"/>
    </xf>
    <xf numFmtId="0" fontId="11" fillId="0" borderId="25" xfId="0" applyFont="1" applyBorder="1" applyAlignment="1" applyProtection="1">
      <alignment horizontal="left" vertical="center"/>
      <protection hidden="1"/>
    </xf>
    <xf numFmtId="0" fontId="13" fillId="0" borderId="1" xfId="0" applyFont="1" applyBorder="1" applyAlignment="1" applyProtection="1">
      <alignment horizontal="left" vertical="top"/>
      <protection hidden="1"/>
    </xf>
    <xf numFmtId="16" fontId="29" fillId="0" borderId="14" xfId="0" quotePrefix="1" applyNumberFormat="1" applyFont="1" applyBorder="1" applyAlignment="1" applyProtection="1">
      <alignment horizontal="left" vertical="top"/>
      <protection hidden="1"/>
    </xf>
    <xf numFmtId="0" fontId="0" fillId="0" borderId="21" xfId="0" applyBorder="1" applyAlignment="1" applyProtection="1">
      <alignment vertical="top"/>
      <protection hidden="1"/>
    </xf>
    <xf numFmtId="0" fontId="0" fillId="0" borderId="45" xfId="0" applyBorder="1" applyAlignment="1" applyProtection="1">
      <alignment horizontal="left" vertical="top"/>
      <protection hidden="1"/>
    </xf>
    <xf numFmtId="0" fontId="0" fillId="0" borderId="53" xfId="0" applyBorder="1" applyAlignment="1" applyProtection="1">
      <alignment horizontal="left" vertical="top" wrapText="1"/>
      <protection hidden="1"/>
    </xf>
    <xf numFmtId="16" fontId="13" fillId="8" borderId="0" xfId="0" quotePrefix="1" applyNumberFormat="1" applyFont="1" applyFill="1" applyAlignment="1" applyProtection="1">
      <alignment horizontal="left" vertical="center"/>
      <protection hidden="1"/>
    </xf>
    <xf numFmtId="4" fontId="11" fillId="8" borderId="0" xfId="0" applyNumberFormat="1" applyFont="1" applyFill="1" applyAlignment="1" applyProtection="1">
      <alignment vertical="center"/>
      <protection hidden="1"/>
    </xf>
    <xf numFmtId="0" fontId="0" fillId="4" borderId="43" xfId="0" applyFill="1" applyBorder="1" applyAlignment="1" applyProtection="1">
      <alignment vertical="top"/>
      <protection hidden="1"/>
    </xf>
    <xf numFmtId="16" fontId="9" fillId="0" borderId="3" xfId="0" quotePrefix="1" applyNumberFormat="1" applyFont="1" applyBorder="1" applyAlignment="1" applyProtection="1">
      <alignment horizontal="right" vertical="top"/>
      <protection hidden="1"/>
    </xf>
    <xf numFmtId="0" fontId="25" fillId="0" borderId="3" xfId="0" applyFont="1" applyBorder="1" applyAlignment="1" applyProtection="1">
      <alignment horizontal="left" vertical="top" wrapText="1"/>
      <protection hidden="1"/>
    </xf>
    <xf numFmtId="0" fontId="0" fillId="0" borderId="59" xfId="0" applyBorder="1" applyAlignment="1" applyProtection="1">
      <alignment vertical="top"/>
      <protection hidden="1"/>
    </xf>
    <xf numFmtId="0" fontId="9" fillId="0" borderId="61" xfId="0" applyFont="1" applyBorder="1" applyAlignment="1" applyProtection="1">
      <alignment horizontal="center" vertical="center"/>
      <protection hidden="1"/>
    </xf>
    <xf numFmtId="0" fontId="0" fillId="0" borderId="37" xfId="0" applyBorder="1" applyAlignment="1" applyProtection="1">
      <alignment vertical="top"/>
      <protection hidden="1"/>
    </xf>
    <xf numFmtId="0" fontId="0" fillId="0" borderId="61" xfId="0" applyBorder="1" applyAlignment="1" applyProtection="1">
      <alignment vertical="top"/>
      <protection hidden="1"/>
    </xf>
    <xf numFmtId="167" fontId="0" fillId="3" borderId="14" xfId="0" applyNumberFormat="1" applyFill="1" applyBorder="1" applyAlignment="1" applyProtection="1">
      <alignment vertical="top"/>
      <protection hidden="1"/>
    </xf>
    <xf numFmtId="167" fontId="0" fillId="3" borderId="1" xfId="0" applyNumberFormat="1" applyFill="1" applyBorder="1" applyAlignment="1" applyProtection="1">
      <alignment vertical="top"/>
      <protection hidden="1"/>
    </xf>
    <xf numFmtId="0" fontId="57" fillId="0" borderId="0" xfId="0" applyFont="1" applyAlignment="1" applyProtection="1">
      <alignment horizontal="right" vertical="top"/>
      <protection hidden="1"/>
    </xf>
    <xf numFmtId="0" fontId="43" fillId="8" borderId="0" xfId="0" applyFont="1" applyFill="1" applyAlignment="1" applyProtection="1">
      <alignment vertical="center"/>
      <protection hidden="1"/>
    </xf>
    <xf numFmtId="0" fontId="11" fillId="8" borderId="0" xfId="0" applyFont="1" applyFill="1" applyAlignment="1" applyProtection="1">
      <alignment vertical="center"/>
      <protection hidden="1"/>
    </xf>
    <xf numFmtId="0" fontId="57" fillId="8" borderId="0" xfId="0" applyFont="1" applyFill="1" applyAlignment="1" applyProtection="1">
      <alignment vertical="center"/>
      <protection hidden="1"/>
    </xf>
    <xf numFmtId="16" fontId="13" fillId="0" borderId="6" xfId="0" quotePrefix="1" applyNumberFormat="1" applyFont="1" applyBorder="1" applyAlignment="1" applyProtection="1">
      <alignment horizontal="left" vertical="center"/>
      <protection hidden="1"/>
    </xf>
    <xf numFmtId="0" fontId="11" fillId="0" borderId="3" xfId="0" applyFont="1" applyBorder="1" applyAlignment="1" applyProtection="1">
      <alignment horizontal="center" vertical="center" wrapText="1"/>
      <protection hidden="1"/>
    </xf>
    <xf numFmtId="0" fontId="0" fillId="0" borderId="3" xfId="0" applyBorder="1" applyAlignment="1" applyProtection="1">
      <alignment horizontal="right" vertical="center"/>
      <protection hidden="1"/>
    </xf>
    <xf numFmtId="0" fontId="11" fillId="3" borderId="21" xfId="0" applyFont="1" applyFill="1" applyBorder="1" applyAlignment="1" applyProtection="1">
      <alignment horizontal="left" vertical="center"/>
      <protection hidden="1"/>
    </xf>
    <xf numFmtId="0" fontId="11" fillId="3" borderId="22" xfId="0" applyFont="1" applyFill="1" applyBorder="1" applyAlignment="1" applyProtection="1">
      <alignment horizontal="center" vertical="center" wrapText="1"/>
      <protection hidden="1"/>
    </xf>
    <xf numFmtId="0" fontId="0" fillId="3" borderId="69" xfId="0" applyFill="1" applyBorder="1" applyAlignment="1" applyProtection="1">
      <alignment horizontal="right" vertical="center"/>
      <protection hidden="1"/>
    </xf>
    <xf numFmtId="0" fontId="0" fillId="0" borderId="2" xfId="0" applyBorder="1" applyAlignment="1" applyProtection="1">
      <alignment vertical="center"/>
      <protection hidden="1"/>
    </xf>
    <xf numFmtId="4" fontId="13" fillId="8" borderId="50" xfId="0" applyNumberFormat="1" applyFont="1" applyFill="1" applyBorder="1" applyAlignment="1" applyProtection="1">
      <alignment horizontal="center" vertical="top"/>
      <protection hidden="1"/>
    </xf>
    <xf numFmtId="16" fontId="47" fillId="0" borderId="45" xfId="0" quotePrefix="1" applyNumberFormat="1" applyFont="1" applyBorder="1" applyAlignment="1" applyProtection="1">
      <alignment vertical="center"/>
      <protection hidden="1"/>
    </xf>
    <xf numFmtId="166" fontId="11" fillId="0" borderId="45" xfId="0" applyNumberFormat="1" applyFont="1" applyBorder="1" applyAlignment="1" applyProtection="1">
      <alignment vertical="center" wrapText="1"/>
      <protection hidden="1"/>
    </xf>
    <xf numFmtId="0" fontId="11" fillId="0" borderId="45" xfId="0" applyFont="1" applyBorder="1" applyAlignment="1" applyProtection="1">
      <alignment horizontal="center" vertical="center" wrapText="1"/>
      <protection hidden="1"/>
    </xf>
    <xf numFmtId="1" fontId="13" fillId="0" borderId="68" xfId="0" applyNumberFormat="1" applyFont="1" applyBorder="1" applyAlignment="1" applyProtection="1">
      <alignment horizontal="center" vertical="center" wrapText="1"/>
      <protection hidden="1"/>
    </xf>
    <xf numFmtId="0" fontId="0" fillId="0" borderId="68" xfId="0" applyBorder="1" applyAlignment="1" applyProtection="1">
      <alignment vertical="center" wrapText="1"/>
      <protection hidden="1"/>
    </xf>
    <xf numFmtId="0" fontId="0" fillId="0" borderId="45" xfId="0" applyBorder="1" applyAlignment="1" applyProtection="1">
      <alignment horizontal="left" vertical="top" wrapText="1"/>
      <protection hidden="1"/>
    </xf>
    <xf numFmtId="0" fontId="35" fillId="0" borderId="0" xfId="2" applyFont="1" applyProtection="1">
      <protection hidden="1"/>
    </xf>
    <xf numFmtId="0" fontId="35" fillId="0" borderId="0" xfId="1" applyFont="1" applyProtection="1">
      <protection hidden="1"/>
    </xf>
    <xf numFmtId="0" fontId="35" fillId="0" borderId="0" xfId="2" applyFont="1" applyAlignment="1" applyProtection="1">
      <alignment wrapText="1"/>
      <protection hidden="1"/>
    </xf>
    <xf numFmtId="0" fontId="35" fillId="0" borderId="0" xfId="2" applyFont="1" applyAlignment="1" applyProtection="1">
      <alignment vertical="center"/>
      <protection hidden="1"/>
    </xf>
    <xf numFmtId="0" fontId="0" fillId="3" borderId="8" xfId="2" applyFont="1" applyFill="1" applyBorder="1" applyAlignment="1" applyProtection="1">
      <alignment vertical="top"/>
      <protection hidden="1"/>
    </xf>
    <xf numFmtId="0" fontId="13" fillId="3" borderId="9" xfId="2" applyFont="1" applyFill="1" applyBorder="1" applyAlignment="1" applyProtection="1">
      <alignment vertical="center"/>
      <protection hidden="1"/>
    </xf>
    <xf numFmtId="2" fontId="11" fillId="3" borderId="40" xfId="2" applyNumberFormat="1" applyFont="1" applyFill="1" applyBorder="1" applyAlignment="1" applyProtection="1">
      <alignment horizontal="center" vertical="center" wrapText="1"/>
      <protection hidden="1"/>
    </xf>
    <xf numFmtId="4" fontId="11" fillId="3" borderId="16" xfId="2" applyNumberFormat="1" applyFont="1" applyFill="1" applyBorder="1" applyAlignment="1" applyProtection="1">
      <alignment horizontal="center" vertical="center"/>
      <protection hidden="1"/>
    </xf>
    <xf numFmtId="2" fontId="11" fillId="3" borderId="32" xfId="2" applyNumberFormat="1" applyFont="1" applyFill="1" applyBorder="1" applyAlignment="1" applyProtection="1">
      <alignment horizontal="center" vertical="center" wrapText="1"/>
      <protection hidden="1"/>
    </xf>
    <xf numFmtId="0" fontId="11" fillId="0" borderId="8" xfId="2" applyFont="1" applyBorder="1" applyAlignment="1" applyProtection="1">
      <alignment vertical="center"/>
      <protection hidden="1"/>
    </xf>
    <xf numFmtId="0" fontId="11" fillId="0" borderId="9" xfId="2" applyFont="1" applyBorder="1" applyAlignment="1" applyProtection="1">
      <alignment vertical="center"/>
      <protection hidden="1"/>
    </xf>
    <xf numFmtId="0" fontId="11" fillId="0" borderId="9" xfId="2" applyFont="1" applyBorder="1" applyAlignment="1" applyProtection="1">
      <alignment horizontal="center" vertical="top" wrapText="1"/>
      <protection hidden="1"/>
    </xf>
    <xf numFmtId="0" fontId="12" fillId="0" borderId="9" xfId="2" applyFont="1" applyBorder="1" applyAlignment="1" applyProtection="1">
      <alignment wrapText="1"/>
      <protection hidden="1"/>
    </xf>
    <xf numFmtId="0" fontId="12" fillId="0" borderId="10" xfId="2" applyFont="1" applyBorder="1" applyAlignment="1" applyProtection="1">
      <alignment wrapText="1"/>
      <protection hidden="1"/>
    </xf>
    <xf numFmtId="0" fontId="14" fillId="0" borderId="9" xfId="2" applyFont="1" applyBorder="1" applyAlignment="1" applyProtection="1">
      <alignment horizontal="center" vertical="top" wrapText="1"/>
      <protection hidden="1"/>
    </xf>
    <xf numFmtId="0" fontId="14" fillId="0" borderId="10" xfId="2" applyFont="1" applyBorder="1" applyAlignment="1" applyProtection="1">
      <alignment horizontal="center" vertical="top" wrapText="1"/>
      <protection hidden="1"/>
    </xf>
    <xf numFmtId="0" fontId="12" fillId="0" borderId="9" xfId="2" applyFont="1" applyBorder="1" applyProtection="1">
      <protection hidden="1"/>
    </xf>
    <xf numFmtId="0" fontId="11" fillId="0" borderId="10" xfId="2" applyFont="1" applyBorder="1" applyAlignment="1" applyProtection="1">
      <alignment horizontal="center" vertical="top" wrapText="1"/>
      <protection hidden="1"/>
    </xf>
    <xf numFmtId="0" fontId="12" fillId="0" borderId="9" xfId="2" applyFont="1" applyBorder="1" applyAlignment="1" applyProtection="1">
      <alignment vertical="center"/>
      <protection hidden="1"/>
    </xf>
    <xf numFmtId="0" fontId="14" fillId="0" borderId="9" xfId="2" applyFont="1" applyBorder="1" applyAlignment="1" applyProtection="1">
      <alignment horizontal="center" vertical="center" wrapText="1"/>
      <protection hidden="1"/>
    </xf>
    <xf numFmtId="0" fontId="14" fillId="0" borderId="10" xfId="2" applyFont="1" applyBorder="1" applyAlignment="1" applyProtection="1">
      <alignment horizontal="center" vertical="center" wrapText="1"/>
      <protection hidden="1"/>
    </xf>
    <xf numFmtId="0" fontId="35" fillId="0" borderId="0" xfId="1" applyFont="1" applyAlignment="1" applyProtection="1">
      <alignment wrapText="1"/>
      <protection hidden="1"/>
    </xf>
    <xf numFmtId="0" fontId="56" fillId="0" borderId="0" xfId="1" applyFont="1" applyProtection="1">
      <protection hidden="1"/>
    </xf>
    <xf numFmtId="0" fontId="35" fillId="0" borderId="0" xfId="1" applyFont="1" applyAlignment="1" applyProtection="1">
      <alignment vertical="center"/>
      <protection hidden="1"/>
    </xf>
    <xf numFmtId="0" fontId="14" fillId="0" borderId="9" xfId="1" applyFont="1" applyBorder="1" applyAlignment="1" applyProtection="1">
      <alignment horizontal="center" vertical="top" wrapText="1"/>
      <protection hidden="1"/>
    </xf>
    <xf numFmtId="0" fontId="14" fillId="0" borderId="10" xfId="1" applyFont="1" applyBorder="1" applyAlignment="1" applyProtection="1">
      <alignment horizontal="center" vertical="top" wrapText="1"/>
      <protection hidden="1"/>
    </xf>
    <xf numFmtId="0" fontId="24" fillId="3" borderId="8" xfId="1" applyFont="1" applyFill="1" applyBorder="1" applyAlignment="1" applyProtection="1">
      <alignment vertical="top"/>
      <protection hidden="1"/>
    </xf>
    <xf numFmtId="2" fontId="11" fillId="3" borderId="40" xfId="1" applyNumberFormat="1" applyFont="1" applyFill="1" applyBorder="1" applyAlignment="1" applyProtection="1">
      <alignment horizontal="center" vertical="center" wrapText="1"/>
      <protection hidden="1"/>
    </xf>
    <xf numFmtId="4" fontId="11" fillId="3" borderId="16" xfId="1" applyNumberFormat="1" applyFont="1" applyFill="1" applyBorder="1" applyAlignment="1" applyProtection="1">
      <alignment horizontal="center" vertical="center"/>
      <protection hidden="1"/>
    </xf>
    <xf numFmtId="0" fontId="13" fillId="3" borderId="9" xfId="1" applyFont="1" applyFill="1" applyBorder="1" applyAlignment="1" applyProtection="1">
      <alignment vertical="center"/>
      <protection hidden="1"/>
    </xf>
    <xf numFmtId="0" fontId="11" fillId="0" borderId="9" xfId="1" applyFont="1" applyBorder="1" applyAlignment="1" applyProtection="1">
      <alignment horizontal="center" vertical="top" wrapText="1"/>
      <protection hidden="1"/>
    </xf>
    <xf numFmtId="0" fontId="11" fillId="0" borderId="10" xfId="1" applyFont="1" applyBorder="1" applyAlignment="1" applyProtection="1">
      <alignment horizontal="center" vertical="top" wrapText="1"/>
      <protection hidden="1"/>
    </xf>
    <xf numFmtId="0" fontId="14" fillId="0" borderId="9" xfId="1" applyFont="1" applyBorder="1" applyAlignment="1" applyProtection="1">
      <alignment horizontal="center" vertical="center" wrapText="1"/>
      <protection hidden="1"/>
    </xf>
    <xf numFmtId="0" fontId="14" fillId="0" borderId="10" xfId="1" applyFont="1" applyBorder="1" applyAlignment="1" applyProtection="1">
      <alignment horizontal="center" vertical="center" wrapText="1"/>
      <protection hidden="1"/>
    </xf>
    <xf numFmtId="2" fontId="11" fillId="3" borderId="16" xfId="1" applyNumberFormat="1" applyFont="1" applyFill="1" applyBorder="1" applyAlignment="1" applyProtection="1">
      <alignment horizontal="center" vertical="center"/>
      <protection hidden="1"/>
    </xf>
    <xf numFmtId="0" fontId="56" fillId="0" borderId="0" xfId="2" applyFont="1" applyProtection="1">
      <protection hidden="1"/>
    </xf>
    <xf numFmtId="0" fontId="14" fillId="0" borderId="9" xfId="2" applyFont="1" applyBorder="1" applyAlignment="1" applyProtection="1">
      <alignment horizontal="right" vertical="center" wrapText="1"/>
      <protection hidden="1"/>
    </xf>
    <xf numFmtId="0" fontId="14" fillId="0" borderId="10" xfId="2" applyFont="1" applyBorder="1" applyAlignment="1" applyProtection="1">
      <alignment horizontal="right" vertical="center" wrapText="1"/>
      <protection hidden="1"/>
    </xf>
    <xf numFmtId="0" fontId="24" fillId="3" borderId="8" xfId="2" applyFont="1" applyFill="1" applyBorder="1" applyAlignment="1" applyProtection="1">
      <alignment vertical="top"/>
      <protection hidden="1"/>
    </xf>
    <xf numFmtId="49" fontId="27" fillId="3" borderId="9" xfId="2" applyNumberFormat="1" applyFont="1" applyFill="1" applyBorder="1" applyAlignment="1" applyProtection="1">
      <alignment vertical="center"/>
      <protection hidden="1"/>
    </xf>
    <xf numFmtId="49" fontId="12" fillId="3" borderId="9" xfId="2" applyNumberFormat="1" applyFont="1" applyFill="1" applyBorder="1" applyAlignment="1" applyProtection="1">
      <alignment vertical="center"/>
      <protection hidden="1"/>
    </xf>
    <xf numFmtId="0" fontId="14" fillId="3" borderId="9" xfId="2" applyFont="1" applyFill="1" applyBorder="1" applyAlignment="1" applyProtection="1">
      <alignment horizontal="right" vertical="center"/>
      <protection hidden="1"/>
    </xf>
    <xf numFmtId="0" fontId="11" fillId="3" borderId="18" xfId="2" applyFont="1" applyFill="1" applyBorder="1" applyAlignment="1" applyProtection="1">
      <alignment horizontal="right" vertical="center"/>
      <protection hidden="1"/>
    </xf>
    <xf numFmtId="4" fontId="11" fillId="3" borderId="16" xfId="0" applyNumberFormat="1" applyFont="1" applyFill="1" applyBorder="1" applyAlignment="1" applyProtection="1">
      <alignment horizontal="right" vertical="center"/>
      <protection hidden="1"/>
    </xf>
    <xf numFmtId="0" fontId="14" fillId="0" borderId="8" xfId="2" applyFont="1" applyBorder="1" applyAlignment="1" applyProtection="1">
      <alignment vertical="center"/>
      <protection hidden="1"/>
    </xf>
    <xf numFmtId="4" fontId="11" fillId="0" borderId="10" xfId="2" applyNumberFormat="1" applyFont="1" applyBorder="1" applyAlignment="1" applyProtection="1">
      <alignment horizontal="right" vertical="center" wrapText="1"/>
      <protection hidden="1"/>
    </xf>
    <xf numFmtId="49" fontId="9" fillId="3" borderId="9" xfId="2" applyNumberFormat="1" applyFont="1" applyFill="1" applyBorder="1" applyAlignment="1" applyProtection="1">
      <alignment vertical="center"/>
      <protection hidden="1"/>
    </xf>
    <xf numFmtId="0" fontId="13" fillId="3" borderId="9" xfId="2" applyFont="1" applyFill="1" applyBorder="1" applyAlignment="1" applyProtection="1">
      <alignment horizontal="right" vertical="center"/>
      <protection hidden="1"/>
    </xf>
    <xf numFmtId="2" fontId="11" fillId="3" borderId="16" xfId="0" applyNumberFormat="1" applyFont="1" applyFill="1" applyBorder="1" applyAlignment="1" applyProtection="1">
      <alignment horizontal="right" vertical="center"/>
      <protection hidden="1"/>
    </xf>
    <xf numFmtId="49" fontId="12" fillId="3" borderId="3" xfId="2" applyNumberFormat="1" applyFont="1" applyFill="1" applyBorder="1" applyAlignment="1" applyProtection="1">
      <alignment vertical="center"/>
      <protection hidden="1"/>
    </xf>
    <xf numFmtId="0" fontId="14" fillId="3" borderId="3" xfId="2" applyFont="1" applyFill="1" applyBorder="1" applyAlignment="1" applyProtection="1">
      <alignment vertical="center"/>
      <protection hidden="1"/>
    </xf>
    <xf numFmtId="0" fontId="14" fillId="3" borderId="3" xfId="2" applyFont="1" applyFill="1" applyBorder="1" applyAlignment="1" applyProtection="1">
      <alignment horizontal="right" vertical="center"/>
      <protection hidden="1"/>
    </xf>
    <xf numFmtId="0" fontId="11" fillId="3" borderId="19" xfId="2" applyFont="1" applyFill="1" applyBorder="1" applyAlignment="1" applyProtection="1">
      <alignment horizontal="right" vertical="center"/>
      <protection hidden="1"/>
    </xf>
    <xf numFmtId="0" fontId="12" fillId="3" borderId="8" xfId="2" applyFont="1" applyFill="1" applyBorder="1" applyAlignment="1" applyProtection="1">
      <alignment vertical="top"/>
      <protection hidden="1"/>
    </xf>
    <xf numFmtId="0" fontId="11" fillId="0" borderId="9" xfId="2" applyFont="1" applyBorder="1" applyAlignment="1" applyProtection="1">
      <alignment vertical="top"/>
      <protection hidden="1"/>
    </xf>
    <xf numFmtId="0" fontId="14" fillId="0" borderId="5" xfId="2" applyFont="1" applyBorder="1" applyAlignment="1" applyProtection="1">
      <alignment vertical="center"/>
      <protection hidden="1"/>
    </xf>
    <xf numFmtId="0" fontId="14" fillId="0" borderId="6" xfId="2" applyFont="1" applyBorder="1" applyAlignment="1" applyProtection="1">
      <alignment vertical="center"/>
      <protection hidden="1"/>
    </xf>
    <xf numFmtId="0" fontId="11" fillId="0" borderId="10" xfId="2" applyFont="1" applyBorder="1" applyAlignment="1" applyProtection="1">
      <alignment horizontal="right" vertical="center" wrapText="1"/>
      <protection hidden="1"/>
    </xf>
    <xf numFmtId="0" fontId="40" fillId="12" borderId="0" xfId="2" applyFont="1" applyFill="1" applyAlignment="1" applyProtection="1">
      <alignment vertical="center" wrapText="1"/>
      <protection hidden="1"/>
    </xf>
    <xf numFmtId="0" fontId="40" fillId="12" borderId="0" xfId="2" applyFont="1" applyFill="1" applyAlignment="1" applyProtection="1">
      <alignment horizontal="right"/>
      <protection hidden="1"/>
    </xf>
    <xf numFmtId="0" fontId="11" fillId="2" borderId="3" xfId="0" applyFont="1" applyFill="1" applyBorder="1" applyAlignment="1" applyProtection="1">
      <alignment horizontal="left" vertical="center"/>
      <protection hidden="1"/>
    </xf>
    <xf numFmtId="0" fontId="0" fillId="2" borderId="3" xfId="0" applyFill="1" applyBorder="1" applyAlignment="1" applyProtection="1">
      <alignment horizontal="left" vertical="center"/>
      <protection hidden="1"/>
    </xf>
    <xf numFmtId="0" fontId="24" fillId="0" borderId="3" xfId="2" applyFont="1" applyBorder="1" applyAlignment="1" applyProtection="1">
      <alignment vertical="top"/>
      <protection hidden="1"/>
    </xf>
    <xf numFmtId="0" fontId="13" fillId="0" borderId="3" xfId="2" applyFont="1" applyBorder="1" applyAlignment="1" applyProtection="1">
      <alignment horizontal="right" vertical="center"/>
      <protection hidden="1"/>
    </xf>
    <xf numFmtId="0" fontId="24" fillId="0" borderId="6" xfId="2" applyFont="1" applyBorder="1" applyAlignment="1" applyProtection="1">
      <alignment vertical="top"/>
      <protection hidden="1"/>
    </xf>
    <xf numFmtId="49" fontId="12" fillId="0" borderId="6" xfId="2" applyNumberFormat="1" applyFont="1" applyBorder="1" applyAlignment="1" applyProtection="1">
      <alignment vertical="center"/>
      <protection hidden="1"/>
    </xf>
    <xf numFmtId="0" fontId="14" fillId="0" borderId="6" xfId="2" applyFont="1" applyBorder="1" applyAlignment="1" applyProtection="1">
      <alignment horizontal="right" vertical="center"/>
      <protection hidden="1"/>
    </xf>
    <xf numFmtId="0" fontId="13" fillId="0" borderId="6" xfId="2" applyFont="1" applyBorder="1" applyAlignment="1" applyProtection="1">
      <alignment horizontal="right" vertical="center"/>
      <protection hidden="1"/>
    </xf>
    <xf numFmtId="0" fontId="40" fillId="9" borderId="0" xfId="0" applyFont="1" applyFill="1" applyAlignment="1" applyProtection="1">
      <alignment vertical="center" wrapText="1"/>
      <protection hidden="1"/>
    </xf>
    <xf numFmtId="0" fontId="45" fillId="9" borderId="0" xfId="0" applyFont="1" applyFill="1" applyAlignment="1" applyProtection="1">
      <alignment vertical="top"/>
      <protection hidden="1"/>
    </xf>
    <xf numFmtId="0" fontId="11" fillId="9" borderId="0" xfId="0" applyFont="1" applyFill="1" applyAlignment="1" applyProtection="1">
      <alignment vertical="top" wrapText="1"/>
      <protection hidden="1"/>
    </xf>
    <xf numFmtId="0" fontId="57" fillId="9" borderId="0" xfId="0" applyFont="1" applyFill="1" applyAlignment="1" applyProtection="1">
      <alignment horizontal="right"/>
      <protection hidden="1"/>
    </xf>
    <xf numFmtId="0" fontId="13" fillId="9" borderId="0" xfId="2" applyFont="1" applyFill="1" applyAlignment="1" applyProtection="1">
      <alignment horizontal="center" vertical="top" wrapText="1"/>
      <protection hidden="1"/>
    </xf>
    <xf numFmtId="4" fontId="13" fillId="9" borderId="38" xfId="0" applyNumberFormat="1" applyFont="1" applyFill="1" applyBorder="1" applyAlignment="1" applyProtection="1">
      <alignment horizontal="center" vertical="top"/>
      <protection hidden="1"/>
    </xf>
    <xf numFmtId="0" fontId="13" fillId="9" borderId="38" xfId="2" applyFont="1" applyFill="1" applyBorder="1" applyAlignment="1" applyProtection="1">
      <alignment horizontal="center" vertical="top" wrapText="1"/>
      <protection hidden="1"/>
    </xf>
    <xf numFmtId="0" fontId="56" fillId="0" borderId="0" xfId="1" applyFont="1" applyAlignment="1" applyProtection="1">
      <alignment horizontal="left" vertical="top"/>
      <protection hidden="1"/>
    </xf>
    <xf numFmtId="0" fontId="11" fillId="0" borderId="8" xfId="1" applyFont="1" applyBorder="1" applyAlignment="1" applyProtection="1">
      <alignment vertical="center"/>
      <protection hidden="1"/>
    </xf>
    <xf numFmtId="0" fontId="14" fillId="0" borderId="9" xfId="1" applyFont="1" applyBorder="1" applyAlignment="1" applyProtection="1">
      <alignment horizontal="right" vertical="center" wrapText="1"/>
      <protection hidden="1"/>
    </xf>
    <xf numFmtId="0" fontId="14" fillId="0" borderId="10" xfId="1" applyFont="1" applyBorder="1" applyAlignment="1" applyProtection="1">
      <alignment horizontal="right" vertical="center" wrapText="1"/>
      <protection hidden="1"/>
    </xf>
    <xf numFmtId="4" fontId="11" fillId="0" borderId="10" xfId="1" applyNumberFormat="1" applyFont="1" applyBorder="1" applyAlignment="1" applyProtection="1">
      <alignment horizontal="right" vertical="center" wrapText="1"/>
      <protection hidden="1"/>
    </xf>
    <xf numFmtId="0" fontId="11" fillId="0" borderId="9" xfId="1" applyFont="1" applyBorder="1" applyAlignment="1" applyProtection="1">
      <alignment vertical="top"/>
      <protection hidden="1"/>
    </xf>
    <xf numFmtId="0" fontId="14" fillId="0" borderId="8" xfId="1" applyFont="1" applyBorder="1" applyAlignment="1" applyProtection="1">
      <alignment vertical="center"/>
      <protection hidden="1"/>
    </xf>
    <xf numFmtId="0" fontId="14" fillId="0" borderId="5" xfId="1" applyFont="1" applyBorder="1" applyAlignment="1" applyProtection="1">
      <alignment vertical="center"/>
      <protection hidden="1"/>
    </xf>
    <xf numFmtId="49" fontId="27" fillId="3" borderId="9" xfId="1" applyNumberFormat="1" applyFont="1" applyFill="1" applyBorder="1" applyAlignment="1" applyProtection="1">
      <alignment vertical="center"/>
      <protection hidden="1"/>
    </xf>
    <xf numFmtId="49" fontId="9" fillId="3" borderId="9" xfId="1" applyNumberFormat="1" applyFont="1" applyFill="1" applyBorder="1" applyAlignment="1" applyProtection="1">
      <alignment vertical="center"/>
      <protection hidden="1"/>
    </xf>
    <xf numFmtId="49" fontId="12" fillId="3" borderId="9" xfId="1" applyNumberFormat="1" applyFont="1" applyFill="1" applyBorder="1" applyAlignment="1" applyProtection="1">
      <alignment vertical="center"/>
      <protection hidden="1"/>
    </xf>
    <xf numFmtId="0" fontId="12" fillId="3" borderId="8" xfId="1" applyFont="1" applyFill="1" applyBorder="1" applyAlignment="1" applyProtection="1">
      <alignment vertical="top"/>
      <protection hidden="1"/>
    </xf>
    <xf numFmtId="0" fontId="9" fillId="10" borderId="0" xfId="1" applyFont="1" applyFill="1" applyAlignment="1" applyProtection="1">
      <alignment horizontal="center" vertical="top" wrapText="1"/>
      <protection hidden="1"/>
    </xf>
    <xf numFmtId="0" fontId="13" fillId="10" borderId="0" xfId="1" applyFont="1" applyFill="1" applyAlignment="1" applyProtection="1">
      <alignment horizontal="center" vertical="top" wrapText="1"/>
      <protection hidden="1"/>
    </xf>
    <xf numFmtId="0" fontId="13" fillId="10" borderId="38" xfId="1" applyFont="1" applyFill="1" applyBorder="1" applyAlignment="1" applyProtection="1">
      <alignment horizontal="center" vertical="top" wrapText="1"/>
      <protection hidden="1"/>
    </xf>
    <xf numFmtId="4" fontId="9" fillId="10" borderId="38" xfId="0" applyNumberFormat="1" applyFont="1" applyFill="1" applyBorder="1" applyAlignment="1" applyProtection="1">
      <alignment horizontal="center" vertical="top"/>
      <protection hidden="1"/>
    </xf>
    <xf numFmtId="0" fontId="9" fillId="10" borderId="38" xfId="1" applyFont="1" applyFill="1" applyBorder="1" applyAlignment="1" applyProtection="1">
      <alignment horizontal="center" vertical="top" wrapText="1"/>
      <protection hidden="1"/>
    </xf>
    <xf numFmtId="0" fontId="9" fillId="11" borderId="0" xfId="1" applyFont="1" applyFill="1" applyAlignment="1" applyProtection="1">
      <alignment horizontal="center" vertical="top" wrapText="1"/>
      <protection hidden="1"/>
    </xf>
    <xf numFmtId="4" fontId="9" fillId="11" borderId="38" xfId="0" applyNumberFormat="1" applyFont="1" applyFill="1" applyBorder="1" applyAlignment="1" applyProtection="1">
      <alignment horizontal="center" vertical="top"/>
      <protection hidden="1"/>
    </xf>
    <xf numFmtId="0" fontId="9" fillId="11" borderId="38" xfId="1" applyFont="1" applyFill="1" applyBorder="1" applyAlignment="1" applyProtection="1">
      <alignment horizontal="center" vertical="top" wrapText="1"/>
      <protection hidden="1"/>
    </xf>
    <xf numFmtId="0" fontId="13" fillId="3" borderId="9" xfId="1" applyFont="1" applyFill="1" applyBorder="1" applyAlignment="1" applyProtection="1">
      <alignment horizontal="right" vertical="center"/>
      <protection hidden="1"/>
    </xf>
    <xf numFmtId="0" fontId="14" fillId="3" borderId="9" xfId="1" applyFont="1" applyFill="1" applyBorder="1" applyAlignment="1" applyProtection="1">
      <alignment horizontal="right" vertical="center"/>
      <protection hidden="1"/>
    </xf>
    <xf numFmtId="167" fontId="43" fillId="8" borderId="16" xfId="0" applyNumberFormat="1" applyFont="1" applyFill="1" applyBorder="1" applyAlignment="1" applyProtection="1">
      <alignment vertical="center"/>
      <protection hidden="1"/>
    </xf>
    <xf numFmtId="0" fontId="24" fillId="8" borderId="0" xfId="2" applyFont="1" applyFill="1" applyAlignment="1" applyProtection="1">
      <alignment vertical="top"/>
      <protection hidden="1"/>
    </xf>
    <xf numFmtId="49" fontId="9" fillId="8" borderId="0" xfId="2" applyNumberFormat="1" applyFont="1" applyFill="1" applyAlignment="1" applyProtection="1">
      <alignment vertical="center"/>
      <protection hidden="1"/>
    </xf>
    <xf numFmtId="0" fontId="13" fillId="8" borderId="0" xfId="2" applyFont="1" applyFill="1" applyAlignment="1" applyProtection="1">
      <alignment vertical="center"/>
      <protection hidden="1"/>
    </xf>
    <xf numFmtId="0" fontId="13" fillId="8" borderId="0" xfId="2" applyFont="1" applyFill="1" applyAlignment="1" applyProtection="1">
      <alignment horizontal="right" vertical="center"/>
      <protection hidden="1"/>
    </xf>
    <xf numFmtId="0" fontId="43" fillId="8" borderId="67" xfId="2" applyFont="1" applyFill="1" applyBorder="1" applyAlignment="1" applyProtection="1">
      <alignment horizontal="right" vertical="center"/>
      <protection hidden="1"/>
    </xf>
    <xf numFmtId="0" fontId="24" fillId="8" borderId="0" xfId="1" applyFont="1" applyFill="1" applyAlignment="1" applyProtection="1">
      <alignment vertical="top"/>
      <protection hidden="1"/>
    </xf>
    <xf numFmtId="0" fontId="0" fillId="0" borderId="72" xfId="0" applyBorder="1" applyAlignment="1" applyProtection="1">
      <alignment vertical="top"/>
      <protection hidden="1"/>
    </xf>
    <xf numFmtId="16" fontId="43" fillId="8" borderId="0" xfId="0" quotePrefix="1" applyNumberFormat="1" applyFont="1" applyFill="1" applyAlignment="1" applyProtection="1">
      <alignment vertical="center"/>
      <protection hidden="1"/>
    </xf>
    <xf numFmtId="0" fontId="18" fillId="0" borderId="3" xfId="0" applyFont="1" applyBorder="1" applyAlignment="1" applyProtection="1">
      <alignment vertical="top"/>
      <protection hidden="1"/>
    </xf>
    <xf numFmtId="0" fontId="0" fillId="0" borderId="0" xfId="0" applyAlignment="1" applyProtection="1">
      <alignment horizontal="left" vertical="top"/>
      <protection hidden="1"/>
    </xf>
    <xf numFmtId="0" fontId="11" fillId="0" borderId="44" xfId="0" applyFont="1" applyBorder="1" applyAlignment="1" applyProtection="1">
      <alignment vertical="top"/>
      <protection hidden="1"/>
    </xf>
    <xf numFmtId="0" fontId="11" fillId="0" borderId="45" xfId="0" applyFont="1" applyBorder="1" applyAlignment="1" applyProtection="1">
      <alignment horizontal="left" vertical="top"/>
      <protection hidden="1"/>
    </xf>
    <xf numFmtId="0" fontId="9" fillId="0" borderId="45" xfId="0" applyFont="1" applyBorder="1" applyAlignment="1" applyProtection="1">
      <alignment horizontal="left" vertical="center"/>
      <protection hidden="1"/>
    </xf>
    <xf numFmtId="0" fontId="9" fillId="0" borderId="46" xfId="0" applyFont="1" applyBorder="1" applyAlignment="1" applyProtection="1">
      <alignment horizontal="right" vertical="center"/>
      <protection hidden="1"/>
    </xf>
    <xf numFmtId="0" fontId="11" fillId="0" borderId="53" xfId="0" applyFont="1" applyBorder="1" applyAlignment="1" applyProtection="1">
      <alignment vertical="top"/>
      <protection hidden="1"/>
    </xf>
    <xf numFmtId="0" fontId="11" fillId="0" borderId="58" xfId="0" applyFont="1" applyBorder="1" applyAlignment="1" applyProtection="1">
      <alignment horizontal="left" vertical="top"/>
      <protection hidden="1"/>
    </xf>
    <xf numFmtId="0" fontId="0" fillId="0" borderId="53" xfId="0" applyBorder="1" applyAlignment="1" applyProtection="1">
      <alignment horizontal="left" vertical="top"/>
      <protection hidden="1"/>
    </xf>
    <xf numFmtId="167" fontId="11" fillId="3" borderId="1" xfId="0" applyNumberFormat="1" applyFont="1" applyFill="1" applyBorder="1" applyAlignment="1" applyProtection="1">
      <alignment vertical="center"/>
      <protection hidden="1"/>
    </xf>
    <xf numFmtId="0" fontId="25" fillId="0" borderId="53" xfId="0" applyFont="1" applyBorder="1" applyAlignment="1" applyProtection="1">
      <alignment horizontal="center" vertical="center"/>
      <protection hidden="1"/>
    </xf>
    <xf numFmtId="0" fontId="32" fillId="0" borderId="3" xfId="0" applyFont="1" applyBorder="1" applyAlignment="1" applyProtection="1">
      <alignment horizontal="left" vertical="top"/>
      <protection hidden="1"/>
    </xf>
    <xf numFmtId="0" fontId="0" fillId="0" borderId="21" xfId="0" applyBorder="1" applyAlignment="1" applyProtection="1">
      <alignment horizontal="left" vertical="top"/>
      <protection hidden="1"/>
    </xf>
    <xf numFmtId="10" fontId="0" fillId="0" borderId="3" xfId="0" applyNumberFormat="1" applyBorder="1" applyAlignment="1" applyProtection="1">
      <alignment horizontal="center" vertical="center"/>
      <protection hidden="1"/>
    </xf>
    <xf numFmtId="0" fontId="0" fillId="3" borderId="8" xfId="0" applyFill="1" applyBorder="1" applyAlignment="1" applyProtection="1">
      <alignment horizontal="left" vertical="top"/>
      <protection hidden="1"/>
    </xf>
    <xf numFmtId="0" fontId="11" fillId="3" borderId="9" xfId="0" applyFont="1" applyFill="1" applyBorder="1" applyAlignment="1" applyProtection="1">
      <alignment vertical="top" wrapText="1"/>
      <protection hidden="1"/>
    </xf>
    <xf numFmtId="4" fontId="43" fillId="3" borderId="9" xfId="0" applyNumberFormat="1" applyFont="1" applyFill="1" applyBorder="1" applyAlignment="1" applyProtection="1">
      <alignment horizontal="center" vertical="center"/>
      <protection hidden="1"/>
    </xf>
    <xf numFmtId="16" fontId="0" fillId="0" borderId="11" xfId="0" quotePrefix="1" applyNumberFormat="1" applyBorder="1" applyAlignment="1" applyProtection="1">
      <alignment horizontal="left" vertical="top" wrapText="1"/>
      <protection hidden="1"/>
    </xf>
    <xf numFmtId="0" fontId="0" fillId="0" borderId="22" xfId="0" applyBorder="1" applyAlignment="1" applyProtection="1">
      <alignment horizontal="left" vertical="top" wrapText="1"/>
      <protection hidden="1"/>
    </xf>
    <xf numFmtId="0" fontId="0" fillId="3" borderId="8" xfId="0" applyFill="1" applyBorder="1" applyAlignment="1" applyProtection="1">
      <alignment vertical="top"/>
      <protection hidden="1"/>
    </xf>
    <xf numFmtId="0" fontId="0" fillId="3" borderId="9" xfId="0" applyFill="1" applyBorder="1" applyAlignment="1" applyProtection="1">
      <alignment vertical="top"/>
      <protection hidden="1"/>
    </xf>
    <xf numFmtId="4" fontId="9" fillId="3" borderId="10" xfId="0" applyNumberFormat="1" applyFont="1" applyFill="1" applyBorder="1" applyAlignment="1" applyProtection="1">
      <alignment horizontal="center" vertical="center"/>
      <protection hidden="1"/>
    </xf>
    <xf numFmtId="0" fontId="0" fillId="0" borderId="58" xfId="0" applyBorder="1" applyAlignment="1" applyProtection="1">
      <alignment horizontal="left" vertical="top"/>
      <protection hidden="1"/>
    </xf>
    <xf numFmtId="4" fontId="0" fillId="0" borderId="4" xfId="0" applyNumberFormat="1" applyBorder="1" applyAlignment="1" applyProtection="1">
      <alignment horizontal="center" vertical="center"/>
      <protection hidden="1"/>
    </xf>
    <xf numFmtId="0" fontId="0" fillId="3" borderId="9" xfId="0" applyFill="1" applyBorder="1" applyAlignment="1" applyProtection="1">
      <alignment horizontal="left" vertical="top" wrapText="1"/>
      <protection hidden="1"/>
    </xf>
    <xf numFmtId="4" fontId="0" fillId="3" borderId="10" xfId="0" applyNumberFormat="1" applyFill="1" applyBorder="1" applyAlignment="1" applyProtection="1">
      <alignment horizontal="center" vertical="center"/>
      <protection hidden="1"/>
    </xf>
    <xf numFmtId="4" fontId="11" fillId="3" borderId="3" xfId="0" applyNumberFormat="1" applyFont="1" applyFill="1" applyBorder="1" applyAlignment="1" applyProtection="1">
      <alignment horizontal="center" vertical="center"/>
      <protection hidden="1"/>
    </xf>
    <xf numFmtId="4" fontId="11" fillId="3" borderId="9" xfId="0" applyNumberFormat="1" applyFont="1" applyFill="1" applyBorder="1" applyAlignment="1" applyProtection="1">
      <alignment horizontal="center" vertical="center"/>
      <protection hidden="1"/>
    </xf>
    <xf numFmtId="0" fontId="13" fillId="0" borderId="44" xfId="0" applyFont="1" applyBorder="1" applyAlignment="1" applyProtection="1">
      <alignment vertical="top"/>
      <protection hidden="1"/>
    </xf>
    <xf numFmtId="10" fontId="0" fillId="0" borderId="0" xfId="0" applyNumberFormat="1" applyAlignment="1" applyProtection="1">
      <alignment horizontal="center" vertical="top"/>
      <protection hidden="1"/>
    </xf>
    <xf numFmtId="0" fontId="11" fillId="0" borderId="22" xfId="0" applyFont="1" applyBorder="1" applyAlignment="1" applyProtection="1">
      <alignment vertical="top"/>
      <protection hidden="1"/>
    </xf>
    <xf numFmtId="10" fontId="33" fillId="0" borderId="48" xfId="0" applyNumberFormat="1" applyFont="1" applyBorder="1" applyAlignment="1" applyProtection="1">
      <alignment horizontal="center" vertical="top"/>
      <protection hidden="1"/>
    </xf>
    <xf numFmtId="0" fontId="11" fillId="0" borderId="24" xfId="0" applyFont="1" applyBorder="1" applyAlignment="1" applyProtection="1">
      <alignment vertical="top"/>
      <protection hidden="1"/>
    </xf>
    <xf numFmtId="0" fontId="11" fillId="0" borderId="24" xfId="0" applyFont="1" applyBorder="1" applyAlignment="1" applyProtection="1">
      <alignment vertical="top" wrapText="1"/>
      <protection hidden="1"/>
    </xf>
    <xf numFmtId="0" fontId="9" fillId="0" borderId="24" xfId="0" applyFont="1" applyBorder="1" applyAlignment="1" applyProtection="1">
      <alignment vertical="top" wrapText="1"/>
      <protection hidden="1"/>
    </xf>
    <xf numFmtId="0" fontId="9" fillId="0" borderId="24" xfId="0" applyFont="1" applyBorder="1" applyAlignment="1" applyProtection="1">
      <alignment horizontal="right" vertical="center" wrapText="1"/>
      <protection hidden="1"/>
    </xf>
    <xf numFmtId="16" fontId="9" fillId="0" borderId="45" xfId="0" quotePrefix="1" applyNumberFormat="1" applyFont="1" applyBorder="1" applyAlignment="1" applyProtection="1">
      <alignment vertical="top"/>
      <protection hidden="1"/>
    </xf>
    <xf numFmtId="16" fontId="9" fillId="0" borderId="46" xfId="0" quotePrefix="1" applyNumberFormat="1" applyFont="1" applyBorder="1" applyAlignment="1" applyProtection="1">
      <alignment horizontal="right" vertical="top"/>
      <protection hidden="1"/>
    </xf>
    <xf numFmtId="169" fontId="0" fillId="0" borderId="9" xfId="0" applyNumberFormat="1" applyBorder="1" applyAlignment="1" applyProtection="1">
      <alignment horizontal="center" vertical="top"/>
      <protection hidden="1"/>
    </xf>
    <xf numFmtId="4" fontId="0" fillId="5" borderId="1" xfId="0" applyNumberFormat="1" applyFill="1" applyBorder="1" applyAlignment="1" applyProtection="1">
      <alignment horizontal="right" vertical="top"/>
      <protection locked="0"/>
    </xf>
    <xf numFmtId="4" fontId="0" fillId="5" borderId="15" xfId="0" applyNumberFormat="1" applyFill="1" applyBorder="1" applyAlignment="1" applyProtection="1">
      <alignment horizontal="right" vertical="top"/>
      <protection locked="0"/>
    </xf>
    <xf numFmtId="4" fontId="11" fillId="0" borderId="55" xfId="0" applyNumberFormat="1" applyFont="1" applyBorder="1" applyAlignment="1" applyProtection="1">
      <alignment vertical="top"/>
      <protection hidden="1"/>
    </xf>
    <xf numFmtId="0" fontId="0" fillId="0" borderId="53" xfId="0" applyBorder="1" applyAlignment="1" applyProtection="1">
      <alignment vertical="top"/>
      <protection hidden="1"/>
    </xf>
    <xf numFmtId="0" fontId="11" fillId="3" borderId="9" xfId="0" applyFont="1" applyFill="1" applyBorder="1" applyAlignment="1" applyProtection="1">
      <alignment vertical="top"/>
      <protection hidden="1"/>
    </xf>
    <xf numFmtId="0" fontId="0" fillId="3" borderId="10" xfId="0" applyFill="1" applyBorder="1" applyAlignment="1" applyProtection="1">
      <alignment vertical="top"/>
      <protection hidden="1"/>
    </xf>
    <xf numFmtId="10" fontId="9" fillId="0" borderId="0" xfId="0" applyNumberFormat="1" applyFont="1" applyAlignment="1" applyProtection="1">
      <alignment horizontal="center" vertical="top"/>
      <protection locked="0"/>
    </xf>
    <xf numFmtId="0" fontId="9" fillId="0" borderId="0" xfId="0" applyFont="1" applyAlignment="1" applyProtection="1">
      <alignment vertical="top"/>
      <protection locked="0"/>
    </xf>
    <xf numFmtId="0" fontId="9" fillId="0" borderId="0" xfId="0" applyFont="1" applyAlignment="1" applyProtection="1">
      <alignment horizontal="center" vertical="top"/>
      <protection locked="0"/>
    </xf>
    <xf numFmtId="16" fontId="43" fillId="0" borderId="6" xfId="0" quotePrefix="1" applyNumberFormat="1" applyFont="1" applyBorder="1" applyAlignment="1" applyProtection="1">
      <alignment horizontal="left" vertical="center"/>
      <protection hidden="1"/>
    </xf>
    <xf numFmtId="16" fontId="43" fillId="14" borderId="0" xfId="0" quotePrefix="1" applyNumberFormat="1" applyFont="1" applyFill="1" applyAlignment="1" applyProtection="1">
      <alignment horizontal="left" vertical="center"/>
      <protection hidden="1"/>
    </xf>
    <xf numFmtId="16" fontId="13" fillId="14" borderId="0" xfId="0" quotePrefix="1" applyNumberFormat="1" applyFont="1" applyFill="1" applyAlignment="1" applyProtection="1">
      <alignment horizontal="left" vertical="center"/>
      <protection hidden="1"/>
    </xf>
    <xf numFmtId="4" fontId="43" fillId="3" borderId="16" xfId="0" applyNumberFormat="1" applyFont="1" applyFill="1" applyBorder="1" applyAlignment="1">
      <alignment vertical="center"/>
    </xf>
    <xf numFmtId="0" fontId="11" fillId="3" borderId="18" xfId="1" applyFont="1" applyFill="1" applyBorder="1" applyAlignment="1" applyProtection="1">
      <alignment horizontal="right" vertical="center"/>
      <protection hidden="1"/>
    </xf>
    <xf numFmtId="4" fontId="27" fillId="0" borderId="25" xfId="0" applyNumberFormat="1" applyFont="1" applyBorder="1" applyAlignment="1" applyProtection="1">
      <alignment horizontal="center" vertical="center"/>
      <protection hidden="1"/>
    </xf>
    <xf numFmtId="4" fontId="0" fillId="0" borderId="38" xfId="1" applyNumberFormat="1" applyFont="1" applyBorder="1" applyAlignment="1" applyProtection="1">
      <alignment horizontal="left" vertical="top"/>
      <protection locked="0"/>
    </xf>
    <xf numFmtId="4" fontId="0" fillId="0" borderId="73" xfId="1" applyNumberFormat="1" applyFont="1" applyBorder="1" applyAlignment="1" applyProtection="1">
      <alignment horizontal="left" vertical="top"/>
      <protection locked="0"/>
    </xf>
    <xf numFmtId="4" fontId="0" fillId="0" borderId="39" xfId="1" applyNumberFormat="1" applyFont="1" applyBorder="1" applyAlignment="1" applyProtection="1">
      <alignment horizontal="left" vertical="top"/>
      <protection locked="0"/>
    </xf>
    <xf numFmtId="0" fontId="52" fillId="0" borderId="36" xfId="1" quotePrefix="1" applyFont="1" applyBorder="1" applyAlignment="1" applyProtection="1">
      <alignment horizontal="center" vertical="top"/>
      <protection hidden="1"/>
    </xf>
    <xf numFmtId="0" fontId="52" fillId="0" borderId="62" xfId="1" quotePrefix="1" applyFont="1" applyBorder="1" applyAlignment="1" applyProtection="1">
      <alignment horizontal="center" vertical="top"/>
      <protection hidden="1"/>
    </xf>
    <xf numFmtId="0" fontId="52" fillId="0" borderId="74" xfId="1" quotePrefix="1" applyFont="1" applyBorder="1" applyAlignment="1" applyProtection="1">
      <alignment horizontal="center" vertical="top"/>
      <protection hidden="1"/>
    </xf>
    <xf numFmtId="0" fontId="39" fillId="0" borderId="6" xfId="1" quotePrefix="1" applyFont="1" applyBorder="1" applyAlignment="1" applyProtection="1">
      <alignment horizontal="center" vertical="top"/>
      <protection hidden="1"/>
    </xf>
    <xf numFmtId="0" fontId="0" fillId="3" borderId="50" xfId="1" applyFont="1" applyFill="1" applyBorder="1" applyAlignment="1" applyProtection="1">
      <alignment horizontal="left" vertical="top" wrapText="1"/>
      <protection hidden="1"/>
    </xf>
    <xf numFmtId="0" fontId="15" fillId="0" borderId="38" xfId="1" applyFont="1" applyBorder="1" applyAlignment="1" applyProtection="1">
      <alignment horizontal="left" wrapText="1"/>
      <protection hidden="1"/>
    </xf>
    <xf numFmtId="0" fontId="27" fillId="0" borderId="62" xfId="1" applyFont="1" applyBorder="1" applyAlignment="1" applyProtection="1">
      <alignment vertical="top"/>
      <protection hidden="1"/>
    </xf>
    <xf numFmtId="49" fontId="48" fillId="0" borderId="36" xfId="1" applyNumberFormat="1" applyFont="1" applyBorder="1" applyAlignment="1" applyProtection="1">
      <alignment horizontal="center" vertical="top"/>
      <protection hidden="1"/>
    </xf>
    <xf numFmtId="0" fontId="48" fillId="0" borderId="36" xfId="1" quotePrefix="1" applyFont="1" applyBorder="1" applyAlignment="1" applyProtection="1">
      <alignment vertical="top" wrapText="1"/>
      <protection hidden="1"/>
    </xf>
    <xf numFmtId="0" fontId="48" fillId="0" borderId="62" xfId="1" quotePrefix="1" applyFont="1" applyBorder="1" applyAlignment="1" applyProtection="1">
      <alignment vertical="top" wrapText="1"/>
      <protection hidden="1"/>
    </xf>
    <xf numFmtId="0" fontId="36" fillId="0" borderId="74" xfId="1" quotePrefix="1" applyFont="1" applyBorder="1" applyAlignment="1" applyProtection="1">
      <alignment vertical="top" wrapText="1"/>
      <protection hidden="1"/>
    </xf>
    <xf numFmtId="49" fontId="27" fillId="8" borderId="0" xfId="1" applyNumberFormat="1" applyFont="1" applyFill="1" applyAlignment="1" applyProtection="1">
      <alignment vertical="center"/>
      <protection hidden="1"/>
    </xf>
    <xf numFmtId="0" fontId="43" fillId="8" borderId="0" xfId="1" applyFont="1" applyFill="1" applyAlignment="1" applyProtection="1">
      <alignment vertical="center"/>
      <protection hidden="1"/>
    </xf>
    <xf numFmtId="0" fontId="27" fillId="8" borderId="0" xfId="1" applyFont="1" applyFill="1" applyAlignment="1" applyProtection="1">
      <alignment vertical="top"/>
      <protection hidden="1"/>
    </xf>
    <xf numFmtId="0" fontId="43" fillId="8" borderId="0" xfId="1" applyFont="1" applyFill="1" applyAlignment="1" applyProtection="1">
      <alignment horizontal="right" vertical="center"/>
      <protection hidden="1"/>
    </xf>
    <xf numFmtId="0" fontId="43" fillId="8" borderId="67" xfId="1" applyFont="1" applyFill="1" applyBorder="1" applyAlignment="1" applyProtection="1">
      <alignment horizontal="right" vertical="center"/>
      <protection hidden="1"/>
    </xf>
    <xf numFmtId="168" fontId="0" fillId="0" borderId="49" xfId="0" applyNumberFormat="1" applyBorder="1" applyAlignment="1" applyProtection="1">
      <alignment horizontal="right" vertical="top"/>
      <protection hidden="1"/>
    </xf>
    <xf numFmtId="167" fontId="0" fillId="0" borderId="49" xfId="0" quotePrefix="1" applyNumberFormat="1" applyBorder="1" applyAlignment="1" applyProtection="1">
      <alignment horizontal="right" vertical="top"/>
      <protection hidden="1"/>
    </xf>
    <xf numFmtId="168" fontId="0" fillId="0" borderId="47" xfId="0" applyNumberFormat="1" applyBorder="1" applyAlignment="1" applyProtection="1">
      <alignment horizontal="right" vertical="top"/>
      <protection hidden="1"/>
    </xf>
    <xf numFmtId="167" fontId="0" fillId="0" borderId="47" xfId="0" quotePrefix="1" applyNumberFormat="1" applyBorder="1" applyAlignment="1" applyProtection="1">
      <alignment horizontal="right" vertical="top"/>
      <protection hidden="1"/>
    </xf>
    <xf numFmtId="168" fontId="0" fillId="0" borderId="43" xfId="0" applyNumberFormat="1" applyBorder="1" applyAlignment="1" applyProtection="1">
      <alignment horizontal="right" vertical="top"/>
      <protection hidden="1"/>
    </xf>
    <xf numFmtId="167" fontId="0" fillId="0" borderId="43" xfId="0" quotePrefix="1" applyNumberFormat="1" applyBorder="1" applyAlignment="1" applyProtection="1">
      <alignment horizontal="right" vertical="top"/>
      <protection hidden="1"/>
    </xf>
    <xf numFmtId="0" fontId="13" fillId="0" borderId="11" xfId="0" applyFont="1" applyBorder="1" applyAlignment="1" applyProtection="1">
      <alignment horizontal="center" vertical="top" wrapText="1"/>
      <protection hidden="1"/>
    </xf>
    <xf numFmtId="0" fontId="27" fillId="0" borderId="36" xfId="1" applyFont="1" applyBorder="1" applyAlignment="1" applyProtection="1">
      <alignment vertical="top"/>
      <protection hidden="1"/>
    </xf>
    <xf numFmtId="4" fontId="0" fillId="5" borderId="35" xfId="2" applyNumberFormat="1" applyFont="1" applyFill="1" applyBorder="1" applyAlignment="1" applyProtection="1">
      <alignment horizontal="right" vertical="top"/>
      <protection locked="0"/>
    </xf>
    <xf numFmtId="0" fontId="13" fillId="0" borderId="73" xfId="2" applyFont="1" applyBorder="1" applyAlignment="1" applyProtection="1">
      <alignment horizontal="right" vertical="center"/>
      <protection hidden="1"/>
    </xf>
    <xf numFmtId="4" fontId="0" fillId="5" borderId="54" xfId="2" applyNumberFormat="1" applyFont="1" applyFill="1" applyBorder="1" applyAlignment="1" applyProtection="1">
      <alignment horizontal="right" vertical="top"/>
      <protection locked="0"/>
    </xf>
    <xf numFmtId="0" fontId="13" fillId="0" borderId="39" xfId="2" applyFont="1" applyBorder="1" applyAlignment="1" applyProtection="1">
      <alignment horizontal="right" vertical="center"/>
      <protection hidden="1"/>
    </xf>
    <xf numFmtId="3" fontId="0" fillId="4" borderId="35" xfId="2" applyNumberFormat="1" applyFont="1" applyFill="1" applyBorder="1" applyAlignment="1" applyProtection="1">
      <alignment horizontal="right" vertical="top"/>
      <protection locked="0"/>
    </xf>
    <xf numFmtId="0" fontId="14" fillId="0" borderId="62" xfId="2" applyFont="1" applyBorder="1" applyAlignment="1" applyProtection="1">
      <alignment vertical="center"/>
      <protection hidden="1"/>
    </xf>
    <xf numFmtId="3" fontId="0" fillId="4" borderId="54" xfId="2" applyNumberFormat="1" applyFont="1" applyFill="1" applyBorder="1" applyAlignment="1" applyProtection="1">
      <alignment horizontal="right" vertical="top"/>
      <protection locked="0"/>
    </xf>
    <xf numFmtId="3" fontId="0" fillId="4" borderId="52" xfId="2" applyNumberFormat="1" applyFont="1" applyFill="1" applyBorder="1" applyAlignment="1" applyProtection="1">
      <alignment horizontal="right" vertical="top"/>
      <protection locked="0"/>
    </xf>
    <xf numFmtId="0" fontId="14" fillId="0" borderId="73" xfId="2" applyFont="1" applyBorder="1" applyAlignment="1" applyProtection="1">
      <alignment vertical="center"/>
      <protection hidden="1"/>
    </xf>
    <xf numFmtId="3" fontId="0" fillId="4" borderId="54" xfId="2" applyNumberFormat="1" applyFont="1" applyFill="1" applyBorder="1" applyAlignment="1" applyProtection="1">
      <alignment horizontal="center" vertical="top"/>
      <protection locked="0"/>
    </xf>
    <xf numFmtId="0" fontId="14" fillId="0" borderId="39" xfId="2" applyFont="1" applyBorder="1" applyAlignment="1" applyProtection="1">
      <alignment vertical="center"/>
      <protection hidden="1"/>
    </xf>
    <xf numFmtId="49" fontId="9" fillId="0" borderId="36" xfId="2" applyNumberFormat="1" applyFont="1" applyBorder="1" applyAlignment="1" applyProtection="1">
      <alignment horizontal="center" vertical="top"/>
      <protection hidden="1"/>
    </xf>
    <xf numFmtId="0" fontId="13" fillId="0" borderId="38" xfId="2" applyFont="1" applyBorder="1" applyAlignment="1" applyProtection="1">
      <alignment horizontal="right" vertical="center"/>
      <protection hidden="1"/>
    </xf>
    <xf numFmtId="3" fontId="0" fillId="4" borderId="53" xfId="2" applyNumberFormat="1" applyFont="1" applyFill="1" applyBorder="1" applyAlignment="1" applyProtection="1">
      <alignment horizontal="center" vertical="top"/>
      <protection locked="0"/>
    </xf>
    <xf numFmtId="0" fontId="14" fillId="0" borderId="38" xfId="2" applyFont="1" applyBorder="1" applyAlignment="1" applyProtection="1">
      <alignment vertical="center"/>
      <protection hidden="1"/>
    </xf>
    <xf numFmtId="0" fontId="25" fillId="4" borderId="0" xfId="1" applyFont="1" applyFill="1" applyAlignment="1" applyProtection="1">
      <alignment vertical="top" wrapText="1"/>
      <protection locked="0"/>
    </xf>
    <xf numFmtId="0" fontId="25" fillId="4" borderId="50" xfId="4" applyFont="1" applyFill="1" applyBorder="1" applyAlignment="1" applyProtection="1">
      <alignment vertical="top" wrapText="1"/>
      <protection locked="0"/>
    </xf>
    <xf numFmtId="0" fontId="0" fillId="0" borderId="70" xfId="0" applyBorder="1" applyAlignment="1" applyProtection="1">
      <alignment horizontal="right" vertical="center"/>
      <protection hidden="1"/>
    </xf>
    <xf numFmtId="167" fontId="18" fillId="0" borderId="12" xfId="0" applyNumberFormat="1" applyFont="1" applyBorder="1" applyAlignment="1" applyProtection="1">
      <alignment horizontal="left" vertical="top"/>
      <protection hidden="1"/>
    </xf>
    <xf numFmtId="2" fontId="43" fillId="8" borderId="71" xfId="2" applyNumberFormat="1" applyFont="1" applyFill="1" applyBorder="1" applyAlignment="1" applyProtection="1">
      <alignment horizontal="center" vertical="center" wrapText="1"/>
      <protection hidden="1"/>
    </xf>
    <xf numFmtId="2" fontId="43" fillId="8" borderId="16" xfId="2" applyNumberFormat="1" applyFont="1" applyFill="1" applyBorder="1" applyAlignment="1" applyProtection="1">
      <alignment horizontal="center" vertical="center" wrapText="1"/>
      <protection hidden="1"/>
    </xf>
    <xf numFmtId="2" fontId="0" fillId="3" borderId="35" xfId="2" applyNumberFormat="1" applyFont="1" applyFill="1" applyBorder="1" applyAlignment="1" applyProtection="1">
      <alignment horizontal="center" vertical="top"/>
      <protection hidden="1"/>
    </xf>
    <xf numFmtId="2" fontId="0" fillId="0" borderId="38" xfId="2" applyNumberFormat="1" applyFont="1" applyBorder="1" applyAlignment="1" applyProtection="1">
      <alignment horizontal="center" vertical="top"/>
      <protection hidden="1"/>
    </xf>
    <xf numFmtId="0" fontId="12" fillId="0" borderId="73" xfId="2" applyFont="1" applyBorder="1" applyProtection="1">
      <protection hidden="1"/>
    </xf>
    <xf numFmtId="2" fontId="0" fillId="3" borderId="54" xfId="2" applyNumberFormat="1" applyFont="1" applyFill="1" applyBorder="1" applyAlignment="1" applyProtection="1">
      <alignment horizontal="center" vertical="top"/>
      <protection hidden="1"/>
    </xf>
    <xf numFmtId="2" fontId="0" fillId="0" borderId="38" xfId="2" applyNumberFormat="1" applyFont="1" applyBorder="1" applyAlignment="1" applyProtection="1">
      <alignment horizontal="center" vertical="top" wrapText="1"/>
      <protection hidden="1"/>
    </xf>
    <xf numFmtId="2" fontId="0" fillId="0" borderId="73" xfId="2" applyNumberFormat="1" applyFont="1" applyBorder="1" applyAlignment="1" applyProtection="1">
      <alignment horizontal="center" vertical="top" wrapText="1"/>
      <protection hidden="1"/>
    </xf>
    <xf numFmtId="2" fontId="0" fillId="0" borderId="39" xfId="2" applyNumberFormat="1" applyFont="1" applyBorder="1" applyAlignment="1" applyProtection="1">
      <alignment horizontal="center" vertical="top" wrapText="1"/>
      <protection hidden="1"/>
    </xf>
    <xf numFmtId="0" fontId="48" fillId="0" borderId="36" xfId="2" applyFont="1" applyBorder="1" applyAlignment="1" applyProtection="1">
      <alignment vertical="top" wrapText="1"/>
      <protection hidden="1"/>
    </xf>
    <xf numFmtId="0" fontId="48" fillId="0" borderId="36" xfId="2" applyFont="1" applyBorder="1" applyAlignment="1" applyProtection="1">
      <alignment vertical="top"/>
      <protection hidden="1"/>
    </xf>
    <xf numFmtId="0" fontId="48" fillId="0" borderId="62" xfId="2" applyFont="1" applyBorder="1" applyAlignment="1" applyProtection="1">
      <alignment vertical="top"/>
      <protection hidden="1"/>
    </xf>
    <xf numFmtId="0" fontId="48" fillId="0" borderId="62" xfId="2" applyFont="1" applyBorder="1" applyProtection="1">
      <protection hidden="1"/>
    </xf>
    <xf numFmtId="0" fontId="49" fillId="0" borderId="36" xfId="2" quotePrefix="1" applyFont="1" applyBorder="1" applyAlignment="1" applyProtection="1">
      <alignment vertical="top"/>
      <protection hidden="1"/>
    </xf>
    <xf numFmtId="0" fontId="49" fillId="0" borderId="36" xfId="2" quotePrefix="1" applyFont="1" applyBorder="1" applyAlignment="1" applyProtection="1">
      <alignment vertical="top" wrapText="1"/>
      <protection hidden="1"/>
    </xf>
    <xf numFmtId="0" fontId="49" fillId="0" borderId="62" xfId="2" quotePrefix="1" applyFont="1" applyBorder="1" applyAlignment="1" applyProtection="1">
      <alignment vertical="top"/>
      <protection hidden="1"/>
    </xf>
    <xf numFmtId="0" fontId="48" fillId="0" borderId="62" xfId="2" applyFont="1" applyBorder="1" applyAlignment="1" applyProtection="1">
      <alignment vertical="top" wrapText="1"/>
      <protection hidden="1"/>
    </xf>
    <xf numFmtId="2" fontId="0" fillId="0" borderId="38" xfId="2" applyNumberFormat="1" applyFont="1" applyBorder="1" applyAlignment="1" applyProtection="1">
      <alignment vertical="top" wrapText="1"/>
      <protection hidden="1"/>
    </xf>
    <xf numFmtId="2" fontId="0" fillId="0" borderId="73" xfId="2" applyNumberFormat="1" applyFont="1" applyBorder="1" applyAlignment="1" applyProtection="1">
      <alignment vertical="top" wrapText="1"/>
      <protection hidden="1"/>
    </xf>
    <xf numFmtId="2" fontId="0" fillId="3" borderId="38" xfId="2" applyNumberFormat="1" applyFont="1" applyFill="1" applyBorder="1" applyAlignment="1" applyProtection="1">
      <alignment horizontal="center" vertical="top"/>
      <protection hidden="1"/>
    </xf>
    <xf numFmtId="20" fontId="48" fillId="0" borderId="36" xfId="2" quotePrefix="1" applyNumberFormat="1" applyFont="1" applyBorder="1" applyAlignment="1" applyProtection="1">
      <alignment vertical="top" wrapText="1"/>
      <protection hidden="1"/>
    </xf>
    <xf numFmtId="0" fontId="48" fillId="0" borderId="62" xfId="2" applyFont="1" applyBorder="1" applyAlignment="1" applyProtection="1">
      <alignment horizontal="left" vertical="top"/>
      <protection hidden="1"/>
    </xf>
    <xf numFmtId="0" fontId="27" fillId="0" borderId="36" xfId="2" applyFont="1" applyBorder="1" applyAlignment="1" applyProtection="1">
      <alignment vertical="top" wrapText="1"/>
      <protection hidden="1"/>
    </xf>
    <xf numFmtId="2" fontId="0" fillId="0" borderId="38" xfId="2" applyNumberFormat="1" applyFont="1" applyBorder="1" applyAlignment="1" applyProtection="1">
      <alignment vertical="top"/>
      <protection hidden="1"/>
    </xf>
    <xf numFmtId="0" fontId="0" fillId="0" borderId="36" xfId="2" applyFont="1" applyBorder="1" applyAlignment="1" applyProtection="1">
      <alignment vertical="top" wrapText="1"/>
      <protection hidden="1"/>
    </xf>
    <xf numFmtId="0" fontId="50" fillId="0" borderId="62" xfId="2" applyFont="1" applyBorder="1" applyAlignment="1" applyProtection="1">
      <alignment vertical="top"/>
      <protection hidden="1"/>
    </xf>
    <xf numFmtId="0" fontId="50" fillId="0" borderId="74" xfId="2" applyFont="1" applyBorder="1" applyAlignment="1" applyProtection="1">
      <alignment vertical="top"/>
      <protection hidden="1"/>
    </xf>
    <xf numFmtId="0" fontId="24" fillId="0" borderId="34" xfId="2" applyFont="1" applyBorder="1" applyAlignment="1" applyProtection="1">
      <alignment vertical="top" wrapText="1"/>
      <protection hidden="1"/>
    </xf>
    <xf numFmtId="0" fontId="0" fillId="0" borderId="37" xfId="2" applyFont="1" applyBorder="1" applyAlignment="1" applyProtection="1">
      <alignment vertical="top" wrapText="1"/>
      <protection hidden="1"/>
    </xf>
    <xf numFmtId="0" fontId="48" fillId="0" borderId="62" xfId="2" quotePrefix="1" applyFont="1" applyBorder="1" applyAlignment="1" applyProtection="1">
      <alignment vertical="top" wrapText="1"/>
      <protection hidden="1"/>
    </xf>
    <xf numFmtId="0" fontId="24" fillId="0" borderId="37" xfId="2" applyFont="1" applyBorder="1" applyAlignment="1" applyProtection="1">
      <alignment vertical="top" wrapText="1"/>
      <protection hidden="1"/>
    </xf>
    <xf numFmtId="0" fontId="48" fillId="0" borderId="62" xfId="2" quotePrefix="1" applyFont="1" applyBorder="1" applyAlignment="1" applyProtection="1">
      <alignment vertical="top"/>
      <protection hidden="1"/>
    </xf>
    <xf numFmtId="2" fontId="43" fillId="8" borderId="71" xfId="1" applyNumberFormat="1" applyFont="1" applyFill="1" applyBorder="1" applyAlignment="1" applyProtection="1">
      <alignment horizontal="center" vertical="center" wrapText="1"/>
      <protection hidden="1"/>
    </xf>
    <xf numFmtId="2" fontId="43" fillId="8" borderId="16" xfId="1" applyNumberFormat="1" applyFont="1" applyFill="1" applyBorder="1" applyAlignment="1" applyProtection="1">
      <alignment horizontal="center" vertical="center" wrapText="1"/>
      <protection hidden="1"/>
    </xf>
    <xf numFmtId="2" fontId="43" fillId="14" borderId="71" xfId="1" applyNumberFormat="1" applyFont="1" applyFill="1" applyBorder="1" applyAlignment="1" applyProtection="1">
      <alignment horizontal="center" vertical="center" wrapText="1"/>
      <protection hidden="1"/>
    </xf>
    <xf numFmtId="2" fontId="43" fillId="14" borderId="16" xfId="1" applyNumberFormat="1" applyFont="1" applyFill="1" applyBorder="1" applyAlignment="1" applyProtection="1">
      <alignment horizontal="center" vertical="center" wrapText="1"/>
      <protection hidden="1"/>
    </xf>
    <xf numFmtId="166" fontId="43" fillId="3" borderId="16" xfId="0" applyNumberFormat="1" applyFont="1" applyFill="1" applyBorder="1" applyAlignment="1" applyProtection="1">
      <alignment horizontal="center" vertical="center"/>
      <protection hidden="1"/>
    </xf>
    <xf numFmtId="167" fontId="0" fillId="0" borderId="8" xfId="0" applyNumberFormat="1" applyBorder="1" applyAlignment="1" applyProtection="1">
      <alignment vertical="top"/>
      <protection hidden="1"/>
    </xf>
    <xf numFmtId="167" fontId="9" fillId="0" borderId="1" xfId="0" applyNumberFormat="1" applyFont="1" applyBorder="1" applyAlignment="1" applyProtection="1">
      <alignment vertical="top"/>
      <protection hidden="1"/>
    </xf>
    <xf numFmtId="0" fontId="9" fillId="0" borderId="55" xfId="0" applyFont="1" applyBorder="1" applyAlignment="1" applyProtection="1">
      <alignment vertical="top"/>
      <protection hidden="1"/>
    </xf>
    <xf numFmtId="167" fontId="0" fillId="0" borderId="14" xfId="0" applyNumberFormat="1" applyBorder="1" applyAlignment="1" applyProtection="1">
      <alignment vertical="top"/>
      <protection hidden="1"/>
    </xf>
    <xf numFmtId="0" fontId="9" fillId="0" borderId="14" xfId="0" applyFont="1" applyBorder="1" applyAlignment="1" applyProtection="1">
      <alignment vertical="top"/>
      <protection hidden="1"/>
    </xf>
    <xf numFmtId="0" fontId="15" fillId="0" borderId="15" xfId="0" applyFont="1" applyBorder="1" applyAlignment="1" applyProtection="1">
      <alignment vertical="top" wrapText="1"/>
      <protection hidden="1"/>
    </xf>
    <xf numFmtId="167" fontId="9" fillId="0" borderId="14" xfId="0" applyNumberFormat="1" applyFont="1" applyBorder="1" applyAlignment="1" applyProtection="1">
      <alignment vertical="top"/>
      <protection hidden="1"/>
    </xf>
    <xf numFmtId="16" fontId="13" fillId="0" borderId="14" xfId="0" quotePrefix="1" applyNumberFormat="1" applyFont="1" applyBorder="1" applyAlignment="1" applyProtection="1">
      <alignment vertical="top"/>
      <protection hidden="1"/>
    </xf>
    <xf numFmtId="16" fontId="13" fillId="0" borderId="15" xfId="0" quotePrefix="1" applyNumberFormat="1" applyFont="1" applyBorder="1" applyAlignment="1" applyProtection="1">
      <alignment vertical="top"/>
      <protection hidden="1"/>
    </xf>
    <xf numFmtId="16" fontId="13" fillId="0" borderId="63" xfId="0" quotePrefix="1" applyNumberFormat="1" applyFont="1" applyBorder="1" applyAlignment="1" applyProtection="1">
      <alignment vertical="top"/>
      <protection hidden="1"/>
    </xf>
    <xf numFmtId="4" fontId="11" fillId="0" borderId="14" xfId="0" applyNumberFormat="1" applyFont="1" applyBorder="1" applyAlignment="1" applyProtection="1">
      <alignment vertical="center"/>
      <protection hidden="1"/>
    </xf>
    <xf numFmtId="4" fontId="11" fillId="0" borderId="15" xfId="0" applyNumberFormat="1" applyFont="1" applyBorder="1" applyAlignment="1" applyProtection="1">
      <alignment vertical="center"/>
      <protection hidden="1"/>
    </xf>
    <xf numFmtId="4" fontId="11" fillId="0" borderId="1" xfId="0" applyNumberFormat="1" applyFont="1" applyBorder="1" applyAlignment="1" applyProtection="1">
      <alignment vertical="top"/>
      <protection hidden="1"/>
    </xf>
    <xf numFmtId="16" fontId="13" fillId="0" borderId="12" xfId="0" quotePrefix="1" applyNumberFormat="1" applyFont="1" applyBorder="1" applyAlignment="1" applyProtection="1">
      <alignment vertical="top"/>
      <protection hidden="1"/>
    </xf>
    <xf numFmtId="0" fontId="0" fillId="0" borderId="22" xfId="0" applyBorder="1" applyAlignment="1" applyProtection="1">
      <alignment horizontal="center" vertical="top"/>
      <protection hidden="1"/>
    </xf>
    <xf numFmtId="1" fontId="13" fillId="0" borderId="14" xfId="0" applyNumberFormat="1" applyFont="1" applyBorder="1" applyAlignment="1" applyProtection="1">
      <alignment horizontal="center" vertical="center" wrapText="1"/>
      <protection hidden="1"/>
    </xf>
    <xf numFmtId="0" fontId="48" fillId="0" borderId="74" xfId="1" quotePrefix="1" applyFont="1" applyBorder="1" applyAlignment="1" applyProtection="1">
      <alignment vertical="top" wrapText="1"/>
      <protection hidden="1"/>
    </xf>
    <xf numFmtId="2" fontId="25" fillId="0" borderId="39" xfId="1" applyNumberFormat="1" applyFont="1" applyBorder="1" applyAlignment="1" applyProtection="1">
      <alignment horizontal="center" vertical="center" wrapText="1"/>
      <protection hidden="1"/>
    </xf>
    <xf numFmtId="0" fontId="49" fillId="0" borderId="74" xfId="1" quotePrefix="1" applyFont="1" applyBorder="1" applyAlignment="1" applyProtection="1">
      <alignment vertical="top" wrapText="1"/>
      <protection hidden="1"/>
    </xf>
    <xf numFmtId="2" fontId="0" fillId="0" borderId="39" xfId="1" applyNumberFormat="1" applyFont="1" applyBorder="1" applyAlignment="1" applyProtection="1">
      <alignment horizontal="center" vertical="top" wrapText="1"/>
      <protection hidden="1"/>
    </xf>
    <xf numFmtId="0" fontId="44" fillId="0" borderId="53" xfId="1" quotePrefix="1" applyFont="1" applyBorder="1" applyAlignment="1" applyProtection="1">
      <alignment vertical="top"/>
      <protection hidden="1"/>
    </xf>
    <xf numFmtId="0" fontId="44" fillId="0" borderId="59" xfId="1" quotePrefix="1" applyFont="1" applyBorder="1" applyAlignment="1" applyProtection="1">
      <alignment vertical="top"/>
      <protection hidden="1"/>
    </xf>
    <xf numFmtId="2" fontId="0" fillId="3" borderId="35" xfId="1" applyNumberFormat="1" applyFont="1" applyFill="1" applyBorder="1" applyAlignment="1" applyProtection="1">
      <alignment horizontal="center" vertical="top"/>
      <protection hidden="1"/>
    </xf>
    <xf numFmtId="2" fontId="0" fillId="0" borderId="38" xfId="1" applyNumberFormat="1" applyFont="1" applyBorder="1" applyAlignment="1" applyProtection="1">
      <alignment horizontal="center" vertical="top" wrapText="1"/>
      <protection hidden="1"/>
    </xf>
    <xf numFmtId="2" fontId="0" fillId="3" borderId="54" xfId="1" applyNumberFormat="1" applyFont="1" applyFill="1" applyBorder="1" applyAlignment="1" applyProtection="1">
      <alignment horizontal="center" vertical="top"/>
      <protection hidden="1"/>
    </xf>
    <xf numFmtId="0" fontId="44" fillId="0" borderId="73" xfId="1" quotePrefix="1" applyFont="1" applyBorder="1" applyAlignment="1" applyProtection="1">
      <alignment vertical="top"/>
      <protection hidden="1"/>
    </xf>
    <xf numFmtId="0" fontId="44" fillId="0" borderId="38" xfId="1" quotePrefix="1" applyFont="1" applyBorder="1" applyAlignment="1" applyProtection="1">
      <alignment vertical="top"/>
      <protection hidden="1"/>
    </xf>
    <xf numFmtId="2" fontId="0" fillId="2" borderId="54" xfId="1" applyNumberFormat="1" applyFont="1" applyFill="1" applyBorder="1" applyAlignment="1" applyProtection="1">
      <alignment horizontal="center" vertical="top"/>
      <protection hidden="1"/>
    </xf>
    <xf numFmtId="2" fontId="0" fillId="0" borderId="73" xfId="1" applyNumberFormat="1" applyFont="1" applyBorder="1" applyAlignment="1" applyProtection="1">
      <alignment horizontal="center" vertical="top" wrapText="1"/>
      <protection hidden="1"/>
    </xf>
    <xf numFmtId="2" fontId="0" fillId="0" borderId="54" xfId="1" applyNumberFormat="1" applyFont="1" applyBorder="1" applyAlignment="1" applyProtection="1">
      <alignment horizontal="center" vertical="top"/>
      <protection hidden="1"/>
    </xf>
    <xf numFmtId="0" fontId="44" fillId="0" borderId="54" xfId="1" quotePrefix="1" applyFont="1" applyBorder="1" applyAlignment="1" applyProtection="1">
      <alignment vertical="top"/>
      <protection hidden="1"/>
    </xf>
    <xf numFmtId="2" fontId="0" fillId="3" borderId="38" xfId="1" applyNumberFormat="1" applyFont="1" applyFill="1" applyBorder="1" applyAlignment="1" applyProtection="1">
      <alignment horizontal="center" vertical="top"/>
      <protection hidden="1"/>
    </xf>
    <xf numFmtId="0" fontId="40" fillId="15" borderId="0" xfId="1" applyFont="1" applyFill="1" applyAlignment="1" applyProtection="1">
      <alignment vertical="center" wrapText="1"/>
      <protection hidden="1"/>
    </xf>
    <xf numFmtId="0" fontId="13" fillId="15" borderId="0" xfId="1" applyFont="1" applyFill="1" applyAlignment="1" applyProtection="1">
      <alignment horizontal="left" vertical="top" wrapText="1"/>
      <protection hidden="1"/>
    </xf>
    <xf numFmtId="0" fontId="13" fillId="16" borderId="0" xfId="1" applyFont="1" applyFill="1" applyAlignment="1" applyProtection="1">
      <alignment horizontal="left" vertical="top" wrapText="1"/>
      <protection hidden="1"/>
    </xf>
    <xf numFmtId="0" fontId="14" fillId="0" borderId="53" xfId="0" applyFont="1" applyBorder="1" applyAlignment="1" applyProtection="1">
      <alignment horizontal="left" vertical="top"/>
      <protection hidden="1"/>
    </xf>
    <xf numFmtId="0" fontId="13" fillId="0" borderId="48" xfId="0" applyFont="1" applyBorder="1" applyAlignment="1" applyProtection="1">
      <alignment vertical="top"/>
      <protection hidden="1"/>
    </xf>
    <xf numFmtId="4" fontId="0" fillId="0" borderId="47" xfId="0" applyNumberFormat="1" applyBorder="1" applyAlignment="1">
      <alignment vertical="center"/>
    </xf>
    <xf numFmtId="0" fontId="11" fillId="11" borderId="38" xfId="1" applyFont="1" applyFill="1" applyBorder="1" applyAlignment="1" applyProtection="1">
      <alignment horizontal="center" vertical="top" wrapText="1"/>
      <protection hidden="1"/>
    </xf>
    <xf numFmtId="0" fontId="11" fillId="11" borderId="0" xfId="1" applyFont="1" applyFill="1" applyAlignment="1" applyProtection="1">
      <alignment horizontal="center" vertical="top" wrapText="1"/>
      <protection hidden="1"/>
    </xf>
    <xf numFmtId="4" fontId="11" fillId="11" borderId="38" xfId="0" applyNumberFormat="1" applyFont="1" applyFill="1" applyBorder="1" applyAlignment="1" applyProtection="1">
      <alignment horizontal="center" vertical="top" wrapText="1"/>
      <protection hidden="1"/>
    </xf>
    <xf numFmtId="4" fontId="13" fillId="10" borderId="38" xfId="0" applyNumberFormat="1" applyFont="1" applyFill="1" applyBorder="1" applyAlignment="1" applyProtection="1">
      <alignment horizontal="center" vertical="top" wrapText="1"/>
      <protection hidden="1"/>
    </xf>
    <xf numFmtId="167" fontId="57" fillId="11" borderId="36" xfId="0" applyNumberFormat="1" applyFont="1" applyFill="1" applyBorder="1" applyAlignment="1" applyProtection="1">
      <alignment horizontal="left"/>
      <protection hidden="1"/>
    </xf>
    <xf numFmtId="167" fontId="57" fillId="11" borderId="37" xfId="0" applyNumberFormat="1" applyFont="1" applyFill="1" applyBorder="1" applyAlignment="1" applyProtection="1">
      <alignment vertical="center"/>
      <protection hidden="1"/>
    </xf>
    <xf numFmtId="4" fontId="60" fillId="10" borderId="36" xfId="0" applyNumberFormat="1" applyFont="1" applyFill="1" applyBorder="1" applyAlignment="1" applyProtection="1">
      <alignment vertical="center"/>
      <protection hidden="1"/>
    </xf>
    <xf numFmtId="4" fontId="60" fillId="10" borderId="37" xfId="0" applyNumberFormat="1" applyFont="1" applyFill="1" applyBorder="1" applyAlignment="1" applyProtection="1">
      <alignment vertical="center"/>
      <protection hidden="1"/>
    </xf>
    <xf numFmtId="0" fontId="9" fillId="0" borderId="6" xfId="0" quotePrefix="1" applyFont="1" applyBorder="1" applyAlignment="1" applyProtection="1">
      <alignment vertical="top"/>
      <protection hidden="1"/>
    </xf>
    <xf numFmtId="0" fontId="9" fillId="0" borderId="6" xfId="0" applyFont="1" applyBorder="1" applyAlignment="1" applyProtection="1">
      <alignment vertical="top"/>
      <protection hidden="1"/>
    </xf>
    <xf numFmtId="2" fontId="20" fillId="0" borderId="6" xfId="0" applyNumberFormat="1" applyFont="1" applyBorder="1" applyAlignment="1" applyProtection="1">
      <alignment horizontal="center" vertical="center"/>
      <protection hidden="1"/>
    </xf>
    <xf numFmtId="0" fontId="0" fillId="0" borderId="15" xfId="0" applyBorder="1" applyAlignment="1" applyProtection="1">
      <alignment vertical="center"/>
      <protection hidden="1"/>
    </xf>
    <xf numFmtId="0" fontId="0" fillId="3" borderId="21" xfId="0" applyFill="1" applyBorder="1" applyAlignment="1" applyProtection="1">
      <alignment vertical="center"/>
      <protection hidden="1"/>
    </xf>
    <xf numFmtId="0" fontId="0" fillId="3" borderId="22" xfId="0" applyFill="1" applyBorder="1" applyAlignment="1" applyProtection="1">
      <alignment vertical="center"/>
      <protection hidden="1"/>
    </xf>
    <xf numFmtId="16" fontId="43" fillId="0" borderId="9" xfId="0" quotePrefix="1" applyNumberFormat="1" applyFont="1" applyBorder="1" applyAlignment="1" applyProtection="1">
      <alignment vertical="center"/>
      <protection hidden="1"/>
    </xf>
    <xf numFmtId="16" fontId="9" fillId="0" borderId="9" xfId="0" quotePrefix="1" applyNumberFormat="1" applyFont="1" applyBorder="1" applyAlignment="1" applyProtection="1">
      <alignment vertical="center"/>
      <protection hidden="1"/>
    </xf>
    <xf numFmtId="16" fontId="9" fillId="0" borderId="9" xfId="0" quotePrefix="1" applyNumberFormat="1" applyFont="1" applyBorder="1" applyAlignment="1" applyProtection="1">
      <alignment horizontal="center" vertical="center"/>
      <protection hidden="1"/>
    </xf>
    <xf numFmtId="4" fontId="43" fillId="8" borderId="16" xfId="0" applyNumberFormat="1" applyFont="1" applyFill="1" applyBorder="1" applyAlignment="1" applyProtection="1">
      <alignment horizontal="right" vertical="center" shrinkToFit="1"/>
      <protection hidden="1"/>
    </xf>
    <xf numFmtId="0" fontId="43" fillId="0" borderId="9" xfId="0" applyFont="1" applyBorder="1"/>
    <xf numFmtId="0" fontId="43" fillId="0" borderId="10" xfId="0" applyFont="1" applyBorder="1"/>
    <xf numFmtId="1" fontId="30" fillId="3" borderId="6" xfId="0" applyNumberFormat="1" applyFont="1" applyFill="1" applyBorder="1" applyAlignment="1" applyProtection="1">
      <alignment vertical="center"/>
      <protection hidden="1"/>
    </xf>
    <xf numFmtId="0" fontId="13" fillId="3" borderId="11" xfId="0" applyFont="1" applyFill="1" applyBorder="1" applyAlignment="1" applyProtection="1">
      <alignment vertical="center" wrapText="1"/>
      <protection hidden="1"/>
    </xf>
    <xf numFmtId="0" fontId="13" fillId="3" borderId="1" xfId="0" applyFont="1" applyFill="1" applyBorder="1" applyAlignment="1" applyProtection="1">
      <alignment vertical="top" wrapText="1"/>
      <protection hidden="1"/>
    </xf>
    <xf numFmtId="0" fontId="13" fillId="3" borderId="1" xfId="0" applyFont="1" applyFill="1" applyBorder="1" applyAlignment="1" applyProtection="1">
      <alignment horizontal="center" vertical="top" wrapText="1"/>
      <protection hidden="1"/>
    </xf>
    <xf numFmtId="0" fontId="13" fillId="3" borderId="5" xfId="0" applyFont="1" applyFill="1" applyBorder="1" applyAlignment="1" applyProtection="1">
      <alignment vertical="center" wrapText="1"/>
      <protection hidden="1"/>
    </xf>
    <xf numFmtId="0" fontId="13" fillId="3" borderId="10" xfId="0" applyFont="1" applyFill="1" applyBorder="1" applyAlignment="1" applyProtection="1">
      <alignment horizontal="center" vertical="top" wrapText="1"/>
      <protection hidden="1"/>
    </xf>
    <xf numFmtId="0" fontId="13" fillId="3" borderId="8" xfId="0" applyFont="1" applyFill="1" applyBorder="1" applyAlignment="1" applyProtection="1">
      <alignment vertical="top"/>
      <protection hidden="1"/>
    </xf>
    <xf numFmtId="0" fontId="13" fillId="3" borderId="9" xfId="0" applyFont="1" applyFill="1" applyBorder="1" applyAlignment="1" applyProtection="1">
      <alignment horizontal="center" vertical="top" wrapText="1"/>
      <protection hidden="1"/>
    </xf>
    <xf numFmtId="0" fontId="11" fillId="3" borderId="0" xfId="0" applyFont="1" applyFill="1" applyAlignment="1" applyProtection="1">
      <alignment vertical="center"/>
      <protection hidden="1"/>
    </xf>
    <xf numFmtId="0" fontId="13" fillId="3" borderId="0" xfId="0" applyFont="1" applyFill="1" applyAlignment="1" applyProtection="1">
      <alignment vertical="center"/>
      <protection hidden="1"/>
    </xf>
    <xf numFmtId="2" fontId="11" fillId="3" borderId="67" xfId="0" applyNumberFormat="1" applyFont="1" applyFill="1" applyBorder="1" applyAlignment="1" applyProtection="1">
      <alignment horizontal="center" vertical="center"/>
      <protection hidden="1"/>
    </xf>
    <xf numFmtId="167" fontId="43" fillId="3" borderId="16" xfId="0" applyNumberFormat="1" applyFont="1" applyFill="1" applyBorder="1" applyAlignment="1" applyProtection="1">
      <alignment horizontal="right" vertical="center"/>
      <protection hidden="1"/>
    </xf>
    <xf numFmtId="167" fontId="11" fillId="8" borderId="16" xfId="0" applyNumberFormat="1" applyFont="1" applyFill="1" applyBorder="1" applyAlignment="1" applyProtection="1">
      <alignment horizontal="right" vertical="center"/>
      <protection hidden="1"/>
    </xf>
    <xf numFmtId="10" fontId="11" fillId="3" borderId="0" xfId="0" applyNumberFormat="1" applyFont="1" applyFill="1" applyAlignment="1" applyProtection="1">
      <alignment vertical="center"/>
      <protection hidden="1"/>
    </xf>
    <xf numFmtId="168" fontId="11" fillId="3" borderId="0" xfId="0" applyNumberFormat="1" applyFont="1" applyFill="1" applyAlignment="1" applyProtection="1">
      <alignment horizontal="right" vertical="center"/>
      <protection hidden="1"/>
    </xf>
    <xf numFmtId="167" fontId="0" fillId="3" borderId="67" xfId="0" applyNumberFormat="1" applyFill="1" applyBorder="1" applyAlignment="1" applyProtection="1">
      <alignment horizontal="right" vertical="center"/>
      <protection hidden="1"/>
    </xf>
    <xf numFmtId="167" fontId="0" fillId="4" borderId="49" xfId="0" applyNumberFormat="1" applyFill="1" applyBorder="1" applyAlignment="1" applyProtection="1">
      <alignment horizontal="right" vertical="center"/>
      <protection locked="0"/>
    </xf>
    <xf numFmtId="168" fontId="0" fillId="4" borderId="49" xfId="0" applyNumberFormat="1" applyFill="1" applyBorder="1" applyAlignment="1" applyProtection="1">
      <alignment horizontal="center" vertical="center"/>
      <protection locked="0"/>
    </xf>
    <xf numFmtId="167" fontId="11" fillId="0" borderId="49" xfId="0" applyNumberFormat="1" applyFont="1" applyBorder="1" applyAlignment="1" applyProtection="1">
      <alignment horizontal="right" vertical="center"/>
      <protection hidden="1"/>
    </xf>
    <xf numFmtId="167" fontId="0" fillId="4" borderId="47" xfId="0" applyNumberFormat="1" applyFill="1" applyBorder="1" applyAlignment="1" applyProtection="1">
      <alignment horizontal="right" vertical="center"/>
      <protection locked="0"/>
    </xf>
    <xf numFmtId="168" fontId="0" fillId="4" borderId="47" xfId="0" applyNumberFormat="1" applyFill="1" applyBorder="1" applyAlignment="1" applyProtection="1">
      <alignment horizontal="center" vertical="center"/>
      <protection locked="0"/>
    </xf>
    <xf numFmtId="167" fontId="11" fillId="0" borderId="47" xfId="0" applyNumberFormat="1" applyFont="1" applyBorder="1" applyAlignment="1" applyProtection="1">
      <alignment horizontal="right" vertical="center"/>
      <protection hidden="1"/>
    </xf>
    <xf numFmtId="167" fontId="0" fillId="4" borderId="43" xfId="0" applyNumberFormat="1" applyFill="1" applyBorder="1" applyAlignment="1" applyProtection="1">
      <alignment horizontal="right" vertical="center"/>
      <protection locked="0"/>
    </xf>
    <xf numFmtId="168" fontId="0" fillId="4" borderId="43" xfId="0" applyNumberFormat="1" applyFill="1" applyBorder="1" applyAlignment="1" applyProtection="1">
      <alignment horizontal="center" vertical="center"/>
      <protection locked="0"/>
    </xf>
    <xf numFmtId="167" fontId="11" fillId="0" borderId="43" xfId="0" applyNumberFormat="1" applyFont="1" applyBorder="1" applyAlignment="1" applyProtection="1">
      <alignment horizontal="right" vertical="center"/>
      <protection hidden="1"/>
    </xf>
    <xf numFmtId="0" fontId="9" fillId="0" borderId="49" xfId="0" applyFont="1" applyBorder="1" applyAlignment="1">
      <alignment horizontal="left" vertical="center"/>
    </xf>
    <xf numFmtId="0" fontId="9" fillId="0" borderId="47" xfId="0" applyFont="1" applyBorder="1" applyAlignment="1">
      <alignment horizontal="left" vertical="center"/>
    </xf>
    <xf numFmtId="0" fontId="9" fillId="0" borderId="43" xfId="0" applyFont="1" applyBorder="1" applyAlignment="1">
      <alignment horizontal="left" vertical="center"/>
    </xf>
    <xf numFmtId="0" fontId="13" fillId="0" borderId="49" xfId="0" applyFont="1" applyBorder="1" applyAlignment="1" applyProtection="1">
      <alignment vertical="center"/>
      <protection hidden="1"/>
    </xf>
    <xf numFmtId="167" fontId="11" fillId="0" borderId="25" xfId="0" applyNumberFormat="1" applyFont="1" applyBorder="1" applyAlignment="1" applyProtection="1">
      <alignment horizontal="right" vertical="center"/>
      <protection hidden="1"/>
    </xf>
    <xf numFmtId="167" fontId="0" fillId="4" borderId="49" xfId="0" applyNumberFormat="1" applyFill="1" applyBorder="1" applyAlignment="1" applyProtection="1">
      <alignment horizontal="right" vertical="center"/>
      <protection hidden="1"/>
    </xf>
    <xf numFmtId="167" fontId="0" fillId="0" borderId="49" xfId="0" applyNumberFormat="1" applyBorder="1" applyAlignment="1" applyProtection="1">
      <alignment horizontal="right" vertical="center"/>
      <protection hidden="1"/>
    </xf>
    <xf numFmtId="0" fontId="13" fillId="0" borderId="47" xfId="0" applyFont="1" applyBorder="1" applyAlignment="1" applyProtection="1">
      <alignment vertical="center"/>
      <protection hidden="1"/>
    </xf>
    <xf numFmtId="167" fontId="11" fillId="0" borderId="46" xfId="0" applyNumberFormat="1" applyFont="1" applyBorder="1" applyAlignment="1" applyProtection="1">
      <alignment horizontal="right" vertical="center"/>
      <protection hidden="1"/>
    </xf>
    <xf numFmtId="167" fontId="0" fillId="4" borderId="47" xfId="0" applyNumberFormat="1" applyFill="1" applyBorder="1" applyAlignment="1" applyProtection="1">
      <alignment horizontal="right" vertical="center"/>
      <protection hidden="1"/>
    </xf>
    <xf numFmtId="167" fontId="0" fillId="0" borderId="47" xfId="0" applyNumberFormat="1" applyBorder="1" applyAlignment="1" applyProtection="1">
      <alignment horizontal="right" vertical="center"/>
      <protection hidden="1"/>
    </xf>
    <xf numFmtId="0" fontId="13" fillId="0" borderId="43" xfId="0" applyFont="1" applyBorder="1" applyAlignment="1" applyProtection="1">
      <alignment vertical="center"/>
      <protection hidden="1"/>
    </xf>
    <xf numFmtId="167" fontId="11" fillId="0" borderId="48" xfId="0" applyNumberFormat="1" applyFont="1" applyBorder="1" applyAlignment="1" applyProtection="1">
      <alignment horizontal="right" vertical="center"/>
      <protection hidden="1"/>
    </xf>
    <xf numFmtId="167" fontId="0" fillId="4" borderId="43" xfId="0" applyNumberFormat="1" applyFill="1" applyBorder="1" applyAlignment="1" applyProtection="1">
      <alignment horizontal="right" vertical="center"/>
      <protection hidden="1"/>
    </xf>
    <xf numFmtId="167" fontId="0" fillId="0" borderId="43" xfId="0" applyNumberFormat="1" applyBorder="1" applyAlignment="1" applyProtection="1">
      <alignment horizontal="right" vertical="center"/>
      <protection hidden="1"/>
    </xf>
    <xf numFmtId="16" fontId="43" fillId="8" borderId="0" xfId="0" quotePrefix="1" applyNumberFormat="1" applyFont="1" applyFill="1" applyAlignment="1" applyProtection="1">
      <alignment horizontal="left" vertical="center"/>
      <protection hidden="1"/>
    </xf>
    <xf numFmtId="0" fontId="48" fillId="0" borderId="44" xfId="1" applyFont="1" applyBorder="1" applyAlignment="1" applyProtection="1">
      <alignment horizontal="left" vertical="top" wrapText="1"/>
      <protection hidden="1"/>
    </xf>
    <xf numFmtId="0" fontId="48" fillId="0" borderId="58" xfId="1" applyFont="1" applyBorder="1" applyAlignment="1" applyProtection="1">
      <alignment horizontal="left" vertical="top" wrapText="1"/>
      <protection hidden="1"/>
    </xf>
    <xf numFmtId="0" fontId="11" fillId="4" borderId="8" xfId="2" applyFont="1" applyFill="1" applyBorder="1" applyAlignment="1" applyProtection="1">
      <alignment horizontal="left" vertical="top" wrapText="1"/>
      <protection hidden="1"/>
    </xf>
    <xf numFmtId="0" fontId="11" fillId="0" borderId="8" xfId="2" applyFont="1" applyBorder="1" applyAlignment="1" applyProtection="1">
      <alignment horizontal="left" vertical="top" wrapText="1"/>
      <protection hidden="1"/>
    </xf>
    <xf numFmtId="0" fontId="9" fillId="15" borderId="0" xfId="1" applyFont="1" applyFill="1" applyAlignment="1" applyProtection="1">
      <alignment horizontal="left" vertical="top"/>
      <protection hidden="1"/>
    </xf>
    <xf numFmtId="0" fontId="57" fillId="15" borderId="0" xfId="1" applyFont="1" applyFill="1" applyAlignment="1" applyProtection="1">
      <alignment horizontal="right"/>
      <protection hidden="1"/>
    </xf>
    <xf numFmtId="0" fontId="11" fillId="0" borderId="6" xfId="1" applyFont="1" applyBorder="1" applyAlignment="1" applyProtection="1">
      <alignment horizontal="left" vertical="top" wrapText="1"/>
      <protection hidden="1"/>
    </xf>
    <xf numFmtId="0" fontId="9" fillId="0" borderId="6" xfId="0" applyFont="1" applyBorder="1" applyAlignment="1" applyProtection="1">
      <alignment vertical="center"/>
      <protection hidden="1"/>
    </xf>
    <xf numFmtId="0" fontId="13" fillId="0" borderId="6" xfId="1" applyFont="1" applyBorder="1" applyAlignment="1" applyProtection="1">
      <alignment horizontal="left" vertical="top" wrapText="1"/>
      <protection hidden="1"/>
    </xf>
    <xf numFmtId="0" fontId="12" fillId="0" borderId="6" xfId="1" applyFont="1" applyBorder="1" applyProtection="1">
      <protection hidden="1"/>
    </xf>
    <xf numFmtId="0" fontId="13" fillId="2" borderId="6" xfId="1" applyFont="1" applyFill="1" applyBorder="1" applyAlignment="1" applyProtection="1">
      <alignment horizontal="center" vertical="top" wrapText="1"/>
      <protection hidden="1"/>
    </xf>
    <xf numFmtId="0" fontId="9" fillId="16" borderId="0" xfId="1" applyFont="1" applyFill="1" applyAlignment="1" applyProtection="1">
      <alignment horizontal="left" vertical="top"/>
      <protection hidden="1"/>
    </xf>
    <xf numFmtId="0" fontId="40" fillId="16" borderId="0" xfId="1" applyFont="1" applyFill="1" applyAlignment="1" applyProtection="1">
      <alignment vertical="center" wrapText="1"/>
      <protection hidden="1"/>
    </xf>
    <xf numFmtId="0" fontId="57" fillId="16" borderId="0" xfId="1" applyFont="1" applyFill="1" applyAlignment="1" applyProtection="1">
      <alignment horizontal="right"/>
      <protection hidden="1"/>
    </xf>
    <xf numFmtId="0" fontId="0" fillId="0" borderId="45" xfId="0" applyBorder="1" applyAlignment="1" applyProtection="1">
      <alignment vertical="center"/>
      <protection hidden="1"/>
    </xf>
    <xf numFmtId="0" fontId="13" fillId="3" borderId="9" xfId="0" applyFont="1" applyFill="1" applyBorder="1" applyAlignment="1" applyProtection="1">
      <alignment vertical="top" wrapText="1"/>
      <protection hidden="1"/>
    </xf>
    <xf numFmtId="0" fontId="9" fillId="3" borderId="0" xfId="0" applyFont="1" applyFill="1" applyAlignment="1" applyProtection="1">
      <alignment vertical="top"/>
      <protection hidden="1"/>
    </xf>
    <xf numFmtId="0" fontId="9" fillId="3" borderId="6" xfId="0" applyFont="1" applyFill="1" applyBorder="1" applyAlignment="1" applyProtection="1">
      <alignment vertical="top"/>
      <protection hidden="1"/>
    </xf>
    <xf numFmtId="0" fontId="9" fillId="0" borderId="23" xfId="0" applyFont="1" applyBorder="1" applyAlignment="1" applyProtection="1">
      <alignment vertical="center"/>
      <protection hidden="1"/>
    </xf>
    <xf numFmtId="0" fontId="9" fillId="0" borderId="44" xfId="0" applyFont="1" applyBorder="1" applyAlignment="1" applyProtection="1">
      <alignment vertical="center"/>
      <protection hidden="1"/>
    </xf>
    <xf numFmtId="0" fontId="9" fillId="0" borderId="21" xfId="0" applyFont="1" applyBorder="1" applyAlignment="1" applyProtection="1">
      <alignment vertical="center"/>
      <protection hidden="1"/>
    </xf>
    <xf numFmtId="2" fontId="0" fillId="0" borderId="25" xfId="0" applyNumberFormat="1" applyBorder="1" applyAlignment="1" applyProtection="1">
      <alignment horizontal="center" vertical="center"/>
      <protection hidden="1"/>
    </xf>
    <xf numFmtId="2" fontId="0" fillId="0" borderId="46" xfId="0" applyNumberFormat="1" applyBorder="1" applyAlignment="1" applyProtection="1">
      <alignment horizontal="center" vertical="center"/>
      <protection hidden="1"/>
    </xf>
    <xf numFmtId="2" fontId="0" fillId="0" borderId="48" xfId="0" applyNumberFormat="1" applyBorder="1" applyAlignment="1" applyProtection="1">
      <alignment horizontal="center" vertical="center"/>
      <protection hidden="1"/>
    </xf>
    <xf numFmtId="0" fontId="13" fillId="3" borderId="7" xfId="0" applyFont="1" applyFill="1" applyBorder="1" applyAlignment="1" applyProtection="1">
      <alignment horizontal="center" vertical="top" wrapText="1"/>
      <protection hidden="1"/>
    </xf>
    <xf numFmtId="0" fontId="13" fillId="3" borderId="13" xfId="0" applyFont="1" applyFill="1" applyBorder="1" applyAlignment="1" applyProtection="1">
      <alignment horizontal="center" vertical="top" wrapText="1"/>
      <protection hidden="1"/>
    </xf>
    <xf numFmtId="0" fontId="45" fillId="12" borderId="0" xfId="1" applyFont="1" applyFill="1" applyAlignment="1" applyProtection="1">
      <alignment horizontal="left" vertical="top"/>
      <protection hidden="1"/>
    </xf>
    <xf numFmtId="0" fontId="13" fillId="12" borderId="0" xfId="1" applyFont="1" applyFill="1" applyAlignment="1" applyProtection="1">
      <alignment horizontal="left" vertical="top" wrapText="1"/>
      <protection hidden="1"/>
    </xf>
    <xf numFmtId="0" fontId="40" fillId="12" borderId="0" xfId="1" applyFont="1" applyFill="1" applyAlignment="1" applyProtection="1">
      <alignment vertical="center" wrapText="1"/>
      <protection hidden="1"/>
    </xf>
    <xf numFmtId="0" fontId="57" fillId="12" borderId="0" xfId="1" applyFont="1" applyFill="1" applyAlignment="1" applyProtection="1">
      <alignment horizontal="right"/>
      <protection hidden="1"/>
    </xf>
    <xf numFmtId="4" fontId="11" fillId="9" borderId="38" xfId="0" applyNumberFormat="1" applyFont="1" applyFill="1" applyBorder="1" applyAlignment="1" applyProtection="1">
      <alignment horizontal="center" vertical="top"/>
      <protection hidden="1"/>
    </xf>
    <xf numFmtId="0" fontId="9" fillId="16" borderId="38" xfId="1" applyFont="1" applyFill="1" applyBorder="1" applyAlignment="1" applyProtection="1">
      <alignment horizontal="center" vertical="top" wrapText="1"/>
      <protection hidden="1"/>
    </xf>
    <xf numFmtId="0" fontId="9" fillId="16" borderId="0" xfId="1" applyFont="1" applyFill="1" applyAlignment="1" applyProtection="1">
      <alignment horizontal="center" vertical="top" wrapText="1"/>
      <protection hidden="1"/>
    </xf>
    <xf numFmtId="0" fontId="9" fillId="15" borderId="38" xfId="1" applyFont="1" applyFill="1" applyBorder="1" applyAlignment="1" applyProtection="1">
      <alignment horizontal="center" vertical="top" wrapText="1"/>
      <protection hidden="1"/>
    </xf>
    <xf numFmtId="0" fontId="9" fillId="15" borderId="0" xfId="1" applyFont="1" applyFill="1" applyAlignment="1" applyProtection="1">
      <alignment horizontal="center" vertical="top" wrapText="1"/>
      <protection hidden="1"/>
    </xf>
    <xf numFmtId="0" fontId="9" fillId="12" borderId="38" xfId="1" applyFont="1" applyFill="1" applyBorder="1" applyAlignment="1" applyProtection="1">
      <alignment horizontal="center" vertical="top" wrapText="1"/>
      <protection hidden="1"/>
    </xf>
    <xf numFmtId="0" fontId="9" fillId="12" borderId="0" xfId="1" applyFont="1" applyFill="1" applyAlignment="1" applyProtection="1">
      <alignment horizontal="center" vertical="top" wrapText="1"/>
      <protection hidden="1"/>
    </xf>
    <xf numFmtId="0" fontId="24" fillId="0" borderId="3" xfId="1" applyFont="1" applyBorder="1" applyAlignment="1" applyProtection="1">
      <alignment vertical="top"/>
      <protection hidden="1"/>
    </xf>
    <xf numFmtId="49" fontId="12" fillId="0" borderId="0" xfId="1" applyNumberFormat="1" applyFont="1" applyAlignment="1" applyProtection="1">
      <alignment vertical="center"/>
      <protection hidden="1"/>
    </xf>
    <xf numFmtId="0" fontId="14" fillId="0" borderId="0" xfId="1" applyFont="1" applyAlignment="1" applyProtection="1">
      <alignment vertical="center"/>
      <protection hidden="1"/>
    </xf>
    <xf numFmtId="0" fontId="14" fillId="0" borderId="0" xfId="1" applyFont="1" applyAlignment="1" applyProtection="1">
      <alignment horizontal="right" vertical="center"/>
      <protection hidden="1"/>
    </xf>
    <xf numFmtId="0" fontId="13" fillId="0" borderId="0" xfId="1" applyFont="1" applyAlignment="1" applyProtection="1">
      <alignment horizontal="right" vertical="center"/>
      <protection hidden="1"/>
    </xf>
    <xf numFmtId="0" fontId="24" fillId="0" borderId="0" xfId="1" applyFont="1" applyAlignment="1" applyProtection="1">
      <alignment vertical="center"/>
      <protection hidden="1"/>
    </xf>
    <xf numFmtId="0" fontId="13" fillId="0" borderId="0" xfId="1" applyFont="1" applyAlignment="1" applyProtection="1">
      <alignment vertical="center"/>
      <protection hidden="1"/>
    </xf>
    <xf numFmtId="0" fontId="13" fillId="0" borderId="3" xfId="1" applyFont="1" applyBorder="1" applyAlignment="1" applyProtection="1">
      <alignment vertical="center"/>
      <protection hidden="1"/>
    </xf>
    <xf numFmtId="2" fontId="11" fillId="0" borderId="0" xfId="1" applyNumberFormat="1" applyFont="1" applyAlignment="1" applyProtection="1">
      <alignment horizontal="center" vertical="center" wrapText="1"/>
      <protection hidden="1"/>
    </xf>
    <xf numFmtId="2" fontId="11" fillId="0" borderId="3" xfId="1" applyNumberFormat="1" applyFont="1" applyBorder="1" applyAlignment="1" applyProtection="1">
      <alignment horizontal="center" vertical="center" wrapText="1"/>
      <protection hidden="1"/>
    </xf>
    <xf numFmtId="0" fontId="11" fillId="0" borderId="3" xfId="1" applyFont="1" applyBorder="1" applyAlignment="1" applyProtection="1">
      <alignment vertical="center"/>
      <protection hidden="1"/>
    </xf>
    <xf numFmtId="0" fontId="11" fillId="0" borderId="3" xfId="1" applyFont="1" applyBorder="1" applyAlignment="1" applyProtection="1">
      <alignment horizontal="right" vertical="center"/>
      <protection hidden="1"/>
    </xf>
    <xf numFmtId="0" fontId="24" fillId="0" borderId="3" xfId="1" applyFont="1" applyBorder="1" applyProtection="1">
      <protection hidden="1"/>
    </xf>
    <xf numFmtId="0" fontId="0" fillId="0" borderId="3" xfId="1" applyFont="1" applyBorder="1" applyAlignment="1" applyProtection="1">
      <alignment vertical="top"/>
      <protection hidden="1"/>
    </xf>
    <xf numFmtId="0" fontId="9" fillId="0" borderId="3" xfId="1" applyFont="1" applyBorder="1" applyAlignment="1" applyProtection="1">
      <alignment vertical="center"/>
      <protection hidden="1"/>
    </xf>
    <xf numFmtId="0" fontId="13" fillId="8" borderId="37" xfId="0" applyFont="1" applyFill="1" applyBorder="1" applyAlignment="1" applyProtection="1">
      <alignment vertical="center"/>
      <protection hidden="1"/>
    </xf>
    <xf numFmtId="2" fontId="11" fillId="8" borderId="38" xfId="0" applyNumberFormat="1" applyFont="1" applyFill="1" applyBorder="1" applyAlignment="1" applyProtection="1">
      <alignment vertical="center"/>
      <protection hidden="1"/>
    </xf>
    <xf numFmtId="168" fontId="11" fillId="8" borderId="38" xfId="0" applyNumberFormat="1" applyFont="1" applyFill="1" applyBorder="1" applyAlignment="1" applyProtection="1">
      <alignment horizontal="right" vertical="center"/>
      <protection hidden="1"/>
    </xf>
    <xf numFmtId="167" fontId="11" fillId="8" borderId="38" xfId="0" applyNumberFormat="1" applyFont="1" applyFill="1" applyBorder="1" applyAlignment="1" applyProtection="1">
      <alignment horizontal="right" vertical="center"/>
      <protection hidden="1"/>
    </xf>
    <xf numFmtId="167" fontId="0" fillId="8" borderId="38" xfId="0" applyNumberFormat="1" applyFill="1" applyBorder="1" applyAlignment="1" applyProtection="1">
      <alignment horizontal="right" vertical="center"/>
      <protection hidden="1"/>
    </xf>
    <xf numFmtId="167" fontId="0" fillId="8" borderId="71" xfId="0" applyNumberFormat="1" applyFill="1" applyBorder="1" applyAlignment="1" applyProtection="1">
      <alignment horizontal="right" vertical="center"/>
      <protection hidden="1"/>
    </xf>
    <xf numFmtId="167" fontId="0" fillId="3" borderId="75" xfId="0" applyNumberFormat="1" applyFill="1" applyBorder="1" applyAlignment="1" applyProtection="1">
      <alignment horizontal="right" vertical="center"/>
      <protection hidden="1"/>
    </xf>
    <xf numFmtId="167" fontId="0" fillId="3" borderId="38" xfId="0" applyNumberFormat="1" applyFill="1" applyBorder="1" applyAlignment="1" applyProtection="1">
      <alignment horizontal="right" vertical="center"/>
      <protection hidden="1"/>
    </xf>
    <xf numFmtId="167" fontId="0" fillId="3" borderId="38" xfId="0" applyNumberFormat="1" applyFill="1" applyBorder="1" applyAlignment="1" applyProtection="1">
      <alignment horizontal="center" vertical="center"/>
      <protection hidden="1"/>
    </xf>
    <xf numFmtId="167" fontId="11" fillId="3" borderId="36" xfId="0" applyNumberFormat="1" applyFont="1" applyFill="1" applyBorder="1" applyAlignment="1" applyProtection="1">
      <alignment horizontal="right" vertical="center"/>
      <protection hidden="1"/>
    </xf>
    <xf numFmtId="167" fontId="0" fillId="3" borderId="75" xfId="0" applyNumberFormat="1" applyFill="1" applyBorder="1" applyAlignment="1" applyProtection="1">
      <alignment horizontal="center" vertical="center"/>
      <protection hidden="1"/>
    </xf>
    <xf numFmtId="0" fontId="11" fillId="3" borderId="67" xfId="0" applyFont="1" applyFill="1" applyBorder="1" applyAlignment="1">
      <alignment vertical="center"/>
    </xf>
    <xf numFmtId="167" fontId="0" fillId="0" borderId="14" xfId="0" applyNumberFormat="1" applyBorder="1" applyAlignment="1" applyProtection="1">
      <alignment horizontal="right" vertical="top"/>
      <protection hidden="1"/>
    </xf>
    <xf numFmtId="16" fontId="0" fillId="0" borderId="53" xfId="0" quotePrefix="1" applyNumberFormat="1" applyBorder="1" applyAlignment="1" applyProtection="1">
      <alignment horizontal="left" vertical="top" wrapText="1"/>
      <protection hidden="1"/>
    </xf>
    <xf numFmtId="0" fontId="9" fillId="0" borderId="48" xfId="0" applyFont="1" applyBorder="1" applyAlignment="1" applyProtection="1">
      <alignment horizontal="center"/>
      <protection hidden="1"/>
    </xf>
    <xf numFmtId="0" fontId="0" fillId="0" borderId="1" xfId="0" applyBorder="1" applyAlignment="1" applyProtection="1">
      <alignment vertical="top"/>
      <protection hidden="1"/>
    </xf>
    <xf numFmtId="4" fontId="0" fillId="0" borderId="50" xfId="0" applyNumberFormat="1" applyBorder="1" applyAlignment="1" applyProtection="1">
      <alignment vertical="top"/>
      <protection hidden="1"/>
    </xf>
    <xf numFmtId="0" fontId="0" fillId="8" borderId="67" xfId="0" quotePrefix="1" applyFill="1" applyBorder="1" applyAlignment="1" applyProtection="1">
      <alignment horizontal="right" vertical="center"/>
      <protection hidden="1"/>
    </xf>
    <xf numFmtId="0" fontId="11" fillId="3" borderId="3" xfId="0" applyFont="1" applyFill="1" applyBorder="1" applyAlignment="1" applyProtection="1">
      <alignment horizontal="right" vertical="top"/>
      <protection hidden="1"/>
    </xf>
    <xf numFmtId="0" fontId="9" fillId="0" borderId="0" xfId="0" applyFont="1" applyAlignment="1" applyProtection="1">
      <alignment vertical="top" wrapText="1"/>
      <protection hidden="1"/>
    </xf>
    <xf numFmtId="167" fontId="0" fillId="4" borderId="12" xfId="0" applyNumberFormat="1" applyFill="1" applyBorder="1" applyAlignment="1" applyProtection="1">
      <alignment vertical="center"/>
      <protection locked="0"/>
    </xf>
    <xf numFmtId="166" fontId="30" fillId="3" borderId="7" xfId="0" applyNumberFormat="1" applyFont="1" applyFill="1" applyBorder="1" applyAlignment="1" applyProtection="1">
      <alignment vertical="center" wrapText="1"/>
      <protection hidden="1"/>
    </xf>
    <xf numFmtId="166" fontId="30" fillId="3" borderId="4" xfId="0" applyNumberFormat="1" applyFont="1" applyFill="1" applyBorder="1" applyAlignment="1" applyProtection="1">
      <alignment horizontal="left" vertical="center" wrapText="1"/>
      <protection hidden="1"/>
    </xf>
    <xf numFmtId="0" fontId="0" fillId="0" borderId="46" xfId="0" applyBorder="1" applyAlignment="1" applyProtection="1">
      <alignment horizontal="left" vertical="top"/>
      <protection hidden="1"/>
    </xf>
    <xf numFmtId="0" fontId="0" fillId="3" borderId="22" xfId="0" applyFill="1" applyBorder="1" applyAlignment="1" applyProtection="1">
      <alignment horizontal="left" vertical="center" wrapText="1"/>
      <protection hidden="1"/>
    </xf>
    <xf numFmtId="16" fontId="0" fillId="0" borderId="53" xfId="0" quotePrefix="1" applyNumberFormat="1" applyBorder="1" applyAlignment="1" applyProtection="1">
      <alignment horizontal="left" vertical="top"/>
      <protection hidden="1"/>
    </xf>
    <xf numFmtId="16" fontId="0" fillId="0" borderId="51" xfId="0" quotePrefix="1" applyNumberFormat="1" applyBorder="1" applyAlignment="1" applyProtection="1">
      <alignment horizontal="center" vertical="top" wrapText="1"/>
      <protection hidden="1"/>
    </xf>
    <xf numFmtId="16" fontId="0" fillId="0" borderId="24" xfId="0" quotePrefix="1" applyNumberFormat="1" applyBorder="1" applyAlignment="1" applyProtection="1">
      <alignment horizontal="left" vertical="top"/>
      <protection hidden="1"/>
    </xf>
    <xf numFmtId="16" fontId="9" fillId="0" borderId="24" xfId="0" quotePrefix="1" applyNumberFormat="1" applyFont="1" applyBorder="1" applyAlignment="1" applyProtection="1">
      <alignment horizontal="center"/>
      <protection hidden="1"/>
    </xf>
    <xf numFmtId="0" fontId="0" fillId="0" borderId="6" xfId="2" applyFont="1" applyBorder="1" applyAlignment="1" applyProtection="1">
      <alignment vertical="top"/>
      <protection hidden="1"/>
    </xf>
    <xf numFmtId="0" fontId="0" fillId="0" borderId="6" xfId="2" applyFont="1" applyBorder="1" applyProtection="1">
      <protection hidden="1"/>
    </xf>
    <xf numFmtId="0" fontId="11" fillId="0" borderId="37" xfId="0" applyFont="1" applyBorder="1" applyAlignment="1" applyProtection="1">
      <alignment horizontal="center"/>
      <protection hidden="1"/>
    </xf>
    <xf numFmtId="0" fontId="0" fillId="0" borderId="0" xfId="0" applyAlignment="1" applyProtection="1">
      <alignment horizontal="center" vertical="top"/>
      <protection hidden="1"/>
    </xf>
    <xf numFmtId="0" fontId="11" fillId="0" borderId="3" xfId="0" applyFont="1" applyBorder="1" applyAlignment="1" applyProtection="1">
      <alignment horizontal="right" vertical="top"/>
      <protection hidden="1"/>
    </xf>
    <xf numFmtId="0" fontId="36" fillId="0" borderId="6" xfId="0" applyFont="1" applyBorder="1" applyProtection="1">
      <protection hidden="1"/>
    </xf>
    <xf numFmtId="0" fontId="29" fillId="8" borderId="0" xfId="0" applyFont="1" applyFill="1" applyAlignment="1" applyProtection="1">
      <alignment horizontal="left" vertical="center" wrapText="1"/>
      <protection hidden="1"/>
    </xf>
    <xf numFmtId="0" fontId="26" fillId="0" borderId="33" xfId="1" applyFont="1" applyBorder="1" applyAlignment="1" applyProtection="1">
      <alignment vertical="center"/>
      <protection hidden="1"/>
    </xf>
    <xf numFmtId="0" fontId="39" fillId="0" borderId="53" xfId="1" quotePrefix="1" applyFont="1" applyBorder="1" applyAlignment="1" applyProtection="1">
      <alignment horizontal="center" vertical="center"/>
      <protection hidden="1"/>
    </xf>
    <xf numFmtId="0" fontId="26" fillId="0" borderId="52" xfId="1" applyFont="1" applyBorder="1" applyAlignment="1" applyProtection="1">
      <alignment vertical="center"/>
      <protection hidden="1"/>
    </xf>
    <xf numFmtId="0" fontId="0" fillId="0" borderId="3" xfId="1" applyFont="1" applyBorder="1" applyAlignment="1" applyProtection="1">
      <alignment vertical="center"/>
      <protection hidden="1"/>
    </xf>
    <xf numFmtId="0" fontId="0" fillId="0" borderId="53" xfId="1" applyFont="1" applyBorder="1" applyAlignment="1" applyProtection="1">
      <alignment vertical="center"/>
      <protection hidden="1"/>
    </xf>
    <xf numFmtId="0" fontId="0" fillId="3" borderId="53" xfId="1" applyFont="1" applyFill="1" applyBorder="1" applyAlignment="1" applyProtection="1">
      <alignment vertical="center"/>
      <protection hidden="1"/>
    </xf>
    <xf numFmtId="0" fontId="26" fillId="0" borderId="36" xfId="1" applyFont="1" applyBorder="1" applyAlignment="1" applyProtection="1">
      <alignment vertical="center"/>
      <protection hidden="1"/>
    </xf>
    <xf numFmtId="0" fontId="0" fillId="0" borderId="53" xfId="1" applyFont="1" applyBorder="1" applyAlignment="1" applyProtection="1">
      <alignment vertical="center"/>
      <protection locked="0"/>
    </xf>
    <xf numFmtId="0" fontId="0" fillId="0" borderId="0" xfId="1" applyFont="1" applyAlignment="1" applyProtection="1">
      <alignment vertical="center"/>
      <protection locked="0"/>
    </xf>
    <xf numFmtId="0" fontId="39" fillId="0" borderId="0" xfId="1" quotePrefix="1" applyFont="1" applyAlignment="1" applyProtection="1">
      <alignment horizontal="center" vertical="center"/>
      <protection hidden="1"/>
    </xf>
    <xf numFmtId="0" fontId="24" fillId="4" borderId="53" xfId="1" applyFont="1" applyFill="1" applyBorder="1" applyAlignment="1" applyProtection="1">
      <alignment vertical="center" wrapText="1"/>
      <protection locked="0"/>
    </xf>
    <xf numFmtId="0" fontId="51" fillId="0" borderId="52" xfId="1" applyFont="1" applyBorder="1" applyAlignment="1" applyProtection="1">
      <alignment vertical="center" wrapText="1"/>
      <protection hidden="1"/>
    </xf>
    <xf numFmtId="0" fontId="0" fillId="3" borderId="58" xfId="2" applyFont="1" applyFill="1" applyBorder="1" applyAlignment="1" applyProtection="1">
      <alignment horizontal="center" vertical="center"/>
      <protection hidden="1"/>
    </xf>
    <xf numFmtId="0" fontId="51" fillId="0" borderId="33" xfId="2" applyFont="1" applyBorder="1" applyAlignment="1" applyProtection="1">
      <alignment vertical="center" wrapText="1"/>
      <protection hidden="1"/>
    </xf>
    <xf numFmtId="0" fontId="51" fillId="0" borderId="52" xfId="2" applyFont="1" applyBorder="1" applyAlignment="1" applyProtection="1">
      <alignment vertical="center" wrapText="1"/>
      <protection hidden="1"/>
    </xf>
    <xf numFmtId="0" fontId="0" fillId="3" borderId="11" xfId="2" applyFont="1" applyFill="1" applyBorder="1" applyAlignment="1" applyProtection="1">
      <alignment horizontal="center" vertical="center"/>
      <protection hidden="1"/>
    </xf>
    <xf numFmtId="0" fontId="26" fillId="0" borderId="36" xfId="2" applyFont="1" applyBorder="1" applyAlignment="1" applyProtection="1">
      <alignment vertical="center" wrapText="1"/>
      <protection hidden="1"/>
    </xf>
    <xf numFmtId="0" fontId="26" fillId="0" borderId="52" xfId="2" applyFont="1" applyBorder="1" applyAlignment="1" applyProtection="1">
      <alignment vertical="center" wrapText="1"/>
      <protection hidden="1"/>
    </xf>
    <xf numFmtId="0" fontId="26" fillId="0" borderId="33" xfId="2" applyFont="1" applyBorder="1" applyAlignment="1" applyProtection="1">
      <alignment vertical="center" wrapText="1"/>
      <protection hidden="1"/>
    </xf>
    <xf numFmtId="0" fontId="0" fillId="0" borderId="23" xfId="0" applyBorder="1" applyAlignment="1" applyProtection="1">
      <alignment horizontal="right" vertical="top"/>
      <protection hidden="1"/>
    </xf>
    <xf numFmtId="0" fontId="25" fillId="0" borderId="46" xfId="0" applyFont="1" applyBorder="1" applyAlignment="1" applyProtection="1">
      <alignment horizontal="right" vertical="top"/>
      <protection hidden="1"/>
    </xf>
    <xf numFmtId="0" fontId="0" fillId="3" borderId="50" xfId="1" quotePrefix="1" applyFont="1" applyFill="1" applyBorder="1" applyAlignment="1" applyProtection="1">
      <alignment horizontal="left" vertical="top" wrapText="1"/>
      <protection hidden="1"/>
    </xf>
    <xf numFmtId="4" fontId="0" fillId="5" borderId="35" xfId="1" applyNumberFormat="1" applyFont="1" applyFill="1" applyBorder="1" applyAlignment="1" applyProtection="1">
      <alignment horizontal="right" vertical="top"/>
      <protection locked="0"/>
    </xf>
    <xf numFmtId="4" fontId="0" fillId="0" borderId="0" xfId="1" applyNumberFormat="1" applyFont="1" applyAlignment="1" applyProtection="1">
      <alignment horizontal="left" vertical="top"/>
      <protection hidden="1"/>
    </xf>
    <xf numFmtId="4" fontId="12" fillId="0" borderId="0" xfId="1" applyNumberFormat="1" applyFont="1" applyAlignment="1" applyProtection="1">
      <alignment horizontal="left" vertical="top" wrapText="1"/>
      <protection hidden="1"/>
    </xf>
    <xf numFmtId="4" fontId="0" fillId="5" borderId="54" xfId="1" applyNumberFormat="1" applyFont="1" applyFill="1" applyBorder="1" applyAlignment="1" applyProtection="1">
      <alignment horizontal="right" vertical="top"/>
      <protection locked="0"/>
    </xf>
    <xf numFmtId="4" fontId="0" fillId="0" borderId="50" xfId="1" applyNumberFormat="1" applyFont="1" applyBorder="1" applyAlignment="1" applyProtection="1">
      <alignment horizontal="left" vertical="top"/>
      <protection hidden="1"/>
    </xf>
    <xf numFmtId="4" fontId="12" fillId="0" borderId="50" xfId="1" applyNumberFormat="1" applyFont="1" applyBorder="1" applyAlignment="1" applyProtection="1">
      <alignment horizontal="left" vertical="top" wrapText="1"/>
      <protection hidden="1"/>
    </xf>
    <xf numFmtId="4" fontId="0" fillId="5" borderId="38" xfId="1" applyNumberFormat="1" applyFont="1" applyFill="1" applyBorder="1" applyAlignment="1" applyProtection="1">
      <alignment horizontal="right" vertical="top"/>
      <protection locked="0"/>
    </xf>
    <xf numFmtId="4" fontId="15" fillId="0" borderId="0" xfId="1" applyNumberFormat="1" applyFont="1" applyAlignment="1" applyProtection="1">
      <alignment horizontal="left" wrapText="1"/>
      <protection hidden="1"/>
    </xf>
    <xf numFmtId="4" fontId="15" fillId="0" borderId="38" xfId="1" applyNumberFormat="1" applyFont="1" applyBorder="1" applyAlignment="1" applyProtection="1">
      <alignment horizontal="left" wrapText="1"/>
      <protection hidden="1"/>
    </xf>
    <xf numFmtId="4" fontId="0" fillId="0" borderId="62" xfId="1" applyNumberFormat="1" applyFont="1" applyBorder="1" applyAlignment="1" applyProtection="1">
      <alignment horizontal="left" vertical="top"/>
      <protection hidden="1"/>
    </xf>
    <xf numFmtId="4" fontId="12" fillId="0" borderId="61" xfId="1" applyNumberFormat="1" applyFont="1" applyBorder="1" applyAlignment="1" applyProtection="1">
      <alignment horizontal="left" vertical="top" wrapText="1"/>
      <protection hidden="1"/>
    </xf>
    <xf numFmtId="0" fontId="0" fillId="0" borderId="22" xfId="0" applyBorder="1" applyAlignment="1" applyProtection="1">
      <alignment vertical="top"/>
      <protection hidden="1"/>
    </xf>
    <xf numFmtId="0" fontId="0" fillId="0" borderId="44" xfId="0" applyBorder="1" applyAlignment="1" applyProtection="1">
      <alignment vertical="top"/>
      <protection hidden="1"/>
    </xf>
    <xf numFmtId="0" fontId="0" fillId="0" borderId="44" xfId="0" applyBorder="1" applyAlignment="1" applyProtection="1">
      <alignment horizontal="left" vertical="top"/>
      <protection hidden="1"/>
    </xf>
    <xf numFmtId="16" fontId="43" fillId="8" borderId="36" xfId="0" quotePrefix="1" applyNumberFormat="1" applyFont="1" applyFill="1" applyBorder="1" applyAlignment="1" applyProtection="1">
      <alignment vertical="center"/>
      <protection hidden="1"/>
    </xf>
    <xf numFmtId="16" fontId="11" fillId="0" borderId="9" xfId="0" quotePrefix="1" applyNumberFormat="1" applyFont="1" applyBorder="1" applyAlignment="1" applyProtection="1">
      <alignment vertical="top"/>
      <protection hidden="1"/>
    </xf>
    <xf numFmtId="16" fontId="11" fillId="0" borderId="10" xfId="0" quotePrefix="1" applyNumberFormat="1" applyFont="1" applyBorder="1" applyAlignment="1" applyProtection="1">
      <alignment vertical="top"/>
      <protection hidden="1"/>
    </xf>
    <xf numFmtId="0" fontId="0" fillId="0" borderId="46" xfId="0" applyBorder="1" applyAlignment="1" applyProtection="1">
      <alignment vertical="center"/>
      <protection hidden="1"/>
    </xf>
    <xf numFmtId="0" fontId="0" fillId="0" borderId="48" xfId="0" applyBorder="1" applyAlignment="1" applyProtection="1">
      <alignment vertical="top"/>
      <protection hidden="1"/>
    </xf>
    <xf numFmtId="0" fontId="9" fillId="3" borderId="11" xfId="2" applyFont="1" applyFill="1" applyBorder="1" applyAlignment="1" applyProtection="1">
      <alignment horizontal="center" vertical="center"/>
      <protection hidden="1"/>
    </xf>
    <xf numFmtId="0" fontId="11" fillId="0" borderId="45" xfId="0" applyFont="1" applyBorder="1" applyAlignment="1" applyProtection="1">
      <alignment vertical="top"/>
      <protection hidden="1"/>
    </xf>
    <xf numFmtId="0" fontId="0" fillId="0" borderId="22" xfId="0" applyBorder="1" applyAlignment="1" applyProtection="1">
      <alignment horizontal="left" vertical="top"/>
      <protection hidden="1"/>
    </xf>
    <xf numFmtId="0" fontId="0" fillId="0" borderId="11" xfId="0" applyBorder="1" applyAlignment="1" applyProtection="1">
      <alignment vertical="top" wrapText="1"/>
      <protection hidden="1"/>
    </xf>
    <xf numFmtId="0" fontId="11" fillId="3" borderId="9" xfId="0" applyFont="1" applyFill="1" applyBorder="1" applyAlignment="1" applyProtection="1">
      <alignment horizontal="left" vertical="top"/>
      <protection hidden="1"/>
    </xf>
    <xf numFmtId="16" fontId="0" fillId="0" borderId="56" xfId="0" quotePrefix="1" applyNumberFormat="1" applyBorder="1" applyAlignment="1" applyProtection="1">
      <alignment vertical="top"/>
      <protection hidden="1"/>
    </xf>
    <xf numFmtId="16" fontId="11" fillId="0" borderId="24" xfId="0" quotePrefix="1" applyNumberFormat="1" applyFont="1" applyBorder="1" applyAlignment="1" applyProtection="1">
      <alignment vertical="top"/>
      <protection hidden="1"/>
    </xf>
    <xf numFmtId="16" fontId="0" fillId="0" borderId="53" xfId="0" quotePrefix="1" applyNumberFormat="1" applyBorder="1" applyAlignment="1" applyProtection="1">
      <alignment vertical="top"/>
      <protection hidden="1"/>
    </xf>
    <xf numFmtId="16" fontId="27" fillId="0" borderId="9" xfId="0" quotePrefix="1" applyNumberFormat="1" applyFont="1" applyBorder="1" applyAlignment="1" applyProtection="1">
      <alignment vertical="center"/>
      <protection hidden="1"/>
    </xf>
    <xf numFmtId="16" fontId="27" fillId="0" borderId="10" xfId="0" quotePrefix="1" applyNumberFormat="1" applyFont="1" applyBorder="1" applyAlignment="1" applyProtection="1">
      <alignment vertical="center"/>
      <protection hidden="1"/>
    </xf>
    <xf numFmtId="0" fontId="0" fillId="0" borderId="58" xfId="0" applyBorder="1" applyAlignment="1" applyProtection="1">
      <alignment vertical="top"/>
      <protection hidden="1"/>
    </xf>
    <xf numFmtId="0" fontId="9" fillId="3" borderId="58" xfId="2" applyFont="1" applyFill="1" applyBorder="1" applyAlignment="1" applyProtection="1">
      <alignment horizontal="center" vertical="center"/>
      <protection hidden="1"/>
    </xf>
    <xf numFmtId="0" fontId="9" fillId="0" borderId="50" xfId="1" applyFont="1" applyBorder="1" applyAlignment="1" applyProtection="1">
      <alignment horizontal="left" vertical="top"/>
      <protection hidden="1"/>
    </xf>
    <xf numFmtId="0" fontId="9" fillId="0" borderId="3" xfId="2" applyFont="1" applyBorder="1" applyAlignment="1" applyProtection="1">
      <alignment vertical="top"/>
      <protection hidden="1"/>
    </xf>
    <xf numFmtId="0" fontId="9" fillId="0" borderId="6" xfId="2" applyFont="1" applyBorder="1" applyAlignment="1" applyProtection="1">
      <alignment vertical="top"/>
      <protection hidden="1"/>
    </xf>
    <xf numFmtId="0" fontId="27" fillId="3" borderId="9" xfId="2" applyFont="1" applyFill="1" applyBorder="1" applyAlignment="1" applyProtection="1">
      <alignment vertical="top"/>
      <protection hidden="1"/>
    </xf>
    <xf numFmtId="0" fontId="9" fillId="0" borderId="9" xfId="2" applyFont="1" applyBorder="1" applyAlignment="1" applyProtection="1">
      <alignment vertical="top"/>
      <protection hidden="1"/>
    </xf>
    <xf numFmtId="0" fontId="12" fillId="3" borderId="9" xfId="2" applyFont="1" applyFill="1" applyBorder="1" applyAlignment="1" applyProtection="1">
      <alignment vertical="top"/>
      <protection hidden="1"/>
    </xf>
    <xf numFmtId="0" fontId="9" fillId="0" borderId="0" xfId="1" applyFont="1" applyAlignment="1" applyProtection="1">
      <alignment horizontal="left" vertical="top"/>
      <protection hidden="1"/>
    </xf>
    <xf numFmtId="0" fontId="27" fillId="0" borderId="0" xfId="2" applyFont="1" applyAlignment="1" applyProtection="1">
      <alignment horizontal="center" vertical="top"/>
      <protection hidden="1"/>
    </xf>
    <xf numFmtId="0" fontId="9" fillId="8" borderId="0" xfId="2" applyFont="1" applyFill="1" applyAlignment="1" applyProtection="1">
      <alignment vertical="top"/>
      <protection hidden="1"/>
    </xf>
    <xf numFmtId="0" fontId="9" fillId="0" borderId="6" xfId="1" applyFont="1" applyBorder="1" applyAlignment="1" applyProtection="1">
      <alignment vertical="top"/>
      <protection hidden="1"/>
    </xf>
    <xf numFmtId="0" fontId="27" fillId="3" borderId="9" xfId="1" applyFont="1" applyFill="1" applyBorder="1" applyAlignment="1" applyProtection="1">
      <alignment vertical="top"/>
      <protection hidden="1"/>
    </xf>
    <xf numFmtId="0" fontId="9" fillId="0" borderId="9" xfId="1" applyFont="1" applyBorder="1" applyAlignment="1" applyProtection="1">
      <alignment vertical="top"/>
      <protection hidden="1"/>
    </xf>
    <xf numFmtId="0" fontId="12" fillId="0" borderId="3" xfId="1" applyFont="1" applyBorder="1" applyAlignment="1" applyProtection="1">
      <alignment vertical="top"/>
      <protection hidden="1"/>
    </xf>
    <xf numFmtId="0" fontId="9" fillId="0" borderId="3" xfId="1" applyFont="1" applyBorder="1" applyAlignment="1" applyProtection="1">
      <alignment vertical="top"/>
      <protection hidden="1"/>
    </xf>
    <xf numFmtId="0" fontId="9" fillId="0" borderId="50" xfId="1" applyFont="1" applyBorder="1" applyAlignment="1" applyProtection="1">
      <alignment horizontal="center" vertical="top"/>
      <protection hidden="1"/>
    </xf>
    <xf numFmtId="0" fontId="9" fillId="0" borderId="0" xfId="1" applyFont="1" applyAlignment="1" applyProtection="1">
      <alignment horizontal="center" vertical="top"/>
      <protection hidden="1"/>
    </xf>
    <xf numFmtId="0" fontId="9" fillId="0" borderId="0" xfId="1" applyFont="1" applyAlignment="1" applyProtection="1">
      <alignment vertical="top"/>
      <protection hidden="1"/>
    </xf>
    <xf numFmtId="0" fontId="27" fillId="0" borderId="0" xfId="1" applyFont="1" applyAlignment="1" applyProtection="1">
      <alignment horizontal="left" vertical="top"/>
      <protection hidden="1"/>
    </xf>
    <xf numFmtId="10" fontId="0" fillId="0" borderId="1" xfId="0" quotePrefix="1" applyNumberFormat="1" applyBorder="1" applyAlignment="1" applyProtection="1">
      <alignment horizontal="center" vertical="top"/>
      <protection hidden="1"/>
    </xf>
    <xf numFmtId="16" fontId="27" fillId="8" borderId="67" xfId="0" quotePrefix="1" applyNumberFormat="1" applyFont="1" applyFill="1" applyBorder="1" applyAlignment="1" applyProtection="1">
      <alignment horizontal="left" vertical="center"/>
      <protection hidden="1"/>
    </xf>
    <xf numFmtId="16" fontId="13" fillId="3" borderId="4" xfId="0" applyNumberFormat="1" applyFont="1" applyFill="1" applyBorder="1" applyAlignment="1" applyProtection="1">
      <alignment horizontal="center" vertical="top" wrapText="1"/>
      <protection hidden="1"/>
    </xf>
    <xf numFmtId="0" fontId="13" fillId="0" borderId="12" xfId="0" applyFont="1" applyBorder="1" applyAlignment="1" applyProtection="1">
      <alignment horizontal="center" vertical="top" wrapText="1"/>
      <protection hidden="1"/>
    </xf>
    <xf numFmtId="16" fontId="11" fillId="0" borderId="2" xfId="0" quotePrefix="1" applyNumberFormat="1" applyFont="1" applyBorder="1" applyAlignment="1" applyProtection="1">
      <alignment vertical="top"/>
      <protection hidden="1"/>
    </xf>
    <xf numFmtId="0" fontId="11" fillId="0" borderId="3" xfId="0" applyFont="1" applyBorder="1" applyAlignment="1" applyProtection="1">
      <alignment vertical="top" wrapText="1"/>
      <protection hidden="1"/>
    </xf>
    <xf numFmtId="16" fontId="0" fillId="0" borderId="58" xfId="0" quotePrefix="1" applyNumberFormat="1" applyBorder="1" applyAlignment="1" applyProtection="1">
      <alignment vertical="top"/>
      <protection hidden="1"/>
    </xf>
    <xf numFmtId="16" fontId="13" fillId="0" borderId="53" xfId="0" quotePrefix="1" applyNumberFormat="1" applyFont="1" applyBorder="1" applyAlignment="1" applyProtection="1">
      <alignment vertical="top"/>
      <protection hidden="1"/>
    </xf>
    <xf numFmtId="16" fontId="28" fillId="0" borderId="53" xfId="0" quotePrefix="1" applyNumberFormat="1" applyFont="1" applyBorder="1" applyAlignment="1" applyProtection="1">
      <alignment vertical="top"/>
      <protection hidden="1"/>
    </xf>
    <xf numFmtId="16" fontId="13" fillId="0" borderId="48" xfId="0" quotePrefix="1" applyNumberFormat="1" applyFont="1" applyBorder="1" applyAlignment="1" applyProtection="1">
      <alignment vertical="top"/>
      <protection hidden="1"/>
    </xf>
    <xf numFmtId="0" fontId="11" fillId="0" borderId="22" xfId="0" applyFont="1" applyBorder="1" applyAlignment="1" applyProtection="1">
      <alignment vertical="top" wrapText="1"/>
      <protection hidden="1"/>
    </xf>
    <xf numFmtId="4" fontId="11" fillId="0" borderId="48" xfId="0" applyNumberFormat="1" applyFont="1" applyBorder="1" applyAlignment="1" applyProtection="1">
      <alignment horizontal="center" vertical="center"/>
      <protection hidden="1"/>
    </xf>
    <xf numFmtId="0" fontId="11" fillId="0" borderId="23" xfId="0" applyFont="1" applyBorder="1" applyAlignment="1" applyProtection="1">
      <alignment vertical="top"/>
      <protection hidden="1"/>
    </xf>
    <xf numFmtId="167" fontId="0" fillId="0" borderId="50" xfId="0" applyNumberFormat="1" applyBorder="1" applyAlignment="1" applyProtection="1">
      <alignment vertical="top"/>
      <protection hidden="1"/>
    </xf>
    <xf numFmtId="0" fontId="0" fillId="0" borderId="36" xfId="0" applyBorder="1" applyAlignment="1" applyProtection="1">
      <alignment vertical="top"/>
      <protection hidden="1"/>
    </xf>
    <xf numFmtId="4" fontId="0" fillId="0" borderId="36" xfId="0" applyNumberFormat="1" applyBorder="1" applyAlignment="1" applyProtection="1">
      <alignment vertical="top"/>
      <protection hidden="1"/>
    </xf>
    <xf numFmtId="0" fontId="18" fillId="0" borderId="0" xfId="0" applyFont="1" applyAlignment="1" applyProtection="1">
      <alignment vertical="top" wrapText="1"/>
      <protection hidden="1"/>
    </xf>
    <xf numFmtId="49" fontId="0" fillId="0" borderId="0" xfId="0" applyNumberFormat="1" applyAlignment="1" applyProtection="1">
      <alignment vertical="top"/>
      <protection hidden="1"/>
    </xf>
    <xf numFmtId="49" fontId="10" fillId="0" borderId="0" xfId="0" applyNumberFormat="1" applyFont="1" applyAlignment="1" applyProtection="1">
      <alignment horizontal="center" vertical="center" wrapText="1"/>
      <protection hidden="1"/>
    </xf>
    <xf numFmtId="49" fontId="11" fillId="0" borderId="3" xfId="0" applyNumberFormat="1" applyFont="1" applyBorder="1" applyAlignment="1" applyProtection="1">
      <alignment vertical="center"/>
      <protection hidden="1"/>
    </xf>
    <xf numFmtId="49" fontId="11" fillId="0" borderId="0" xfId="0" quotePrefix="1" applyNumberFormat="1" applyFont="1" applyAlignment="1" applyProtection="1">
      <alignment vertical="top"/>
      <protection hidden="1"/>
    </xf>
    <xf numFmtId="49" fontId="13" fillId="0" borderId="8" xfId="0" applyNumberFormat="1" applyFont="1" applyBorder="1" applyAlignment="1" applyProtection="1">
      <alignment vertical="center"/>
      <protection hidden="1"/>
    </xf>
    <xf numFmtId="49" fontId="13" fillId="0" borderId="14" xfId="0" quotePrefix="1" applyNumberFormat="1" applyFont="1" applyBorder="1" applyAlignment="1" applyProtection="1">
      <alignment horizontal="left" vertical="top"/>
      <protection hidden="1"/>
    </xf>
    <xf numFmtId="49" fontId="13" fillId="0" borderId="47" xfId="0" quotePrefix="1" applyNumberFormat="1" applyFont="1" applyBorder="1" applyAlignment="1" applyProtection="1">
      <alignment horizontal="left" vertical="top"/>
      <protection hidden="1"/>
    </xf>
    <xf numFmtId="49" fontId="9" fillId="0" borderId="43" xfId="0" quotePrefix="1" applyNumberFormat="1" applyFont="1" applyBorder="1" applyAlignment="1" applyProtection="1">
      <alignment horizontal="right" vertical="top"/>
      <protection hidden="1"/>
    </xf>
    <xf numFmtId="49" fontId="9" fillId="0" borderId="9" xfId="0" quotePrefix="1" applyNumberFormat="1" applyFont="1" applyBorder="1" applyAlignment="1" applyProtection="1">
      <alignment horizontal="right" vertical="top"/>
      <protection hidden="1"/>
    </xf>
    <xf numFmtId="49" fontId="13" fillId="0" borderId="15" xfId="0" quotePrefix="1" applyNumberFormat="1" applyFont="1" applyBorder="1" applyAlignment="1" applyProtection="1">
      <alignment horizontal="left" vertical="top"/>
      <protection hidden="1"/>
    </xf>
    <xf numFmtId="49" fontId="9" fillId="0" borderId="47" xfId="0" applyNumberFormat="1" applyFont="1" applyBorder="1" applyAlignment="1" applyProtection="1">
      <alignment horizontal="right" vertical="top"/>
      <protection hidden="1"/>
    </xf>
    <xf numFmtId="49" fontId="9" fillId="0" borderId="15" xfId="0" applyNumberFormat="1" applyFont="1" applyBorder="1" applyAlignment="1" applyProtection="1">
      <alignment horizontal="right" vertical="top"/>
      <protection hidden="1"/>
    </xf>
    <xf numFmtId="49" fontId="9" fillId="0" borderId="55" xfId="0" quotePrefix="1" applyNumberFormat="1" applyFont="1" applyBorder="1" applyAlignment="1" applyProtection="1">
      <alignment horizontal="right" vertical="top"/>
      <protection hidden="1"/>
    </xf>
    <xf numFmtId="49" fontId="9" fillId="0" borderId="15" xfId="0" quotePrefix="1" applyNumberFormat="1" applyFont="1" applyBorder="1" applyAlignment="1" applyProtection="1">
      <alignment horizontal="right" vertical="top"/>
      <protection hidden="1"/>
    </xf>
    <xf numFmtId="49" fontId="13" fillId="0" borderId="9" xfId="0" applyNumberFormat="1" applyFont="1" applyBorder="1" applyAlignment="1" applyProtection="1">
      <alignment horizontal="left" vertical="top"/>
      <protection hidden="1"/>
    </xf>
    <xf numFmtId="49" fontId="13" fillId="0" borderId="49" xfId="0" applyNumberFormat="1" applyFont="1" applyBorder="1" applyAlignment="1" applyProtection="1">
      <alignment horizontal="left" vertical="top"/>
      <protection hidden="1"/>
    </xf>
    <xf numFmtId="49" fontId="9" fillId="0" borderId="15" xfId="0" applyNumberFormat="1" applyFont="1" applyBorder="1" applyAlignment="1" applyProtection="1">
      <alignment horizontal="left" vertical="top"/>
      <protection hidden="1"/>
    </xf>
    <xf numFmtId="49" fontId="9" fillId="0" borderId="47" xfId="0" quotePrefix="1" applyNumberFormat="1" applyFont="1" applyBorder="1" applyAlignment="1" applyProtection="1">
      <alignment horizontal="right" vertical="top"/>
      <protection hidden="1"/>
    </xf>
    <xf numFmtId="49" fontId="13" fillId="0" borderId="3" xfId="0" applyNumberFormat="1" applyFont="1" applyBorder="1" applyAlignment="1" applyProtection="1">
      <alignment horizontal="left" vertical="top"/>
      <protection hidden="1"/>
    </xf>
    <xf numFmtId="49" fontId="13" fillId="0" borderId="14" xfId="0" applyNumberFormat="1" applyFont="1" applyBorder="1" applyAlignment="1" applyProtection="1">
      <alignment horizontal="left" vertical="top"/>
      <protection hidden="1"/>
    </xf>
    <xf numFmtId="49" fontId="9" fillId="0" borderId="63" xfId="0" quotePrefix="1" applyNumberFormat="1" applyFont="1" applyBorder="1" applyAlignment="1" applyProtection="1">
      <alignment horizontal="right" vertical="top"/>
      <protection hidden="1"/>
    </xf>
    <xf numFmtId="49" fontId="9" fillId="0" borderId="0" xfId="0" quotePrefix="1" applyNumberFormat="1" applyFont="1" applyAlignment="1" applyProtection="1">
      <alignment horizontal="left" vertical="top"/>
      <protection hidden="1"/>
    </xf>
    <xf numFmtId="49" fontId="13" fillId="0" borderId="49" xfId="0" quotePrefix="1" applyNumberFormat="1" applyFont="1" applyBorder="1" applyAlignment="1" applyProtection="1">
      <alignment horizontal="left" vertical="top"/>
      <protection hidden="1"/>
    </xf>
    <xf numFmtId="49" fontId="9" fillId="0" borderId="12" xfId="0" quotePrefix="1" applyNumberFormat="1" applyFont="1" applyBorder="1" applyAlignment="1" applyProtection="1">
      <alignment horizontal="right" vertical="top"/>
      <protection hidden="1"/>
    </xf>
    <xf numFmtId="49" fontId="13" fillId="0" borderId="1" xfId="0" quotePrefix="1" applyNumberFormat="1" applyFont="1" applyBorder="1" applyAlignment="1" applyProtection="1">
      <alignment horizontal="left" vertical="top"/>
      <protection hidden="1"/>
    </xf>
    <xf numFmtId="49" fontId="9" fillId="0" borderId="1" xfId="0" quotePrefix="1" applyNumberFormat="1" applyFont="1" applyBorder="1" applyAlignment="1" applyProtection="1">
      <alignment horizontal="left" vertical="top"/>
      <protection hidden="1"/>
    </xf>
    <xf numFmtId="49" fontId="0" fillId="0" borderId="3" xfId="0" applyNumberFormat="1" applyBorder="1" applyAlignment="1" applyProtection="1">
      <alignment vertical="top"/>
      <protection hidden="1"/>
    </xf>
    <xf numFmtId="49" fontId="13" fillId="8" borderId="37" xfId="0" quotePrefix="1" applyNumberFormat="1" applyFont="1" applyFill="1" applyBorder="1" applyAlignment="1" applyProtection="1">
      <alignment horizontal="left" vertical="center"/>
      <protection hidden="1"/>
    </xf>
    <xf numFmtId="49" fontId="9" fillId="0" borderId="15" xfId="0" quotePrefix="1" applyNumberFormat="1" applyFont="1" applyBorder="1" applyAlignment="1" applyProtection="1">
      <alignment vertical="top"/>
      <protection hidden="1"/>
    </xf>
    <xf numFmtId="49" fontId="0" fillId="0" borderId="15" xfId="0" applyNumberFormat="1" applyBorder="1" applyAlignment="1" applyProtection="1">
      <alignment vertical="top"/>
      <protection hidden="1"/>
    </xf>
    <xf numFmtId="49" fontId="62" fillId="4" borderId="1" xfId="0" quotePrefix="1" applyNumberFormat="1" applyFont="1" applyFill="1" applyBorder="1" applyAlignment="1" applyProtection="1">
      <alignment vertical="center"/>
      <protection hidden="1"/>
    </xf>
    <xf numFmtId="49" fontId="0" fillId="0" borderId="14" xfId="0" applyNumberFormat="1" applyBorder="1" applyAlignment="1" applyProtection="1">
      <alignment vertical="top"/>
      <protection hidden="1"/>
    </xf>
    <xf numFmtId="49" fontId="0" fillId="0" borderId="9" xfId="0" applyNumberFormat="1" applyBorder="1" applyAlignment="1" applyProtection="1">
      <alignment vertical="top"/>
      <protection hidden="1"/>
    </xf>
    <xf numFmtId="0" fontId="22" fillId="0" borderId="9" xfId="0" applyFont="1" applyBorder="1" applyAlignment="1" applyProtection="1">
      <alignment vertical="top"/>
      <protection hidden="1"/>
    </xf>
    <xf numFmtId="0" fontId="25" fillId="0" borderId="44" xfId="3" applyFont="1" applyBorder="1" applyAlignment="1" applyProtection="1">
      <alignment vertical="top"/>
      <protection hidden="1"/>
    </xf>
    <xf numFmtId="0" fontId="25" fillId="0" borderId="46" xfId="3" applyFont="1" applyBorder="1" applyAlignment="1" applyProtection="1">
      <alignment vertical="top"/>
      <protection hidden="1"/>
    </xf>
    <xf numFmtId="0" fontId="25" fillId="0" borderId="5" xfId="3" applyFont="1" applyBorder="1" applyAlignment="1" applyProtection="1">
      <alignment vertical="top"/>
      <protection hidden="1"/>
    </xf>
    <xf numFmtId="0" fontId="25" fillId="0" borderId="6" xfId="3" applyFont="1" applyBorder="1" applyAlignment="1" applyProtection="1">
      <alignment vertical="top"/>
      <protection hidden="1"/>
    </xf>
    <xf numFmtId="0" fontId="22" fillId="0" borderId="0" xfId="0" applyFont="1" applyAlignment="1" applyProtection="1">
      <alignment horizontal="left" vertical="center"/>
      <protection locked="0" hidden="1"/>
    </xf>
    <xf numFmtId="0" fontId="63" fillId="0" borderId="0" xfId="0" applyFont="1" applyAlignment="1" applyProtection="1">
      <alignment vertical="top"/>
      <protection hidden="1"/>
    </xf>
    <xf numFmtId="0" fontId="64" fillId="0" borderId="0" xfId="0" applyFont="1" applyAlignment="1" applyProtection="1">
      <alignment horizontal="right" vertical="top"/>
      <protection hidden="1"/>
    </xf>
    <xf numFmtId="0" fontId="65" fillId="0" borderId="0" xfId="0" applyFont="1" applyAlignment="1" applyProtection="1">
      <alignment horizontal="right" vertical="top"/>
      <protection hidden="1"/>
    </xf>
    <xf numFmtId="0" fontId="6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66" fillId="0" borderId="0" xfId="0" applyFont="1" applyAlignment="1" applyProtection="1">
      <alignment horizontal="right" vertical="top"/>
      <protection hidden="1"/>
    </xf>
    <xf numFmtId="0" fontId="66" fillId="0" borderId="0" xfId="0" applyFont="1" applyAlignment="1" applyProtection="1">
      <alignment vertical="top"/>
      <protection hidden="1"/>
    </xf>
    <xf numFmtId="0" fontId="67" fillId="0" borderId="0" xfId="0" applyFont="1" applyAlignment="1" applyProtection="1">
      <alignment horizontal="right" vertical="top"/>
      <protection hidden="1"/>
    </xf>
    <xf numFmtId="0" fontId="68" fillId="0" borderId="0" xfId="0" applyFont="1" applyAlignment="1" applyProtection="1">
      <alignment vertical="top"/>
      <protection hidden="1"/>
    </xf>
    <xf numFmtId="0" fontId="68" fillId="0" borderId="0" xfId="0" applyFont="1" applyAlignment="1" applyProtection="1">
      <alignment vertical="center"/>
      <protection hidden="1"/>
    </xf>
    <xf numFmtId="0" fontId="11" fillId="12" borderId="38" xfId="1" applyFont="1" applyFill="1" applyBorder="1" applyAlignment="1" applyProtection="1">
      <alignment horizontal="center" vertical="top" wrapText="1"/>
      <protection hidden="1"/>
    </xf>
    <xf numFmtId="0" fontId="11" fillId="12" borderId="0" xfId="1" applyFont="1" applyFill="1" applyAlignment="1" applyProtection="1">
      <alignment horizontal="center" vertical="top" wrapText="1"/>
      <protection hidden="1"/>
    </xf>
    <xf numFmtId="0" fontId="11" fillId="15" borderId="38" xfId="1" applyFont="1" applyFill="1" applyBorder="1" applyAlignment="1" applyProtection="1">
      <alignment horizontal="center" vertical="top" wrapText="1"/>
      <protection hidden="1"/>
    </xf>
    <xf numFmtId="0" fontId="11" fillId="15" borderId="0" xfId="1" applyFont="1" applyFill="1" applyAlignment="1" applyProtection="1">
      <alignment horizontal="center" vertical="top" wrapText="1"/>
      <protection hidden="1"/>
    </xf>
    <xf numFmtId="0" fontId="11" fillId="16" borderId="38" xfId="1" applyFont="1" applyFill="1" applyBorder="1" applyAlignment="1" applyProtection="1">
      <alignment horizontal="center" vertical="top" wrapText="1"/>
      <protection hidden="1"/>
    </xf>
    <xf numFmtId="0" fontId="11" fillId="16" borderId="0" xfId="1" applyFont="1" applyFill="1" applyAlignment="1" applyProtection="1">
      <alignment horizontal="center" vertical="top" wrapText="1"/>
      <protection hidden="1"/>
    </xf>
    <xf numFmtId="0" fontId="69" fillId="0" borderId="11" xfId="0" applyFont="1" applyBorder="1" applyAlignment="1" applyProtection="1">
      <alignment textRotation="90"/>
      <protection hidden="1"/>
    </xf>
    <xf numFmtId="0" fontId="46" fillId="0" borderId="2" xfId="0" applyFont="1" applyBorder="1" applyAlignment="1" applyProtection="1">
      <alignment vertical="center"/>
      <protection hidden="1"/>
    </xf>
    <xf numFmtId="16" fontId="9" fillId="3" borderId="58" xfId="2" quotePrefix="1" applyNumberFormat="1" applyFont="1" applyFill="1" applyBorder="1" applyAlignment="1" applyProtection="1">
      <alignment horizontal="center" vertical="center"/>
      <protection hidden="1"/>
    </xf>
    <xf numFmtId="49" fontId="25" fillId="3" borderId="0" xfId="1" applyNumberFormat="1" applyFont="1" applyFill="1" applyAlignment="1" applyProtection="1">
      <alignment vertical="top" wrapText="1"/>
      <protection hidden="1"/>
    </xf>
    <xf numFmtId="0" fontId="9" fillId="0" borderId="5" xfId="0" quotePrefix="1" applyFont="1" applyBorder="1" applyAlignment="1" applyProtection="1">
      <alignment horizontal="center" vertical="top"/>
      <protection hidden="1"/>
    </xf>
    <xf numFmtId="0" fontId="35" fillId="0" borderId="2" xfId="1" applyFont="1" applyBorder="1" applyAlignment="1" applyProtection="1">
      <alignment vertical="center"/>
      <protection hidden="1"/>
    </xf>
    <xf numFmtId="0" fontId="27" fillId="0" borderId="5" xfId="1" applyFont="1" applyBorder="1" applyAlignment="1" applyProtection="1">
      <alignment horizontal="left" vertical="top"/>
      <protection hidden="1"/>
    </xf>
    <xf numFmtId="0" fontId="9" fillId="0" borderId="61" xfId="1" applyFont="1" applyBorder="1" applyAlignment="1" applyProtection="1">
      <alignment horizontal="left" vertical="top"/>
      <protection hidden="1"/>
    </xf>
    <xf numFmtId="4" fontId="0" fillId="0" borderId="66" xfId="0" applyNumberFormat="1" applyBorder="1" applyAlignment="1" applyProtection="1">
      <alignment horizontal="left" vertical="top"/>
      <protection hidden="1"/>
    </xf>
    <xf numFmtId="0" fontId="0" fillId="0" borderId="2" xfId="1" applyFont="1" applyBorder="1" applyProtection="1">
      <protection hidden="1"/>
    </xf>
    <xf numFmtId="49" fontId="25" fillId="4" borderId="53" xfId="1" applyNumberFormat="1" applyFont="1" applyFill="1" applyBorder="1" applyAlignment="1" applyProtection="1">
      <alignment horizontal="center" vertical="top"/>
      <protection hidden="1"/>
    </xf>
    <xf numFmtId="0" fontId="9" fillId="0" borderId="78" xfId="0" applyFont="1" applyBorder="1" applyAlignment="1" applyProtection="1">
      <alignment vertical="top"/>
      <protection hidden="1"/>
    </xf>
    <xf numFmtId="0" fontId="9" fillId="0" borderId="74" xfId="0" applyFont="1" applyBorder="1" applyAlignment="1" applyProtection="1">
      <alignment vertical="top"/>
      <protection hidden="1"/>
    </xf>
    <xf numFmtId="16" fontId="9" fillId="0" borderId="57" xfId="0" quotePrefix="1" applyNumberFormat="1" applyFont="1" applyBorder="1" applyAlignment="1" applyProtection="1">
      <alignment horizontal="right" vertical="top"/>
      <protection hidden="1"/>
    </xf>
    <xf numFmtId="16" fontId="9" fillId="0" borderId="13" xfId="0" quotePrefix="1" applyNumberFormat="1" applyFont="1" applyBorder="1" applyAlignment="1" applyProtection="1">
      <alignment horizontal="right" vertical="top"/>
      <protection hidden="1"/>
    </xf>
    <xf numFmtId="0" fontId="22" fillId="0" borderId="36" xfId="0" applyFont="1" applyBorder="1" applyAlignment="1" applyProtection="1">
      <alignment vertical="center"/>
      <protection locked="0" hidden="1"/>
    </xf>
    <xf numFmtId="49" fontId="9" fillId="0" borderId="78" xfId="0" applyNumberFormat="1" applyFont="1" applyBorder="1" applyAlignment="1" applyProtection="1">
      <alignment vertical="center"/>
      <protection hidden="1"/>
    </xf>
    <xf numFmtId="0" fontId="0" fillId="0" borderId="45" xfId="0" applyBorder="1" applyAlignment="1" applyProtection="1">
      <alignment horizontal="center" vertical="center"/>
      <protection hidden="1"/>
    </xf>
    <xf numFmtId="16" fontId="0" fillId="0" borderId="23" xfId="0" quotePrefix="1" applyNumberFormat="1" applyBorder="1" applyAlignment="1" applyProtection="1">
      <alignment horizontal="left" vertical="top"/>
      <protection hidden="1"/>
    </xf>
    <xf numFmtId="0" fontId="0" fillId="3" borderId="0" xfId="0" applyFill="1" applyAlignment="1">
      <alignment vertical="center"/>
    </xf>
    <xf numFmtId="0" fontId="11" fillId="0" borderId="8" xfId="0" applyFont="1" applyBorder="1"/>
    <xf numFmtId="0" fontId="9" fillId="0" borderId="2" xfId="0" applyFont="1" applyBorder="1" applyAlignment="1">
      <alignment vertical="center"/>
    </xf>
    <xf numFmtId="0" fontId="0" fillId="0" borderId="4" xfId="0" applyBorder="1"/>
    <xf numFmtId="0" fontId="9" fillId="0" borderId="21" xfId="0" applyFont="1" applyBorder="1" applyAlignment="1">
      <alignment vertical="center"/>
    </xf>
    <xf numFmtId="0" fontId="0" fillId="0" borderId="48" xfId="0" applyBorder="1"/>
    <xf numFmtId="0" fontId="43" fillId="3" borderId="0" xfId="0" applyFont="1" applyFill="1" applyAlignment="1">
      <alignment vertical="center"/>
    </xf>
    <xf numFmtId="0" fontId="0" fillId="3" borderId="0" xfId="0" applyFill="1"/>
    <xf numFmtId="167" fontId="0" fillId="0" borderId="10" xfId="0" applyNumberFormat="1" applyBorder="1" applyAlignment="1" applyProtection="1">
      <alignment vertical="top"/>
      <protection hidden="1"/>
    </xf>
    <xf numFmtId="0" fontId="11" fillId="4" borderId="1" xfId="0" applyFont="1" applyFill="1" applyBorder="1" applyAlignment="1" applyProtection="1">
      <alignment horizontal="left" vertical="top" wrapText="1"/>
      <protection hidden="1"/>
    </xf>
    <xf numFmtId="16" fontId="9" fillId="0" borderId="6" xfId="0" quotePrefix="1" applyNumberFormat="1" applyFont="1" applyBorder="1" applyAlignment="1" applyProtection="1">
      <alignment horizontal="right" vertical="top"/>
      <protection hidden="1"/>
    </xf>
    <xf numFmtId="0" fontId="13" fillId="0" borderId="43" xfId="0" applyFont="1" applyBorder="1" applyAlignment="1" applyProtection="1">
      <alignment horizontal="left" vertical="top"/>
      <protection hidden="1"/>
    </xf>
    <xf numFmtId="0" fontId="11" fillId="0" borderId="22" xfId="0" applyFont="1" applyBorder="1" applyAlignment="1" applyProtection="1">
      <alignment horizontal="left" vertical="top" wrapText="1"/>
      <protection hidden="1"/>
    </xf>
    <xf numFmtId="0" fontId="0" fillId="0" borderId="58" xfId="1" applyFont="1" applyBorder="1" applyAlignment="1" applyProtection="1">
      <alignment horizontal="center" vertical="center"/>
      <protection hidden="1"/>
    </xf>
    <xf numFmtId="4" fontId="0" fillId="0" borderId="79" xfId="1" applyNumberFormat="1" applyFont="1" applyBorder="1" applyAlignment="1" applyProtection="1">
      <alignment horizontal="center" vertical="top"/>
      <protection hidden="1"/>
    </xf>
    <xf numFmtId="4" fontId="0" fillId="0" borderId="64" xfId="1" applyNumberFormat="1" applyFont="1" applyBorder="1" applyAlignment="1" applyProtection="1">
      <alignment horizontal="center" vertical="top"/>
      <protection hidden="1"/>
    </xf>
    <xf numFmtId="0" fontId="36" fillId="0" borderId="36" xfId="1" quotePrefix="1" applyFont="1" applyBorder="1" applyAlignment="1" applyProtection="1">
      <alignment vertical="top" wrapText="1"/>
      <protection hidden="1"/>
    </xf>
    <xf numFmtId="0" fontId="0" fillId="0" borderId="2" xfId="1" applyFont="1" applyBorder="1" applyAlignment="1" applyProtection="1">
      <alignment horizontal="center" vertical="center"/>
      <protection hidden="1"/>
    </xf>
    <xf numFmtId="0" fontId="48" fillId="0" borderId="33" xfId="1" applyFont="1" applyBorder="1" applyAlignment="1" applyProtection="1">
      <alignment vertical="center" wrapText="1"/>
      <protection hidden="1"/>
    </xf>
    <xf numFmtId="0" fontId="44" fillId="0" borderId="3" xfId="1" quotePrefix="1" applyFont="1" applyBorder="1" applyAlignment="1" applyProtection="1">
      <alignment vertical="center"/>
      <protection hidden="1"/>
    </xf>
    <xf numFmtId="0" fontId="44" fillId="0" borderId="3" xfId="1" quotePrefix="1" applyFont="1" applyBorder="1" applyProtection="1">
      <protection hidden="1"/>
    </xf>
    <xf numFmtId="2" fontId="0" fillId="0" borderId="35" xfId="1" applyNumberFormat="1" applyFont="1" applyBorder="1" applyAlignment="1" applyProtection="1">
      <alignment horizontal="center" vertical="center" wrapText="1"/>
      <protection hidden="1"/>
    </xf>
    <xf numFmtId="4" fontId="0" fillId="0" borderId="4" xfId="1" applyNumberFormat="1" applyFont="1" applyBorder="1" applyAlignment="1" applyProtection="1">
      <alignment horizontal="center" vertical="center"/>
      <protection hidden="1"/>
    </xf>
    <xf numFmtId="4" fontId="25" fillId="0" borderId="13" xfId="1" applyNumberFormat="1" applyFont="1" applyBorder="1" applyAlignment="1" applyProtection="1">
      <alignment horizontal="center" vertical="center"/>
      <protection hidden="1"/>
    </xf>
    <xf numFmtId="0" fontId="25" fillId="4" borderId="1" xfId="1" quotePrefix="1" applyFont="1" applyFill="1" applyBorder="1" applyAlignment="1" applyProtection="1">
      <alignment vertical="top" wrapText="1"/>
      <protection hidden="1"/>
    </xf>
    <xf numFmtId="0" fontId="25" fillId="0" borderId="0" xfId="1" applyFont="1" applyAlignment="1" applyProtection="1">
      <alignment wrapText="1"/>
      <protection hidden="1"/>
    </xf>
    <xf numFmtId="167" fontId="9" fillId="0" borderId="0" xfId="0" applyNumberFormat="1" applyFont="1" applyAlignment="1" applyProtection="1">
      <alignment vertical="top"/>
      <protection hidden="1"/>
    </xf>
    <xf numFmtId="44" fontId="0" fillId="0" borderId="0" xfId="6" applyFont="1"/>
    <xf numFmtId="167" fontId="0" fillId="0" borderId="0" xfId="0" applyNumberFormat="1"/>
    <xf numFmtId="166" fontId="0" fillId="0" borderId="0" xfId="0" applyNumberFormat="1"/>
    <xf numFmtId="0" fontId="11" fillId="0" borderId="0" xfId="0" applyFont="1"/>
    <xf numFmtId="167" fontId="11" fillId="0" borderId="0" xfId="0" applyNumberFormat="1" applyFont="1"/>
    <xf numFmtId="16" fontId="0" fillId="0" borderId="0" xfId="0" applyNumberFormat="1"/>
    <xf numFmtId="0" fontId="73" fillId="0" borderId="0" xfId="0" applyFont="1"/>
    <xf numFmtId="167" fontId="73" fillId="0" borderId="0" xfId="0" applyNumberFormat="1" applyFont="1"/>
    <xf numFmtId="0" fontId="0" fillId="17" borderId="80" xfId="0" applyFill="1" applyBorder="1"/>
    <xf numFmtId="167" fontId="0" fillId="17" borderId="81" xfId="0" applyNumberFormat="1" applyFill="1" applyBorder="1"/>
    <xf numFmtId="0" fontId="44" fillId="0" borderId="50" xfId="1" quotePrefix="1" applyFont="1" applyBorder="1" applyAlignment="1" applyProtection="1">
      <alignment vertical="top"/>
      <protection hidden="1"/>
    </xf>
    <xf numFmtId="0" fontId="44" fillId="0" borderId="0" xfId="1" quotePrefix="1" applyFont="1" applyAlignment="1" applyProtection="1">
      <alignment vertical="top"/>
      <protection hidden="1"/>
    </xf>
    <xf numFmtId="49" fontId="25" fillId="3" borderId="37" xfId="1" applyNumberFormat="1" applyFont="1" applyFill="1" applyBorder="1" applyAlignment="1" applyProtection="1">
      <alignment vertical="top" wrapText="1"/>
      <protection hidden="1"/>
    </xf>
    <xf numFmtId="0" fontId="0" fillId="0" borderId="0" xfId="0" quotePrefix="1"/>
    <xf numFmtId="0" fontId="0" fillId="17" borderId="81" xfId="0" applyFill="1" applyBorder="1"/>
    <xf numFmtId="0" fontId="9" fillId="3" borderId="11" xfId="1" applyFont="1" applyFill="1" applyBorder="1" applyAlignment="1" applyProtection="1">
      <alignment horizontal="center" vertical="top"/>
      <protection hidden="1"/>
    </xf>
    <xf numFmtId="0" fontId="9" fillId="3" borderId="2" xfId="1" applyFont="1" applyFill="1" applyBorder="1" applyAlignment="1" applyProtection="1">
      <alignment horizontal="center" vertical="top"/>
      <protection hidden="1"/>
    </xf>
    <xf numFmtId="0" fontId="9" fillId="3" borderId="58" xfId="1" applyFont="1" applyFill="1" applyBorder="1" applyAlignment="1" applyProtection="1">
      <alignment horizontal="center" vertical="top"/>
      <protection hidden="1"/>
    </xf>
    <xf numFmtId="0" fontId="9" fillId="3" borderId="58" xfId="1" quotePrefix="1" applyFont="1" applyFill="1" applyBorder="1" applyAlignment="1" applyProtection="1">
      <alignment horizontal="center" vertical="top"/>
      <protection hidden="1"/>
    </xf>
    <xf numFmtId="16" fontId="9" fillId="3" borderId="58" xfId="1" quotePrefix="1" applyNumberFormat="1" applyFont="1" applyFill="1" applyBorder="1" applyAlignment="1" applyProtection="1">
      <alignment horizontal="center" vertical="top"/>
      <protection hidden="1"/>
    </xf>
    <xf numFmtId="0" fontId="0" fillId="3" borderId="53" xfId="1" applyFont="1" applyFill="1" applyBorder="1" applyAlignment="1" applyProtection="1">
      <alignment vertical="top"/>
      <protection hidden="1"/>
    </xf>
    <xf numFmtId="0" fontId="0" fillId="3" borderId="53" xfId="1" applyFont="1" applyFill="1" applyBorder="1" applyAlignment="1" applyProtection="1">
      <alignment vertical="top" wrapText="1"/>
      <protection hidden="1"/>
    </xf>
    <xf numFmtId="0" fontId="0" fillId="4" borderId="53" xfId="1" applyFont="1" applyFill="1" applyBorder="1" applyAlignment="1" applyProtection="1">
      <alignment vertical="top" wrapText="1"/>
      <protection locked="0"/>
    </xf>
    <xf numFmtId="16" fontId="9" fillId="3" borderId="2" xfId="1" quotePrefix="1" applyNumberFormat="1" applyFont="1" applyFill="1" applyBorder="1" applyAlignment="1" applyProtection="1">
      <alignment horizontal="center" vertical="top"/>
      <protection hidden="1"/>
    </xf>
    <xf numFmtId="0" fontId="0" fillId="3" borderId="0" xfId="1" applyFont="1" applyFill="1" applyAlignment="1" applyProtection="1">
      <alignment vertical="top"/>
      <protection hidden="1"/>
    </xf>
    <xf numFmtId="0" fontId="0" fillId="3" borderId="59" xfId="1" applyFont="1" applyFill="1" applyBorder="1" applyAlignment="1" applyProtection="1">
      <alignment vertical="top"/>
      <protection hidden="1"/>
    </xf>
    <xf numFmtId="0" fontId="0" fillId="3" borderId="3" xfId="1" applyFont="1" applyFill="1" applyBorder="1" applyAlignment="1" applyProtection="1">
      <alignment vertical="top"/>
      <protection hidden="1"/>
    </xf>
    <xf numFmtId="0" fontId="0" fillId="3" borderId="59" xfId="1" applyFont="1" applyFill="1" applyBorder="1" applyAlignment="1" applyProtection="1">
      <alignment vertical="top" wrapText="1"/>
      <protection hidden="1"/>
    </xf>
    <xf numFmtId="0" fontId="9" fillId="3" borderId="11" xfId="1" quotePrefix="1" applyFont="1" applyFill="1" applyBorder="1" applyAlignment="1" applyProtection="1">
      <alignment horizontal="center" vertical="top"/>
      <protection hidden="1"/>
    </xf>
    <xf numFmtId="0" fontId="9" fillId="3" borderId="77" xfId="1" applyFont="1" applyFill="1" applyBorder="1" applyAlignment="1" applyProtection="1">
      <alignment horizontal="center" vertical="top"/>
      <protection hidden="1"/>
    </xf>
    <xf numFmtId="0" fontId="0" fillId="3" borderId="58" xfId="1" applyFont="1" applyFill="1" applyBorder="1" applyAlignment="1" applyProtection="1">
      <alignment horizontal="center" vertical="top"/>
      <protection hidden="1"/>
    </xf>
    <xf numFmtId="0" fontId="51" fillId="0" borderId="33" xfId="1" applyFont="1" applyBorder="1" applyAlignment="1" applyProtection="1">
      <alignment vertical="top" wrapText="1"/>
      <protection hidden="1"/>
    </xf>
    <xf numFmtId="2" fontId="0" fillId="3" borderId="35" xfId="1" applyNumberFormat="1" applyFont="1" applyFill="1" applyBorder="1" applyAlignment="1" applyProtection="1">
      <alignment horizontal="center" vertical="top" wrapText="1"/>
      <protection hidden="1"/>
    </xf>
    <xf numFmtId="0" fontId="12" fillId="0" borderId="73" xfId="1" applyFont="1" applyBorder="1" applyAlignment="1" applyProtection="1">
      <alignment vertical="top"/>
      <protection hidden="1"/>
    </xf>
    <xf numFmtId="0" fontId="12" fillId="0" borderId="57" xfId="1" applyFont="1" applyBorder="1" applyAlignment="1" applyProtection="1">
      <alignment vertical="top"/>
      <protection hidden="1"/>
    </xf>
    <xf numFmtId="0" fontId="51" fillId="0" borderId="52" xfId="1" applyFont="1" applyBorder="1" applyAlignment="1" applyProtection="1">
      <alignment vertical="top" wrapText="1"/>
      <protection hidden="1"/>
    </xf>
    <xf numFmtId="2" fontId="0" fillId="3" borderId="54" xfId="1" applyNumberFormat="1" applyFont="1" applyFill="1" applyBorder="1" applyAlignment="1" applyProtection="1">
      <alignment horizontal="center" vertical="top" wrapText="1"/>
      <protection hidden="1"/>
    </xf>
    <xf numFmtId="0" fontId="12" fillId="0" borderId="38" xfId="1" applyFont="1" applyBorder="1" applyAlignment="1" applyProtection="1">
      <alignment vertical="top"/>
      <protection hidden="1"/>
    </xf>
    <xf numFmtId="0" fontId="12" fillId="0" borderId="13" xfId="1" applyFont="1" applyBorder="1" applyAlignment="1" applyProtection="1">
      <alignment vertical="top"/>
      <protection hidden="1"/>
    </xf>
    <xf numFmtId="0" fontId="0" fillId="0" borderId="58" xfId="1" applyFont="1" applyBorder="1" applyAlignment="1" applyProtection="1">
      <alignment horizontal="center" vertical="top"/>
      <protection hidden="1"/>
    </xf>
    <xf numFmtId="0" fontId="48" fillId="0" borderId="52" xfId="1" applyFont="1" applyBorder="1" applyAlignment="1" applyProtection="1">
      <alignment vertical="top" wrapText="1"/>
      <protection hidden="1"/>
    </xf>
    <xf numFmtId="2" fontId="25" fillId="0" borderId="39" xfId="1" applyNumberFormat="1" applyFont="1" applyBorder="1" applyAlignment="1" applyProtection="1">
      <alignment horizontal="center" vertical="top" wrapText="1"/>
      <protection hidden="1"/>
    </xf>
    <xf numFmtId="4" fontId="25" fillId="0" borderId="57" xfId="1" applyNumberFormat="1" applyFont="1" applyBorder="1" applyAlignment="1" applyProtection="1">
      <alignment horizontal="center" vertical="top"/>
      <protection hidden="1"/>
    </xf>
    <xf numFmtId="0" fontId="0" fillId="3" borderId="2" xfId="1" applyFont="1" applyFill="1" applyBorder="1" applyAlignment="1" applyProtection="1">
      <alignment horizontal="center" vertical="top"/>
      <protection hidden="1"/>
    </xf>
    <xf numFmtId="2" fontId="25" fillId="0" borderId="73" xfId="1" applyNumberFormat="1" applyFont="1" applyBorder="1" applyAlignment="1" applyProtection="1">
      <alignment horizontal="center" vertical="top" wrapText="1"/>
      <protection hidden="1"/>
    </xf>
    <xf numFmtId="0" fontId="12" fillId="0" borderId="39" xfId="1" applyFont="1" applyBorder="1" applyAlignment="1" applyProtection="1">
      <alignment vertical="top"/>
      <protection hidden="1"/>
    </xf>
    <xf numFmtId="0" fontId="51" fillId="0" borderId="36" xfId="1" applyFont="1" applyBorder="1" applyAlignment="1" applyProtection="1">
      <alignment vertical="top" wrapText="1"/>
      <protection hidden="1"/>
    </xf>
    <xf numFmtId="0" fontId="0" fillId="3" borderId="11" xfId="1" applyFont="1" applyFill="1" applyBorder="1" applyAlignment="1" applyProtection="1">
      <alignment horizontal="center" vertical="top"/>
      <protection hidden="1"/>
    </xf>
    <xf numFmtId="0" fontId="0" fillId="3" borderId="77" xfId="1" applyFont="1" applyFill="1" applyBorder="1" applyAlignment="1" applyProtection="1">
      <alignment horizontal="center" vertical="top"/>
      <protection hidden="1"/>
    </xf>
    <xf numFmtId="0" fontId="25" fillId="0" borderId="52" xfId="1" applyFont="1" applyBorder="1" applyAlignment="1" applyProtection="1">
      <alignment vertical="top" wrapText="1"/>
      <protection hidden="1"/>
    </xf>
    <xf numFmtId="0" fontId="56" fillId="0" borderId="0" xfId="12" applyFont="1" applyProtection="1">
      <protection hidden="1"/>
    </xf>
    <xf numFmtId="0" fontId="24" fillId="0" borderId="0" xfId="12" applyFont="1" applyProtection="1">
      <protection hidden="1"/>
    </xf>
    <xf numFmtId="0" fontId="24" fillId="0" borderId="0" xfId="12" applyFont="1" applyAlignment="1" applyProtection="1">
      <alignment vertical="top"/>
      <protection hidden="1"/>
    </xf>
    <xf numFmtId="0" fontId="33" fillId="0" borderId="0" xfId="12" applyFont="1" applyProtection="1">
      <protection hidden="1"/>
    </xf>
    <xf numFmtId="0" fontId="25" fillId="0" borderId="0" xfId="12" applyFont="1" applyProtection="1">
      <protection hidden="1"/>
    </xf>
    <xf numFmtId="0" fontId="13" fillId="10" borderId="38" xfId="12" applyFont="1" applyFill="1" applyBorder="1" applyAlignment="1" applyProtection="1">
      <alignment horizontal="center" vertical="top" wrapText="1"/>
      <protection hidden="1"/>
    </xf>
    <xf numFmtId="0" fontId="13" fillId="10" borderId="0" xfId="12" applyFont="1" applyFill="1" applyAlignment="1" applyProtection="1">
      <alignment horizontal="center" vertical="top" wrapText="1"/>
      <protection hidden="1"/>
    </xf>
    <xf numFmtId="0" fontId="9" fillId="10" borderId="38" xfId="12" applyFont="1" applyFill="1" applyBorder="1" applyAlignment="1" applyProtection="1">
      <alignment horizontal="center" vertical="top" wrapText="1"/>
      <protection hidden="1"/>
    </xf>
    <xf numFmtId="0" fontId="9" fillId="10" borderId="0" xfId="12" applyFont="1" applyFill="1" applyAlignment="1" applyProtection="1">
      <alignment horizontal="center" vertical="top" wrapText="1"/>
      <protection hidden="1"/>
    </xf>
    <xf numFmtId="0" fontId="9" fillId="0" borderId="0" xfId="12" applyFont="1" applyAlignment="1" applyProtection="1">
      <alignment vertical="top"/>
      <protection hidden="1"/>
    </xf>
    <xf numFmtId="49" fontId="12" fillId="0" borderId="0" xfId="12" applyNumberFormat="1" applyFont="1" applyAlignment="1" applyProtection="1">
      <alignment vertical="center"/>
      <protection hidden="1"/>
    </xf>
    <xf numFmtId="0" fontId="14" fillId="0" borderId="0" xfId="12" applyFont="1" applyAlignment="1" applyProtection="1">
      <alignment vertical="center"/>
      <protection hidden="1"/>
    </xf>
    <xf numFmtId="0" fontId="14" fillId="0" borderId="0" xfId="12" applyFont="1" applyAlignment="1" applyProtection="1">
      <alignment horizontal="right" vertical="center"/>
      <protection hidden="1"/>
    </xf>
    <xf numFmtId="0" fontId="13" fillId="0" borderId="0" xfId="12" applyFont="1" applyAlignment="1" applyProtection="1">
      <alignment horizontal="right" vertical="center"/>
      <protection hidden="1"/>
    </xf>
    <xf numFmtId="0" fontId="56" fillId="0" borderId="0" xfId="12" applyFont="1" applyAlignment="1" applyProtection="1">
      <alignment vertical="center"/>
      <protection hidden="1"/>
    </xf>
    <xf numFmtId="0" fontId="33" fillId="0" borderId="0" xfId="12" applyFont="1" applyAlignment="1" applyProtection="1">
      <alignment vertical="center"/>
      <protection hidden="1"/>
    </xf>
    <xf numFmtId="0" fontId="25" fillId="0" borderId="0" xfId="12" applyFont="1" applyAlignment="1" applyProtection="1">
      <alignment vertical="center"/>
      <protection hidden="1"/>
    </xf>
    <xf numFmtId="0" fontId="54" fillId="0" borderId="0" xfId="12" applyFont="1" applyAlignment="1" applyProtection="1">
      <alignment vertical="center"/>
      <protection hidden="1"/>
    </xf>
    <xf numFmtId="0" fontId="26" fillId="0" borderId="36" xfId="12" applyFont="1" applyBorder="1" applyAlignment="1" applyProtection="1">
      <alignment vertical="center"/>
      <protection hidden="1"/>
    </xf>
    <xf numFmtId="0" fontId="56" fillId="0" borderId="0" xfId="12" applyFont="1" applyAlignment="1" applyProtection="1">
      <alignment horizontal="left" vertical="top"/>
      <protection hidden="1"/>
    </xf>
    <xf numFmtId="0" fontId="9" fillId="0" borderId="56" xfId="12" applyFont="1" applyBorder="1" applyAlignment="1" applyProtection="1">
      <alignment horizontal="left" vertical="top"/>
      <protection hidden="1"/>
    </xf>
    <xf numFmtId="0" fontId="9" fillId="0" borderId="0" xfId="12" applyFont="1" applyAlignment="1" applyProtection="1">
      <alignment horizontal="left" vertical="top"/>
      <protection hidden="1"/>
    </xf>
    <xf numFmtId="0" fontId="52" fillId="0" borderId="36" xfId="12" quotePrefix="1" applyFont="1" applyBorder="1" applyAlignment="1" applyProtection="1">
      <alignment horizontal="center" vertical="top"/>
      <protection hidden="1"/>
    </xf>
    <xf numFmtId="0" fontId="39" fillId="0" borderId="0" xfId="12" quotePrefix="1" applyFont="1" applyAlignment="1" applyProtection="1">
      <alignment horizontal="center" vertical="top"/>
      <protection hidden="1"/>
    </xf>
    <xf numFmtId="4" fontId="0" fillId="4" borderId="66" xfId="0" applyNumberFormat="1" applyFill="1" applyBorder="1" applyAlignment="1" applyProtection="1">
      <alignment horizontal="left" vertical="top"/>
      <protection hidden="1"/>
    </xf>
    <xf numFmtId="0" fontId="33" fillId="0" borderId="0" xfId="12" applyFont="1" applyAlignment="1" applyProtection="1">
      <alignment horizontal="left" vertical="top"/>
      <protection hidden="1"/>
    </xf>
    <xf numFmtId="0" fontId="25" fillId="0" borderId="0" xfId="12" applyFont="1" applyAlignment="1" applyProtection="1">
      <alignment horizontal="left" vertical="top"/>
      <protection hidden="1"/>
    </xf>
    <xf numFmtId="0" fontId="26" fillId="0" borderId="52" xfId="12" applyFont="1" applyBorder="1" applyAlignment="1" applyProtection="1">
      <alignment vertical="center"/>
      <protection hidden="1"/>
    </xf>
    <xf numFmtId="0" fontId="27" fillId="0" borderId="5" xfId="12" applyFont="1" applyBorder="1" applyAlignment="1" applyProtection="1">
      <alignment horizontal="left" vertical="top"/>
      <protection hidden="1"/>
    </xf>
    <xf numFmtId="0" fontId="9" fillId="0" borderId="50" xfId="12" applyFont="1" applyBorder="1" applyAlignment="1" applyProtection="1">
      <alignment horizontal="left" vertical="top"/>
      <protection hidden="1"/>
    </xf>
    <xf numFmtId="0" fontId="52" fillId="0" borderId="62" xfId="12" quotePrefix="1" applyFont="1" applyBorder="1" applyAlignment="1" applyProtection="1">
      <alignment horizontal="center" vertical="top"/>
      <protection hidden="1"/>
    </xf>
    <xf numFmtId="0" fontId="39" fillId="0" borderId="50" xfId="12" quotePrefix="1" applyFont="1" applyBorder="1" applyAlignment="1" applyProtection="1">
      <alignment horizontal="center" vertical="top"/>
      <protection hidden="1"/>
    </xf>
    <xf numFmtId="4" fontId="0" fillId="4" borderId="83" xfId="0" applyNumberFormat="1" applyFill="1" applyBorder="1" applyAlignment="1" applyProtection="1">
      <alignment horizontal="left" vertical="top"/>
      <protection hidden="1"/>
    </xf>
    <xf numFmtId="0" fontId="24" fillId="0" borderId="3" xfId="12" applyFont="1" applyBorder="1" applyAlignment="1" applyProtection="1">
      <alignment vertical="top"/>
      <protection hidden="1"/>
    </xf>
    <xf numFmtId="0" fontId="9" fillId="0" borderId="3" xfId="12" applyFont="1" applyBorder="1" applyAlignment="1" applyProtection="1">
      <alignment vertical="top"/>
      <protection hidden="1"/>
    </xf>
    <xf numFmtId="49" fontId="12" fillId="0" borderId="3" xfId="12" applyNumberFormat="1" applyFont="1" applyBorder="1" applyAlignment="1" applyProtection="1">
      <alignment vertical="center"/>
      <protection hidden="1"/>
    </xf>
    <xf numFmtId="0" fontId="14" fillId="0" borderId="3" xfId="12" applyFont="1" applyBorder="1" applyAlignment="1" applyProtection="1">
      <alignment vertical="center"/>
      <protection hidden="1"/>
    </xf>
    <xf numFmtId="0" fontId="14" fillId="0" borderId="3" xfId="12" applyFont="1" applyBorder="1" applyAlignment="1" applyProtection="1">
      <alignment horizontal="right" vertical="center"/>
      <protection hidden="1"/>
    </xf>
    <xf numFmtId="0" fontId="13" fillId="0" borderId="3" xfId="12" applyFont="1" applyBorder="1" applyAlignment="1" applyProtection="1">
      <alignment horizontal="right" vertical="center"/>
      <protection hidden="1"/>
    </xf>
    <xf numFmtId="0" fontId="27" fillId="0" borderId="11" xfId="12" applyFont="1" applyBorder="1" applyAlignment="1" applyProtection="1">
      <alignment horizontal="left" vertical="top"/>
      <protection hidden="1"/>
    </xf>
    <xf numFmtId="4" fontId="0" fillId="4" borderId="65" xfId="0" applyNumberFormat="1" applyFill="1" applyBorder="1" applyAlignment="1" applyProtection="1">
      <alignment horizontal="left" vertical="top"/>
      <protection hidden="1"/>
    </xf>
    <xf numFmtId="4" fontId="0" fillId="4" borderId="13" xfId="0" applyNumberFormat="1" applyFill="1" applyBorder="1" applyAlignment="1" applyProtection="1">
      <alignment horizontal="left" vertical="top"/>
      <protection hidden="1"/>
    </xf>
    <xf numFmtId="0" fontId="27" fillId="0" borderId="56" xfId="12" applyFont="1" applyBorder="1" applyAlignment="1" applyProtection="1">
      <alignment horizontal="left" vertical="top"/>
      <protection hidden="1"/>
    </xf>
    <xf numFmtId="4" fontId="0" fillId="4" borderId="57" xfId="0" applyNumberFormat="1" applyFill="1" applyBorder="1" applyAlignment="1" applyProtection="1">
      <alignment horizontal="left" vertical="top"/>
      <protection hidden="1"/>
    </xf>
    <xf numFmtId="4" fontId="11" fillId="4" borderId="13" xfId="0" applyNumberFormat="1" applyFont="1" applyFill="1" applyBorder="1" applyAlignment="1" applyProtection="1">
      <alignment horizontal="right" vertical="top"/>
      <protection hidden="1"/>
    </xf>
    <xf numFmtId="0" fontId="24" fillId="0" borderId="9" xfId="12" applyFont="1" applyBorder="1" applyAlignment="1" applyProtection="1">
      <alignment vertical="top"/>
      <protection hidden="1"/>
    </xf>
    <xf numFmtId="0" fontId="9" fillId="0" borderId="9" xfId="12" applyFont="1" applyBorder="1" applyAlignment="1" applyProtection="1">
      <alignment vertical="top"/>
      <protection hidden="1"/>
    </xf>
    <xf numFmtId="49" fontId="12" fillId="0" borderId="9" xfId="12" applyNumberFormat="1" applyFont="1" applyBorder="1" applyAlignment="1" applyProtection="1">
      <alignment vertical="center"/>
      <protection hidden="1"/>
    </xf>
    <xf numFmtId="0" fontId="14" fillId="0" borderId="9" xfId="12" applyFont="1" applyBorder="1" applyAlignment="1" applyProtection="1">
      <alignment vertical="center"/>
      <protection hidden="1"/>
    </xf>
    <xf numFmtId="0" fontId="14" fillId="0" borderId="9" xfId="12" applyFont="1" applyBorder="1" applyAlignment="1" applyProtection="1">
      <alignment horizontal="right" vertical="center"/>
      <protection hidden="1"/>
    </xf>
    <xf numFmtId="0" fontId="13" fillId="0" borderId="9" xfId="12" applyFont="1" applyBorder="1" applyAlignment="1" applyProtection="1">
      <alignment horizontal="right" vertical="center"/>
      <protection hidden="1"/>
    </xf>
    <xf numFmtId="0" fontId="56" fillId="0" borderId="0" xfId="12" applyFont="1" applyAlignment="1" applyProtection="1">
      <alignment horizontal="left" vertical="center"/>
      <protection hidden="1"/>
    </xf>
    <xf numFmtId="0" fontId="33" fillId="0" borderId="0" xfId="12" applyFont="1" applyAlignment="1" applyProtection="1">
      <alignment horizontal="left" vertical="center"/>
      <protection hidden="1"/>
    </xf>
    <xf numFmtId="0" fontId="25" fillId="0" borderId="0" xfId="12" applyFont="1" applyAlignment="1" applyProtection="1">
      <alignment horizontal="left" vertical="center"/>
      <protection hidden="1"/>
    </xf>
    <xf numFmtId="0" fontId="9" fillId="2" borderId="0" xfId="12" applyFont="1" applyFill="1" applyAlignment="1" applyProtection="1">
      <alignment horizontal="center" vertical="center"/>
      <protection hidden="1"/>
    </xf>
    <xf numFmtId="4" fontId="0" fillId="4" borderId="36" xfId="0" applyNumberFormat="1" applyFill="1" applyBorder="1" applyAlignment="1" applyProtection="1">
      <alignment horizontal="right" vertical="top"/>
      <protection hidden="1"/>
    </xf>
    <xf numFmtId="0" fontId="33" fillId="0" borderId="11" xfId="12" applyFont="1" applyBorder="1" applyProtection="1">
      <protection hidden="1"/>
    </xf>
    <xf numFmtId="0" fontId="9" fillId="0" borderId="61" xfId="12" applyFont="1" applyBorder="1" applyAlignment="1" applyProtection="1">
      <alignment horizontal="left" vertical="top"/>
      <protection hidden="1"/>
    </xf>
    <xf numFmtId="4" fontId="0" fillId="4" borderId="62" xfId="0" applyNumberFormat="1" applyFill="1" applyBorder="1" applyAlignment="1" applyProtection="1">
      <alignment horizontal="right" vertical="top"/>
      <protection hidden="1"/>
    </xf>
    <xf numFmtId="0" fontId="33" fillId="0" borderId="11" xfId="12" applyFont="1" applyBorder="1" applyAlignment="1" applyProtection="1">
      <alignment horizontal="left" vertical="top"/>
      <protection hidden="1"/>
    </xf>
    <xf numFmtId="0" fontId="35" fillId="2" borderId="11" xfId="12" applyFont="1" applyFill="1" applyBorder="1" applyAlignment="1" applyProtection="1">
      <alignment vertical="center"/>
      <protection hidden="1"/>
    </xf>
    <xf numFmtId="49" fontId="9" fillId="2" borderId="0" xfId="12" applyNumberFormat="1" applyFont="1" applyFill="1" applyAlignment="1" applyProtection="1">
      <alignment horizontal="center" vertical="center"/>
      <protection hidden="1"/>
    </xf>
    <xf numFmtId="49" fontId="9" fillId="2" borderId="61" xfId="12" applyNumberFormat="1" applyFont="1" applyFill="1" applyBorder="1" applyAlignment="1" applyProtection="1">
      <alignment horizontal="center" vertical="center"/>
      <protection hidden="1"/>
    </xf>
    <xf numFmtId="0" fontId="26" fillId="0" borderId="62" xfId="12" applyFont="1" applyBorder="1" applyAlignment="1" applyProtection="1">
      <alignment vertical="center"/>
      <protection hidden="1"/>
    </xf>
    <xf numFmtId="4" fontId="11" fillId="4" borderId="66" xfId="0" applyNumberFormat="1" applyFont="1" applyFill="1" applyBorder="1" applyAlignment="1" applyProtection="1">
      <alignment horizontal="right" vertical="top"/>
      <protection hidden="1"/>
    </xf>
    <xf numFmtId="0" fontId="35" fillId="2" borderId="56" xfId="12" applyFont="1" applyFill="1" applyBorder="1" applyAlignment="1" applyProtection="1">
      <alignment vertical="center"/>
      <protection hidden="1"/>
    </xf>
    <xf numFmtId="49" fontId="9" fillId="2" borderId="50" xfId="12" applyNumberFormat="1" applyFont="1" applyFill="1" applyBorder="1" applyAlignment="1" applyProtection="1">
      <alignment horizontal="center" vertical="center"/>
      <protection hidden="1"/>
    </xf>
    <xf numFmtId="4" fontId="11" fillId="4" borderId="57" xfId="0" applyNumberFormat="1" applyFont="1" applyFill="1" applyBorder="1" applyAlignment="1" applyProtection="1">
      <alignment horizontal="right" vertical="top"/>
      <protection hidden="1"/>
    </xf>
    <xf numFmtId="49" fontId="9" fillId="3" borderId="58" xfId="12" applyNumberFormat="1" applyFont="1" applyFill="1" applyBorder="1" applyAlignment="1" applyProtection="1">
      <alignment horizontal="center" vertical="center"/>
      <protection hidden="1"/>
    </xf>
    <xf numFmtId="0" fontId="52" fillId="0" borderId="74" xfId="12" quotePrefix="1" applyFont="1" applyBorder="1" applyAlignment="1" applyProtection="1">
      <alignment horizontal="center" vertical="top"/>
      <protection hidden="1"/>
    </xf>
    <xf numFmtId="4" fontId="0" fillId="0" borderId="0" xfId="12" applyNumberFormat="1" applyFont="1" applyAlignment="1" applyProtection="1">
      <alignment horizontal="left" vertical="top"/>
      <protection hidden="1"/>
    </xf>
    <xf numFmtId="4" fontId="12" fillId="0" borderId="0" xfId="12" applyNumberFormat="1" applyFont="1" applyAlignment="1" applyProtection="1">
      <alignment horizontal="left" vertical="top" wrapText="1"/>
      <protection hidden="1"/>
    </xf>
    <xf numFmtId="0" fontId="56" fillId="0" borderId="13" xfId="12" applyFont="1" applyBorder="1" applyAlignment="1" applyProtection="1">
      <alignment horizontal="left" vertical="center"/>
      <protection hidden="1"/>
    </xf>
    <xf numFmtId="0" fontId="0" fillId="3" borderId="61" xfId="12" applyFont="1" applyFill="1" applyBorder="1" applyAlignment="1" applyProtection="1">
      <alignment horizontal="left" vertical="top" wrapText="1"/>
      <protection hidden="1"/>
    </xf>
    <xf numFmtId="0" fontId="0" fillId="3" borderId="0" xfId="12" applyFont="1" applyFill="1" applyAlignment="1" applyProtection="1">
      <alignment horizontal="left" vertical="top" wrapText="1"/>
      <protection hidden="1"/>
    </xf>
    <xf numFmtId="4" fontId="11" fillId="4" borderId="83" xfId="0" applyNumberFormat="1" applyFont="1" applyFill="1" applyBorder="1" applyAlignment="1" applyProtection="1">
      <alignment horizontal="right" vertical="top"/>
      <protection hidden="1"/>
    </xf>
    <xf numFmtId="0" fontId="27" fillId="0" borderId="9" xfId="12" applyFont="1" applyBorder="1" applyAlignment="1" applyProtection="1">
      <alignment vertical="top"/>
      <protection hidden="1"/>
    </xf>
    <xf numFmtId="49" fontId="27" fillId="0" borderId="9" xfId="12" applyNumberFormat="1" applyFont="1" applyBorder="1" applyAlignment="1" applyProtection="1">
      <alignment vertical="center"/>
      <protection hidden="1"/>
    </xf>
    <xf numFmtId="0" fontId="11" fillId="0" borderId="9" xfId="12" applyFont="1" applyBorder="1" applyAlignment="1" applyProtection="1">
      <alignment horizontal="right" vertical="center"/>
      <protection hidden="1"/>
    </xf>
    <xf numFmtId="0" fontId="11" fillId="18" borderId="1" xfId="12" applyFont="1" applyFill="1" applyBorder="1" applyAlignment="1" applyProtection="1">
      <alignment vertical="center"/>
      <protection hidden="1"/>
    </xf>
    <xf numFmtId="0" fontId="11" fillId="18" borderId="9" xfId="12" applyFont="1" applyFill="1" applyBorder="1" applyAlignment="1" applyProtection="1">
      <alignment vertical="center"/>
      <protection hidden="1"/>
    </xf>
    <xf numFmtId="0" fontId="14" fillId="18" borderId="9" xfId="12" applyFont="1" applyFill="1" applyBorder="1" applyAlignment="1" applyProtection="1">
      <alignment horizontal="center" vertical="center" wrapText="1"/>
      <protection hidden="1"/>
    </xf>
    <xf numFmtId="0" fontId="14" fillId="18" borderId="9" xfId="12" applyFont="1" applyFill="1" applyBorder="1" applyAlignment="1" applyProtection="1">
      <alignment horizontal="right" vertical="center" wrapText="1"/>
      <protection hidden="1"/>
    </xf>
    <xf numFmtId="0" fontId="14" fillId="18" borderId="10" xfId="12" applyFont="1" applyFill="1" applyBorder="1" applyAlignment="1" applyProtection="1">
      <alignment horizontal="right" vertical="center" wrapText="1"/>
      <protection hidden="1"/>
    </xf>
    <xf numFmtId="0" fontId="35" fillId="4" borderId="12" xfId="12" applyFont="1" applyFill="1" applyBorder="1" applyAlignment="1" applyProtection="1">
      <alignment vertical="top"/>
      <protection hidden="1"/>
    </xf>
    <xf numFmtId="49" fontId="9" fillId="3" borderId="11" xfId="12" applyNumberFormat="1" applyFont="1" applyFill="1" applyBorder="1" applyAlignment="1" applyProtection="1">
      <alignment horizontal="center" vertical="center"/>
      <protection hidden="1"/>
    </xf>
    <xf numFmtId="4" fontId="0" fillId="5" borderId="36" xfId="12" applyNumberFormat="1" applyFont="1" applyFill="1" applyBorder="1" applyAlignment="1" applyProtection="1">
      <alignment horizontal="right" vertical="top"/>
      <protection locked="0"/>
    </xf>
    <xf numFmtId="4" fontId="0" fillId="3" borderId="38" xfId="0" applyNumberFormat="1" applyFill="1" applyBorder="1" applyAlignment="1" applyProtection="1">
      <alignment horizontal="right" vertical="top"/>
      <protection hidden="1"/>
    </xf>
    <xf numFmtId="0" fontId="9" fillId="0" borderId="37" xfId="12" applyFont="1" applyBorder="1" applyAlignment="1" applyProtection="1">
      <alignment horizontal="left" vertical="top"/>
      <protection hidden="1"/>
    </xf>
    <xf numFmtId="4" fontId="0" fillId="0" borderId="36" xfId="12" applyNumberFormat="1" applyFont="1" applyBorder="1" applyAlignment="1" applyProtection="1">
      <alignment horizontal="left" vertical="top"/>
      <protection hidden="1"/>
    </xf>
    <xf numFmtId="4" fontId="12" fillId="0" borderId="37" xfId="12" applyNumberFormat="1" applyFont="1" applyBorder="1" applyAlignment="1" applyProtection="1">
      <alignment horizontal="left" vertical="top" wrapText="1"/>
      <protection hidden="1"/>
    </xf>
    <xf numFmtId="4" fontId="0" fillId="0" borderId="38" xfId="0" applyNumberFormat="1" applyBorder="1" applyAlignment="1" applyProtection="1">
      <alignment horizontal="right" vertical="top"/>
      <protection hidden="1"/>
    </xf>
    <xf numFmtId="0" fontId="35" fillId="4" borderId="1" xfId="12" applyFont="1" applyFill="1" applyBorder="1" applyAlignment="1" applyProtection="1">
      <alignment vertical="top"/>
      <protection hidden="1"/>
    </xf>
    <xf numFmtId="4" fontId="0" fillId="5" borderId="52" xfId="12" applyNumberFormat="1" applyFont="1" applyFill="1" applyBorder="1" applyAlignment="1" applyProtection="1">
      <alignment horizontal="right" vertical="top"/>
      <protection locked="0"/>
    </xf>
    <xf numFmtId="4" fontId="0" fillId="3" borderId="54" xfId="0" applyNumberFormat="1" applyFill="1" applyBorder="1" applyAlignment="1" applyProtection="1">
      <alignment horizontal="right" vertical="top"/>
      <protection hidden="1"/>
    </xf>
    <xf numFmtId="4" fontId="0" fillId="0" borderId="50" xfId="12" applyNumberFormat="1" applyFont="1" applyBorder="1" applyAlignment="1" applyProtection="1">
      <alignment horizontal="left" vertical="top"/>
      <protection hidden="1"/>
    </xf>
    <xf numFmtId="4" fontId="12" fillId="0" borderId="50" xfId="12" applyNumberFormat="1" applyFont="1" applyBorder="1" applyAlignment="1" applyProtection="1">
      <alignment horizontal="left" vertical="top" wrapText="1"/>
      <protection hidden="1"/>
    </xf>
    <xf numFmtId="4" fontId="0" fillId="0" borderId="73" xfId="0" applyNumberFormat="1" applyBorder="1" applyAlignment="1" applyProtection="1">
      <alignment horizontal="right" vertical="top"/>
      <protection hidden="1"/>
    </xf>
    <xf numFmtId="0" fontId="35" fillId="4" borderId="8" xfId="12" applyFont="1" applyFill="1" applyBorder="1" applyAlignment="1" applyProtection="1">
      <alignment vertical="top"/>
      <protection hidden="1"/>
    </xf>
    <xf numFmtId="49" fontId="9" fillId="3" borderId="77" xfId="12" applyNumberFormat="1" applyFont="1" applyFill="1" applyBorder="1" applyAlignment="1" applyProtection="1">
      <alignment horizontal="center" vertical="center"/>
      <protection hidden="1"/>
    </xf>
    <xf numFmtId="4" fontId="0" fillId="3" borderId="52" xfId="0" applyNumberFormat="1" applyFill="1" applyBorder="1" applyAlignment="1" applyProtection="1">
      <alignment horizontal="right" vertical="top"/>
      <protection hidden="1"/>
    </xf>
    <xf numFmtId="0" fontId="33" fillId="0" borderId="36" xfId="12" applyFont="1" applyBorder="1" applyProtection="1">
      <protection hidden="1"/>
    </xf>
    <xf numFmtId="4" fontId="0" fillId="0" borderId="38" xfId="0" applyNumberFormat="1" applyBorder="1" applyAlignment="1" applyProtection="1">
      <alignment horizontal="left" vertical="top"/>
      <protection hidden="1"/>
    </xf>
    <xf numFmtId="4" fontId="0" fillId="0" borderId="73" xfId="0" applyNumberFormat="1" applyBorder="1" applyAlignment="1" applyProtection="1">
      <alignment horizontal="left" vertical="top"/>
      <protection hidden="1"/>
    </xf>
    <xf numFmtId="4" fontId="11" fillId="18" borderId="16" xfId="0" applyNumberFormat="1" applyFont="1" applyFill="1" applyBorder="1" applyAlignment="1" applyProtection="1">
      <alignment horizontal="right" vertical="center"/>
      <protection hidden="1"/>
    </xf>
    <xf numFmtId="0" fontId="27" fillId="0" borderId="0" xfId="12" applyFont="1" applyAlignment="1" applyProtection="1">
      <alignment horizontal="left" vertical="top"/>
      <protection hidden="1"/>
    </xf>
    <xf numFmtId="0" fontId="52" fillId="0" borderId="0" xfId="12" quotePrefix="1" applyFont="1" applyAlignment="1" applyProtection="1">
      <alignment horizontal="center" vertical="top"/>
      <protection hidden="1"/>
    </xf>
    <xf numFmtId="4" fontId="0" fillId="0" borderId="0" xfId="0" applyNumberFormat="1" applyAlignment="1" applyProtection="1">
      <alignment horizontal="left" vertical="top"/>
      <protection hidden="1"/>
    </xf>
    <xf numFmtId="0" fontId="56" fillId="0" borderId="13" xfId="12" applyFont="1" applyBorder="1" applyProtection="1">
      <protection hidden="1"/>
    </xf>
    <xf numFmtId="49" fontId="9" fillId="0" borderId="37" xfId="12" applyNumberFormat="1" applyFont="1" applyBorder="1" applyAlignment="1" applyProtection="1">
      <alignment horizontal="left" vertical="top"/>
      <protection hidden="1"/>
    </xf>
    <xf numFmtId="4" fontId="11" fillId="4" borderId="13" xfId="0" applyNumberFormat="1" applyFont="1" applyFill="1" applyBorder="1" applyAlignment="1" applyProtection="1">
      <alignment horizontal="right" vertical="center"/>
      <protection hidden="1"/>
    </xf>
    <xf numFmtId="49" fontId="9" fillId="0" borderId="50" xfId="12" applyNumberFormat="1" applyFont="1" applyBorder="1" applyAlignment="1" applyProtection="1">
      <alignment horizontal="left" vertical="top"/>
      <protection hidden="1"/>
    </xf>
    <xf numFmtId="4" fontId="11" fillId="4" borderId="66" xfId="0" applyNumberFormat="1" applyFont="1" applyFill="1" applyBorder="1" applyAlignment="1" applyProtection="1">
      <alignment horizontal="right" vertical="center"/>
      <protection hidden="1"/>
    </xf>
    <xf numFmtId="49" fontId="9" fillId="0" borderId="0" xfId="12" applyNumberFormat="1" applyFont="1" applyAlignment="1" applyProtection="1">
      <alignment horizontal="left" vertical="top"/>
      <protection hidden="1"/>
    </xf>
    <xf numFmtId="0" fontId="0" fillId="3" borderId="50" xfId="12" applyFont="1" applyFill="1" applyBorder="1" applyAlignment="1" applyProtection="1">
      <alignment horizontal="left" vertical="top" wrapText="1"/>
      <protection hidden="1"/>
    </xf>
    <xf numFmtId="4" fontId="11" fillId="4" borderId="65" xfId="0" applyNumberFormat="1" applyFont="1" applyFill="1" applyBorder="1" applyAlignment="1" applyProtection="1">
      <alignment horizontal="right" vertical="top"/>
      <protection hidden="1"/>
    </xf>
    <xf numFmtId="0" fontId="27" fillId="0" borderId="3" xfId="12" applyFont="1" applyBorder="1" applyAlignment="1" applyProtection="1">
      <alignment horizontal="left" vertical="top"/>
      <protection hidden="1"/>
    </xf>
    <xf numFmtId="0" fontId="9" fillId="0" borderId="9" xfId="12" applyFont="1" applyBorder="1" applyAlignment="1" applyProtection="1">
      <alignment horizontal="left" vertical="top"/>
      <protection hidden="1"/>
    </xf>
    <xf numFmtId="0" fontId="52" fillId="0" borderId="9" xfId="12" quotePrefix="1" applyFont="1" applyBorder="1" applyAlignment="1" applyProtection="1">
      <alignment horizontal="center" vertical="top"/>
      <protection hidden="1"/>
    </xf>
    <xf numFmtId="0" fontId="39" fillId="0" borderId="9" xfId="12" quotePrefix="1" applyFont="1" applyBorder="1" applyAlignment="1" applyProtection="1">
      <alignment horizontal="center" vertical="top"/>
      <protection hidden="1"/>
    </xf>
    <xf numFmtId="4" fontId="0" fillId="0" borderId="9" xfId="12" applyNumberFormat="1" applyFont="1" applyBorder="1" applyAlignment="1" applyProtection="1">
      <alignment horizontal="left" vertical="top"/>
      <protection hidden="1"/>
    </xf>
    <xf numFmtId="4" fontId="12" fillId="0" borderId="9" xfId="12" applyNumberFormat="1" applyFont="1" applyBorder="1" applyAlignment="1" applyProtection="1">
      <alignment horizontal="left" vertical="top" wrapText="1"/>
      <protection hidden="1"/>
    </xf>
    <xf numFmtId="4" fontId="0" fillId="0" borderId="9" xfId="0" applyNumberFormat="1" applyBorder="1" applyAlignment="1" applyProtection="1">
      <alignment horizontal="left" vertical="top"/>
      <protection hidden="1"/>
    </xf>
    <xf numFmtId="0" fontId="27" fillId="0" borderId="8" xfId="12" applyFont="1" applyBorder="1" applyAlignment="1" applyProtection="1">
      <alignment horizontal="left" vertical="top"/>
      <protection hidden="1"/>
    </xf>
    <xf numFmtId="4" fontId="0" fillId="0" borderId="62" xfId="0" applyNumberFormat="1" applyBorder="1" applyAlignment="1" applyProtection="1">
      <alignment horizontal="right" vertical="top"/>
      <protection hidden="1"/>
    </xf>
    <xf numFmtId="49" fontId="9" fillId="3" borderId="76" xfId="12" applyNumberFormat="1" applyFont="1" applyFill="1" applyBorder="1" applyAlignment="1" applyProtection="1">
      <alignment horizontal="center" vertical="center"/>
      <protection hidden="1"/>
    </xf>
    <xf numFmtId="4" fontId="0" fillId="3" borderId="36" xfId="0" applyNumberFormat="1" applyFill="1" applyBorder="1" applyAlignment="1" applyProtection="1">
      <alignment horizontal="right" vertical="top"/>
      <protection hidden="1"/>
    </xf>
    <xf numFmtId="4" fontId="0" fillId="0" borderId="62" xfId="12" applyNumberFormat="1" applyFont="1" applyBorder="1" applyAlignment="1" applyProtection="1">
      <alignment horizontal="left" vertical="top"/>
      <protection hidden="1"/>
    </xf>
    <xf numFmtId="4" fontId="12" fillId="0" borderId="61" xfId="12" applyNumberFormat="1" applyFont="1" applyBorder="1" applyAlignment="1" applyProtection="1">
      <alignment horizontal="left" vertical="top" wrapText="1"/>
      <protection hidden="1"/>
    </xf>
    <xf numFmtId="4" fontId="0" fillId="0" borderId="66" xfId="0" applyNumberFormat="1" applyBorder="1" applyAlignment="1" applyProtection="1">
      <alignment horizontal="right" vertical="top"/>
      <protection hidden="1"/>
    </xf>
    <xf numFmtId="4" fontId="0" fillId="0" borderId="65" xfId="0" applyNumberFormat="1" applyBorder="1" applyAlignment="1" applyProtection="1">
      <alignment horizontal="right" vertical="top"/>
      <protection hidden="1"/>
    </xf>
    <xf numFmtId="4" fontId="0" fillId="3" borderId="64" xfId="0" applyNumberFormat="1" applyFill="1" applyBorder="1" applyAlignment="1" applyProtection="1">
      <alignment horizontal="right" vertical="top"/>
      <protection hidden="1"/>
    </xf>
    <xf numFmtId="0" fontId="56" fillId="2" borderId="0" xfId="12" applyFont="1" applyFill="1" applyAlignment="1" applyProtection="1">
      <alignment horizontal="left" vertical="top"/>
      <protection hidden="1"/>
    </xf>
    <xf numFmtId="0" fontId="27" fillId="2" borderId="0" xfId="12" applyFont="1" applyFill="1" applyAlignment="1" applyProtection="1">
      <alignment horizontal="left" vertical="top"/>
      <protection hidden="1"/>
    </xf>
    <xf numFmtId="0" fontId="9" fillId="2" borderId="0" xfId="12" applyFont="1" applyFill="1" applyAlignment="1" applyProtection="1">
      <alignment horizontal="left" vertical="top"/>
      <protection hidden="1"/>
    </xf>
    <xf numFmtId="0" fontId="52" fillId="2" borderId="0" xfId="12" quotePrefix="1" applyFont="1" applyFill="1" applyAlignment="1" applyProtection="1">
      <alignment horizontal="center" vertical="top"/>
      <protection hidden="1"/>
    </xf>
    <xf numFmtId="0" fontId="39" fillId="2" borderId="0" xfId="12" quotePrefix="1" applyFont="1" applyFill="1" applyAlignment="1" applyProtection="1">
      <alignment horizontal="center" vertical="top"/>
      <protection hidden="1"/>
    </xf>
    <xf numFmtId="4" fontId="0" fillId="2" borderId="0" xfId="12" applyNumberFormat="1" applyFont="1" applyFill="1" applyAlignment="1" applyProtection="1">
      <alignment horizontal="left" vertical="top"/>
      <protection hidden="1"/>
    </xf>
    <xf numFmtId="4" fontId="12" fillId="2" borderId="0" xfId="12" applyNumberFormat="1" applyFont="1" applyFill="1" applyAlignment="1" applyProtection="1">
      <alignment horizontal="left" vertical="top" wrapText="1"/>
      <protection hidden="1"/>
    </xf>
    <xf numFmtId="4" fontId="0" fillId="2" borderId="0" xfId="0" applyNumberFormat="1" applyFill="1" applyAlignment="1" applyProtection="1">
      <alignment horizontal="right" vertical="top"/>
      <protection hidden="1"/>
    </xf>
    <xf numFmtId="0" fontId="33" fillId="2" borderId="0" xfId="12" applyFont="1" applyFill="1" applyAlignment="1" applyProtection="1">
      <alignment horizontal="left" vertical="top"/>
      <protection hidden="1"/>
    </xf>
    <xf numFmtId="0" fontId="25" fillId="2" borderId="0" xfId="12" applyFont="1" applyFill="1" applyAlignment="1" applyProtection="1">
      <alignment horizontal="left" vertical="top"/>
      <protection hidden="1"/>
    </xf>
    <xf numFmtId="0" fontId="9" fillId="0" borderId="82" xfId="12" applyFont="1" applyBorder="1" applyAlignment="1" applyProtection="1">
      <alignment horizontal="left" vertical="top"/>
      <protection hidden="1"/>
    </xf>
    <xf numFmtId="0" fontId="9" fillId="0" borderId="6" xfId="12" applyFont="1" applyBorder="1" applyAlignment="1" applyProtection="1">
      <alignment vertical="top"/>
      <protection hidden="1"/>
    </xf>
    <xf numFmtId="49" fontId="12" fillId="0" borderId="6" xfId="12" applyNumberFormat="1" applyFont="1" applyBorder="1" applyAlignment="1" applyProtection="1">
      <alignment vertical="center"/>
      <protection hidden="1"/>
    </xf>
    <xf numFmtId="0" fontId="14" fillId="0" borderId="6" xfId="12" applyFont="1" applyBorder="1" applyAlignment="1" applyProtection="1">
      <alignment horizontal="right" vertical="center"/>
      <protection hidden="1"/>
    </xf>
    <xf numFmtId="0" fontId="14" fillId="0" borderId="6" xfId="12" applyFont="1" applyBorder="1" applyAlignment="1" applyProtection="1">
      <alignment vertical="center"/>
      <protection hidden="1"/>
    </xf>
    <xf numFmtId="0" fontId="13" fillId="0" borderId="6" xfId="12" applyFont="1" applyBorder="1" applyAlignment="1" applyProtection="1">
      <alignment horizontal="right" vertical="center"/>
      <protection hidden="1"/>
    </xf>
    <xf numFmtId="0" fontId="24" fillId="0" borderId="56" xfId="12" applyFont="1" applyBorder="1" applyProtection="1">
      <protection hidden="1"/>
    </xf>
    <xf numFmtId="0" fontId="24" fillId="0" borderId="11" xfId="12" applyFont="1" applyBorder="1" applyProtection="1">
      <protection hidden="1"/>
    </xf>
    <xf numFmtId="0" fontId="9" fillId="0" borderId="61" xfId="12" applyFont="1" applyBorder="1" applyAlignment="1" applyProtection="1">
      <alignment horizontal="center" vertical="top"/>
      <protection hidden="1"/>
    </xf>
    <xf numFmtId="0" fontId="27" fillId="0" borderId="36" xfId="12" applyFont="1" applyBorder="1" applyAlignment="1" applyProtection="1">
      <alignment vertical="top"/>
      <protection hidden="1"/>
    </xf>
    <xf numFmtId="0" fontId="24" fillId="0" borderId="50" xfId="12" applyFont="1" applyBorder="1" applyAlignment="1" applyProtection="1">
      <alignment vertical="top" wrapText="1"/>
      <protection hidden="1"/>
    </xf>
    <xf numFmtId="4" fontId="34" fillId="4" borderId="66" xfId="12" applyNumberFormat="1" applyFont="1" applyFill="1" applyBorder="1" applyAlignment="1" applyProtection="1">
      <alignment horizontal="left" wrapText="1"/>
      <protection hidden="1"/>
    </xf>
    <xf numFmtId="0" fontId="24" fillId="3" borderId="58" xfId="12" applyFont="1" applyFill="1" applyBorder="1" applyProtection="1">
      <protection hidden="1"/>
    </xf>
    <xf numFmtId="0" fontId="52" fillId="0" borderId="52" xfId="12" quotePrefix="1" applyFont="1" applyBorder="1" applyAlignment="1" applyProtection="1">
      <alignment horizontal="center" vertical="top"/>
      <protection hidden="1"/>
    </xf>
    <xf numFmtId="0" fontId="24" fillId="2" borderId="0" xfId="12" applyFont="1" applyFill="1" applyProtection="1">
      <protection hidden="1"/>
    </xf>
    <xf numFmtId="0" fontId="24" fillId="2" borderId="11" xfId="12" applyFont="1" applyFill="1" applyBorder="1" applyProtection="1">
      <protection hidden="1"/>
    </xf>
    <xf numFmtId="0" fontId="9" fillId="2" borderId="37" xfId="12" applyFont="1" applyFill="1" applyBorder="1" applyAlignment="1" applyProtection="1">
      <alignment horizontal="center" vertical="center"/>
      <protection hidden="1"/>
    </xf>
    <xf numFmtId="0" fontId="24" fillId="2" borderId="50" xfId="12" applyFont="1" applyFill="1" applyBorder="1" applyProtection="1">
      <protection hidden="1"/>
    </xf>
    <xf numFmtId="0" fontId="39" fillId="0" borderId="53" xfId="12" quotePrefix="1" applyFont="1" applyBorder="1" applyAlignment="1" applyProtection="1">
      <alignment horizontal="center" vertical="top"/>
      <protection hidden="1"/>
    </xf>
    <xf numFmtId="0" fontId="24" fillId="2" borderId="5" xfId="12" applyFont="1" applyFill="1" applyBorder="1" applyProtection="1">
      <protection hidden="1"/>
    </xf>
    <xf numFmtId="49" fontId="9" fillId="2" borderId="82" xfId="12" applyNumberFormat="1" applyFont="1" applyFill="1" applyBorder="1" applyAlignment="1" applyProtection="1">
      <alignment horizontal="center" vertical="center"/>
      <protection hidden="1"/>
    </xf>
    <xf numFmtId="49" fontId="9" fillId="0" borderId="0" xfId="12" applyNumberFormat="1" applyFont="1" applyAlignment="1" applyProtection="1">
      <alignment horizontal="center" vertical="center"/>
      <protection hidden="1"/>
    </xf>
    <xf numFmtId="0" fontId="39" fillId="0" borderId="3" xfId="12" quotePrefix="1" applyFont="1" applyBorder="1" applyAlignment="1" applyProtection="1">
      <alignment horizontal="center" vertical="top"/>
      <protection hidden="1"/>
    </xf>
    <xf numFmtId="49" fontId="9" fillId="18" borderId="9" xfId="12" applyNumberFormat="1" applyFont="1" applyFill="1" applyBorder="1" applyAlignment="1" applyProtection="1">
      <alignment horizontal="center" vertical="center"/>
      <protection hidden="1"/>
    </xf>
    <xf numFmtId="0" fontId="52" fillId="18" borderId="9" xfId="12" quotePrefix="1" applyFont="1" applyFill="1" applyBorder="1" applyAlignment="1" applyProtection="1">
      <alignment horizontal="center" vertical="top"/>
      <protection hidden="1"/>
    </xf>
    <xf numFmtId="0" fontId="39" fillId="18" borderId="9" xfId="12" quotePrefix="1" applyFont="1" applyFill="1" applyBorder="1" applyAlignment="1" applyProtection="1">
      <alignment horizontal="center" vertical="top"/>
      <protection hidden="1"/>
    </xf>
    <xf numFmtId="4" fontId="0" fillId="18" borderId="10" xfId="0" applyNumberFormat="1" applyFill="1" applyBorder="1" applyAlignment="1" applyProtection="1">
      <alignment horizontal="left" vertical="top"/>
      <protection hidden="1"/>
    </xf>
    <xf numFmtId="0" fontId="24" fillId="4" borderId="15" xfId="12" applyFont="1" applyFill="1" applyBorder="1" applyProtection="1">
      <protection hidden="1"/>
    </xf>
    <xf numFmtId="0" fontId="9" fillId="3" borderId="11" xfId="12" applyFont="1" applyFill="1" applyBorder="1" applyAlignment="1" applyProtection="1">
      <alignment horizontal="center" vertical="center"/>
      <protection hidden="1"/>
    </xf>
    <xf numFmtId="4" fontId="0" fillId="3" borderId="13" xfId="0" applyNumberFormat="1" applyFill="1" applyBorder="1" applyAlignment="1" applyProtection="1">
      <alignment horizontal="right" vertical="top"/>
      <protection hidden="1"/>
    </xf>
    <xf numFmtId="0" fontId="24" fillId="0" borderId="8" xfId="12" applyFont="1" applyBorder="1" applyProtection="1">
      <protection hidden="1"/>
    </xf>
    <xf numFmtId="0" fontId="17" fillId="18" borderId="9" xfId="12" applyFont="1" applyFill="1" applyBorder="1" applyProtection="1">
      <protection hidden="1"/>
    </xf>
    <xf numFmtId="0" fontId="0" fillId="18" borderId="10" xfId="12" applyFont="1" applyFill="1" applyBorder="1" applyAlignment="1" applyProtection="1">
      <alignment vertical="top"/>
      <protection hidden="1"/>
    </xf>
    <xf numFmtId="0" fontId="17" fillId="0" borderId="2" xfId="12" applyFont="1" applyBorder="1" applyProtection="1">
      <protection hidden="1"/>
    </xf>
    <xf numFmtId="0" fontId="17" fillId="0" borderId="3" xfId="12" applyFont="1" applyBorder="1" applyProtection="1">
      <protection hidden="1"/>
    </xf>
    <xf numFmtId="0" fontId="17" fillId="0" borderId="24" xfId="12" applyFont="1" applyBorder="1" applyProtection="1">
      <protection hidden="1"/>
    </xf>
    <xf numFmtId="4" fontId="0" fillId="0" borderId="85" xfId="12" applyNumberFormat="1" applyFont="1" applyBorder="1" applyAlignment="1" applyProtection="1">
      <alignment vertical="top"/>
      <protection hidden="1"/>
    </xf>
    <xf numFmtId="0" fontId="17" fillId="0" borderId="21" xfId="12" applyFont="1" applyBorder="1" applyProtection="1">
      <protection hidden="1"/>
    </xf>
    <xf numFmtId="0" fontId="17" fillId="0" borderId="22" xfId="12" applyFont="1" applyBorder="1" applyProtection="1">
      <protection hidden="1"/>
    </xf>
    <xf numFmtId="0" fontId="17" fillId="0" borderId="6" xfId="12" applyFont="1" applyBorder="1" applyProtection="1">
      <protection hidden="1"/>
    </xf>
    <xf numFmtId="4" fontId="0" fillId="0" borderId="86" xfId="12" applyNumberFormat="1" applyFont="1" applyBorder="1" applyAlignment="1" applyProtection="1">
      <alignment vertical="top"/>
      <protection hidden="1"/>
    </xf>
    <xf numFmtId="4" fontId="43" fillId="18" borderId="16" xfId="0" applyNumberFormat="1" applyFont="1" applyFill="1" applyBorder="1" applyAlignment="1" applyProtection="1">
      <alignment horizontal="right" vertical="center" shrinkToFit="1"/>
      <protection hidden="1"/>
    </xf>
    <xf numFmtId="0" fontId="56" fillId="2" borderId="0" xfId="1" applyFont="1" applyFill="1" applyProtection="1">
      <protection hidden="1"/>
    </xf>
    <xf numFmtId="4" fontId="11" fillId="2" borderId="0" xfId="0" applyNumberFormat="1" applyFont="1" applyFill="1" applyAlignment="1" applyProtection="1">
      <alignment horizontal="right" vertical="center"/>
      <protection hidden="1"/>
    </xf>
    <xf numFmtId="0" fontId="33" fillId="2" borderId="0" xfId="1" applyFont="1" applyFill="1" applyProtection="1">
      <protection hidden="1"/>
    </xf>
    <xf numFmtId="0" fontId="25" fillId="2" borderId="0" xfId="1" applyFont="1" applyFill="1" applyProtection="1">
      <protection hidden="1"/>
    </xf>
    <xf numFmtId="0" fontId="12" fillId="0" borderId="0" xfId="1" applyFont="1" applyAlignment="1" applyProtection="1">
      <alignment vertical="top"/>
      <protection hidden="1"/>
    </xf>
    <xf numFmtId="0" fontId="12" fillId="2" borderId="0" xfId="1" applyFont="1" applyFill="1" applyAlignment="1" applyProtection="1">
      <alignment vertical="top"/>
      <protection hidden="1"/>
    </xf>
    <xf numFmtId="0" fontId="27" fillId="2" borderId="0" xfId="1" applyFont="1" applyFill="1" applyAlignment="1" applyProtection="1">
      <alignment vertical="top"/>
      <protection hidden="1"/>
    </xf>
    <xf numFmtId="49" fontId="27" fillId="2" borderId="0" xfId="1" applyNumberFormat="1" applyFont="1" applyFill="1" applyAlignment="1" applyProtection="1">
      <alignment vertical="center"/>
      <protection hidden="1"/>
    </xf>
    <xf numFmtId="49" fontId="12" fillId="2" borderId="0" xfId="1" applyNumberFormat="1" applyFont="1" applyFill="1" applyAlignment="1" applyProtection="1">
      <alignment vertical="center"/>
      <protection hidden="1"/>
    </xf>
    <xf numFmtId="0" fontId="14" fillId="2" borderId="0" xfId="1" applyFont="1" applyFill="1" applyAlignment="1" applyProtection="1">
      <alignment vertical="center"/>
      <protection hidden="1"/>
    </xf>
    <xf numFmtId="0" fontId="11" fillId="2" borderId="0" xfId="1" applyFont="1" applyFill="1" applyAlignment="1" applyProtection="1">
      <alignment horizontal="right" vertical="center"/>
      <protection hidden="1"/>
    </xf>
    <xf numFmtId="0" fontId="24" fillId="2" borderId="6" xfId="1" applyFont="1" applyFill="1" applyBorder="1" applyAlignment="1" applyProtection="1">
      <alignment vertical="top"/>
      <protection hidden="1"/>
    </xf>
    <xf numFmtId="0" fontId="14" fillId="2" borderId="0" xfId="1" applyFont="1" applyFill="1" applyAlignment="1" applyProtection="1">
      <alignment horizontal="right" vertical="center"/>
      <protection hidden="1"/>
    </xf>
    <xf numFmtId="0" fontId="13" fillId="2" borderId="0" xfId="1" applyFont="1" applyFill="1" applyAlignment="1" applyProtection="1">
      <alignment horizontal="right" vertical="center"/>
      <protection hidden="1"/>
    </xf>
    <xf numFmtId="0" fontId="24" fillId="18" borderId="0" xfId="1" applyFont="1" applyFill="1" applyAlignment="1" applyProtection="1">
      <alignment vertical="top"/>
      <protection hidden="1"/>
    </xf>
    <xf numFmtId="0" fontId="27" fillId="18" borderId="0" xfId="1" applyFont="1" applyFill="1" applyAlignment="1" applyProtection="1">
      <alignment vertical="top"/>
      <protection hidden="1"/>
    </xf>
    <xf numFmtId="0" fontId="12" fillId="18" borderId="8" xfId="1" applyFont="1" applyFill="1" applyBorder="1" applyAlignment="1" applyProtection="1">
      <alignment vertical="top"/>
      <protection hidden="1"/>
    </xf>
    <xf numFmtId="0" fontId="27" fillId="18" borderId="9" xfId="1" applyFont="1" applyFill="1" applyBorder="1" applyAlignment="1" applyProtection="1">
      <alignment vertical="top"/>
      <protection hidden="1"/>
    </xf>
    <xf numFmtId="49" fontId="27" fillId="18" borderId="9" xfId="1" applyNumberFormat="1" applyFont="1" applyFill="1" applyBorder="1" applyAlignment="1" applyProtection="1">
      <alignment vertical="center"/>
      <protection hidden="1"/>
    </xf>
    <xf numFmtId="49" fontId="12" fillId="18" borderId="9" xfId="1" applyNumberFormat="1" applyFont="1" applyFill="1" applyBorder="1" applyAlignment="1" applyProtection="1">
      <alignment vertical="center"/>
      <protection hidden="1"/>
    </xf>
    <xf numFmtId="0" fontId="12" fillId="19" borderId="8" xfId="1" applyFont="1" applyFill="1" applyBorder="1" applyAlignment="1" applyProtection="1">
      <alignment vertical="top"/>
      <protection hidden="1"/>
    </xf>
    <xf numFmtId="0" fontId="27" fillId="19" borderId="9" xfId="1" applyFont="1" applyFill="1" applyBorder="1" applyAlignment="1" applyProtection="1">
      <alignment vertical="top"/>
      <protection hidden="1"/>
    </xf>
    <xf numFmtId="49" fontId="27" fillId="19" borderId="9" xfId="1" applyNumberFormat="1" applyFont="1" applyFill="1" applyBorder="1" applyAlignment="1" applyProtection="1">
      <alignment vertical="center"/>
      <protection hidden="1"/>
    </xf>
    <xf numFmtId="49" fontId="12" fillId="19" borderId="9" xfId="1" applyNumberFormat="1" applyFont="1" applyFill="1" applyBorder="1" applyAlignment="1" applyProtection="1">
      <alignment vertical="center"/>
      <protection hidden="1"/>
    </xf>
    <xf numFmtId="0" fontId="14" fillId="19" borderId="9" xfId="1" applyFont="1" applyFill="1" applyBorder="1" applyAlignment="1" applyProtection="1">
      <alignment vertical="center"/>
      <protection hidden="1"/>
    </xf>
    <xf numFmtId="4" fontId="11" fillId="19" borderId="16" xfId="0" applyNumberFormat="1" applyFont="1" applyFill="1" applyBorder="1" applyAlignment="1" applyProtection="1">
      <alignment horizontal="right" vertical="center"/>
      <protection hidden="1"/>
    </xf>
    <xf numFmtId="0" fontId="52" fillId="0" borderId="0" xfId="1" quotePrefix="1" applyFont="1" applyAlignment="1" applyProtection="1">
      <alignment horizontal="center" vertical="top"/>
      <protection hidden="1"/>
    </xf>
    <xf numFmtId="0" fontId="24" fillId="19" borderId="8" xfId="1" applyFont="1" applyFill="1" applyBorder="1" applyAlignment="1" applyProtection="1">
      <alignment vertical="top"/>
      <protection hidden="1"/>
    </xf>
    <xf numFmtId="0" fontId="0" fillId="3" borderId="3" xfId="1" applyFont="1" applyFill="1" applyBorder="1" applyAlignment="1" applyProtection="1">
      <alignment wrapText="1"/>
      <protection hidden="1"/>
    </xf>
    <xf numFmtId="0" fontId="0" fillId="3" borderId="53" xfId="1" applyFont="1" applyFill="1" applyBorder="1" applyAlignment="1" applyProtection="1">
      <alignment wrapText="1"/>
      <protection hidden="1"/>
    </xf>
    <xf numFmtId="0" fontId="9" fillId="3" borderId="77" xfId="12" applyFont="1" applyFill="1" applyBorder="1" applyAlignment="1" applyProtection="1">
      <alignment horizontal="center" vertical="center"/>
      <protection hidden="1"/>
    </xf>
    <xf numFmtId="49" fontId="9" fillId="3" borderId="59" xfId="12" applyNumberFormat="1" applyFont="1" applyFill="1" applyBorder="1" applyAlignment="1" applyProtection="1">
      <alignment horizontal="center"/>
      <protection hidden="1"/>
    </xf>
    <xf numFmtId="4" fontId="11" fillId="4" borderId="13" xfId="0" applyNumberFormat="1" applyFont="1" applyFill="1" applyBorder="1" applyAlignment="1" applyProtection="1">
      <alignment horizontal="center"/>
      <protection hidden="1"/>
    </xf>
    <xf numFmtId="0" fontId="24" fillId="3" borderId="0" xfId="12" applyFont="1" applyFill="1" applyProtection="1">
      <protection hidden="1"/>
    </xf>
    <xf numFmtId="49" fontId="9" fillId="3" borderId="0" xfId="12" applyNumberFormat="1" applyFont="1" applyFill="1" applyAlignment="1" applyProtection="1">
      <alignment horizontal="center"/>
      <protection hidden="1"/>
    </xf>
    <xf numFmtId="0" fontId="52" fillId="0" borderId="52" xfId="12" quotePrefix="1" applyFont="1" applyBorder="1" applyAlignment="1" applyProtection="1">
      <alignment horizontal="center"/>
      <protection hidden="1"/>
    </xf>
    <xf numFmtId="0" fontId="39" fillId="0" borderId="0" xfId="12" quotePrefix="1" applyFont="1" applyAlignment="1" applyProtection="1">
      <alignment horizontal="center"/>
      <protection hidden="1"/>
    </xf>
    <xf numFmtId="0" fontId="26" fillId="0" borderId="36" xfId="12" applyFont="1" applyBorder="1" applyProtection="1">
      <protection hidden="1"/>
    </xf>
    <xf numFmtId="0" fontId="26" fillId="0" borderId="52" xfId="12" applyFont="1" applyBorder="1" applyProtection="1">
      <protection hidden="1"/>
    </xf>
    <xf numFmtId="0" fontId="26" fillId="0" borderId="33" xfId="12" applyFont="1" applyBorder="1" applyProtection="1">
      <protection hidden="1"/>
    </xf>
    <xf numFmtId="0" fontId="24" fillId="3" borderId="2" xfId="12" applyFont="1" applyFill="1" applyBorder="1" applyProtection="1">
      <protection hidden="1"/>
    </xf>
    <xf numFmtId="0" fontId="9" fillId="3" borderId="0" xfId="12" applyFont="1" applyFill="1" applyAlignment="1" applyProtection="1">
      <alignment horizontal="center"/>
      <protection hidden="1"/>
    </xf>
    <xf numFmtId="0" fontId="77" fillId="2" borderId="33" xfId="12" applyFont="1" applyFill="1" applyBorder="1" applyProtection="1">
      <protection hidden="1"/>
    </xf>
    <xf numFmtId="0" fontId="35" fillId="4" borderId="12" xfId="12" applyFont="1" applyFill="1" applyBorder="1" applyProtection="1">
      <protection hidden="1"/>
    </xf>
    <xf numFmtId="49" fontId="9" fillId="3" borderId="76" xfId="12" applyNumberFormat="1" applyFont="1" applyFill="1" applyBorder="1" applyAlignment="1" applyProtection="1">
      <alignment horizontal="center"/>
      <protection hidden="1"/>
    </xf>
    <xf numFmtId="4" fontId="0" fillId="5" borderId="54" xfId="12" applyNumberFormat="1" applyFont="1" applyFill="1" applyBorder="1" applyAlignment="1" applyProtection="1">
      <alignment horizontal="right"/>
      <protection locked="0"/>
    </xf>
    <xf numFmtId="4" fontId="0" fillId="3" borderId="36" xfId="0" applyNumberFormat="1" applyFill="1" applyBorder="1" applyAlignment="1" applyProtection="1">
      <alignment horizontal="right"/>
      <protection hidden="1"/>
    </xf>
    <xf numFmtId="0" fontId="35" fillId="4" borderId="1" xfId="12" applyFont="1" applyFill="1" applyBorder="1" applyProtection="1">
      <protection hidden="1"/>
    </xf>
    <xf numFmtId="49" fontId="9" fillId="3" borderId="84" xfId="12" applyNumberFormat="1" applyFont="1" applyFill="1" applyBorder="1" applyAlignment="1" applyProtection="1">
      <alignment horizontal="center"/>
      <protection hidden="1"/>
    </xf>
    <xf numFmtId="4" fontId="0" fillId="5" borderId="33" xfId="12" applyNumberFormat="1" applyFont="1" applyFill="1" applyBorder="1" applyAlignment="1" applyProtection="1">
      <alignment horizontal="right"/>
      <protection locked="0"/>
    </xf>
    <xf numFmtId="4" fontId="0" fillId="3" borderId="33" xfId="0" applyNumberFormat="1" applyFill="1" applyBorder="1" applyAlignment="1" applyProtection="1">
      <alignment horizontal="right"/>
      <protection hidden="1"/>
    </xf>
    <xf numFmtId="0" fontId="35" fillId="3" borderId="53" xfId="12" applyFont="1" applyFill="1" applyBorder="1" applyProtection="1">
      <protection hidden="1"/>
    </xf>
    <xf numFmtId="0" fontId="9" fillId="3" borderId="53" xfId="12" quotePrefix="1" applyFont="1" applyFill="1" applyBorder="1" applyAlignment="1" applyProtection="1">
      <alignment horizontal="center"/>
      <protection hidden="1"/>
    </xf>
    <xf numFmtId="0" fontId="75" fillId="2" borderId="52" xfId="12" applyFont="1" applyFill="1" applyBorder="1" applyProtection="1">
      <protection hidden="1"/>
    </xf>
    <xf numFmtId="0" fontId="35" fillId="3" borderId="58" xfId="12" applyFont="1" applyFill="1" applyBorder="1" applyProtection="1">
      <protection hidden="1"/>
    </xf>
    <xf numFmtId="49" fontId="9" fillId="3" borderId="53" xfId="12" applyNumberFormat="1" applyFont="1" applyFill="1" applyBorder="1" applyAlignment="1" applyProtection="1">
      <alignment horizontal="center"/>
      <protection hidden="1"/>
    </xf>
    <xf numFmtId="49" fontId="9" fillId="3" borderId="3" xfId="12" applyNumberFormat="1" applyFont="1" applyFill="1" applyBorder="1" applyAlignment="1" applyProtection="1">
      <alignment horizontal="center"/>
      <protection hidden="1"/>
    </xf>
    <xf numFmtId="0" fontId="35" fillId="3" borderId="11" xfId="12" applyFont="1" applyFill="1" applyBorder="1" applyProtection="1">
      <protection hidden="1"/>
    </xf>
    <xf numFmtId="49" fontId="9" fillId="3" borderId="53" xfId="12" quotePrefix="1" applyNumberFormat="1" applyFont="1" applyFill="1" applyBorder="1" applyAlignment="1" applyProtection="1">
      <alignment horizontal="center"/>
      <protection hidden="1"/>
    </xf>
    <xf numFmtId="0" fontId="75" fillId="0" borderId="52" xfId="12" applyFont="1" applyBorder="1" applyProtection="1">
      <protection hidden="1"/>
    </xf>
    <xf numFmtId="0" fontId="75" fillId="0" borderId="36" xfId="12" applyFont="1" applyBorder="1" applyProtection="1">
      <protection hidden="1"/>
    </xf>
    <xf numFmtId="0" fontId="9" fillId="3" borderId="0" xfId="12" quotePrefix="1" applyFont="1" applyFill="1" applyAlignment="1" applyProtection="1">
      <alignment horizontal="center"/>
      <protection hidden="1"/>
    </xf>
    <xf numFmtId="0" fontId="35" fillId="3" borderId="2" xfId="12" applyFont="1" applyFill="1" applyBorder="1" applyProtection="1">
      <protection hidden="1"/>
    </xf>
    <xf numFmtId="49" fontId="9" fillId="3" borderId="58" xfId="12" applyNumberFormat="1" applyFont="1" applyFill="1" applyBorder="1" applyAlignment="1" applyProtection="1">
      <alignment horizontal="center"/>
      <protection hidden="1"/>
    </xf>
    <xf numFmtId="4" fontId="11" fillId="4" borderId="13" xfId="0" applyNumberFormat="1" applyFont="1" applyFill="1" applyBorder="1" applyAlignment="1" applyProtection="1">
      <alignment horizontal="right"/>
      <protection hidden="1"/>
    </xf>
    <xf numFmtId="0" fontId="9" fillId="3" borderId="53" xfId="12" applyFont="1" applyFill="1" applyBorder="1" applyAlignment="1" applyProtection="1">
      <alignment horizontal="center"/>
      <protection hidden="1"/>
    </xf>
    <xf numFmtId="0" fontId="24" fillId="0" borderId="3" xfId="12" applyFont="1" applyBorder="1" applyProtection="1">
      <protection hidden="1"/>
    </xf>
    <xf numFmtId="0" fontId="24" fillId="0" borderId="22" xfId="12" applyFont="1" applyBorder="1" applyProtection="1">
      <protection hidden="1"/>
    </xf>
    <xf numFmtId="49" fontId="25" fillId="0" borderId="44" xfId="3" quotePrefix="1" applyNumberFormat="1" applyFont="1" applyBorder="1" applyAlignment="1" applyProtection="1">
      <alignment vertical="top"/>
      <protection hidden="1"/>
    </xf>
    <xf numFmtId="0" fontId="3" fillId="0" borderId="0" xfId="13"/>
    <xf numFmtId="0" fontId="30" fillId="20" borderId="88" xfId="13" applyFont="1" applyFill="1" applyBorder="1" applyAlignment="1">
      <alignment horizontal="left" vertical="top" wrapText="1"/>
    </xf>
    <xf numFmtId="0" fontId="30" fillId="0" borderId="88" xfId="13" applyFont="1" applyBorder="1" applyAlignment="1">
      <alignment horizontal="center" vertical="top" wrapText="1"/>
    </xf>
    <xf numFmtId="0" fontId="25" fillId="0" borderId="88" xfId="13" applyFont="1" applyBorder="1" applyAlignment="1">
      <alignment horizontal="left" vertical="top" wrapText="1" indent="2"/>
    </xf>
    <xf numFmtId="0" fontId="25" fillId="0" borderId="1" xfId="13" applyFont="1" applyBorder="1" applyAlignment="1">
      <alignment horizontal="center" vertical="top" wrapText="1"/>
    </xf>
    <xf numFmtId="3" fontId="79" fillId="0" borderId="88" xfId="13" applyNumberFormat="1" applyFont="1" applyBorder="1" applyAlignment="1">
      <alignment horizontal="right" vertical="top" shrinkToFit="1"/>
    </xf>
    <xf numFmtId="3" fontId="80" fillId="0" borderId="88" xfId="13" applyNumberFormat="1" applyFont="1" applyBorder="1" applyAlignment="1">
      <alignment horizontal="right" vertical="top" shrinkToFit="1"/>
    </xf>
    <xf numFmtId="3" fontId="80" fillId="0" borderId="98" xfId="13" applyNumberFormat="1" applyFont="1" applyBorder="1" applyAlignment="1">
      <alignment horizontal="right" vertical="top" shrinkToFit="1"/>
    </xf>
    <xf numFmtId="3" fontId="80" fillId="0" borderId="1" xfId="13" applyNumberFormat="1" applyFont="1" applyBorder="1" applyAlignment="1">
      <alignment horizontal="right" vertical="top" shrinkToFit="1"/>
    </xf>
    <xf numFmtId="3" fontId="80" fillId="0" borderId="89" xfId="13" applyNumberFormat="1" applyFont="1" applyBorder="1" applyAlignment="1">
      <alignment horizontal="right" vertical="top" shrinkToFit="1"/>
    </xf>
    <xf numFmtId="0" fontId="17" fillId="0" borderId="91" xfId="13" applyFont="1" applyBorder="1"/>
    <xf numFmtId="0" fontId="25" fillId="0" borderId="91" xfId="13" applyFont="1" applyBorder="1" applyAlignment="1">
      <alignment horizontal="right"/>
    </xf>
    <xf numFmtId="0" fontId="17" fillId="0" borderId="20" xfId="13" applyFont="1" applyBorder="1"/>
    <xf numFmtId="0" fontId="25" fillId="0" borderId="20" xfId="13" applyFont="1" applyBorder="1" applyAlignment="1">
      <alignment horizontal="center" wrapText="1"/>
    </xf>
    <xf numFmtId="0" fontId="17" fillId="0" borderId="95" xfId="13" applyFont="1" applyBorder="1"/>
    <xf numFmtId="0" fontId="25" fillId="0" borderId="95" xfId="13" applyFont="1" applyBorder="1" applyAlignment="1">
      <alignment horizontal="right"/>
    </xf>
    <xf numFmtId="0" fontId="17" fillId="0" borderId="94" xfId="13" applyFont="1" applyBorder="1"/>
    <xf numFmtId="170" fontId="17" fillId="0" borderId="94" xfId="13" applyNumberFormat="1" applyFont="1" applyBorder="1" applyAlignment="1">
      <alignment horizontal="center"/>
    </xf>
    <xf numFmtId="170" fontId="17" fillId="0" borderId="16" xfId="13" applyNumberFormat="1" applyFont="1" applyBorder="1"/>
    <xf numFmtId="0" fontId="17" fillId="0" borderId="92" xfId="13" applyFont="1" applyBorder="1"/>
    <xf numFmtId="0" fontId="25" fillId="0" borderId="93" xfId="13" applyFont="1" applyBorder="1"/>
    <xf numFmtId="0" fontId="25" fillId="0" borderId="0" xfId="13" applyFont="1"/>
    <xf numFmtId="0" fontId="17" fillId="0" borderId="0" xfId="13" applyFont="1"/>
    <xf numFmtId="170" fontId="17" fillId="0" borderId="67" xfId="13" applyNumberFormat="1" applyFont="1" applyBorder="1"/>
    <xf numFmtId="0" fontId="17" fillId="0" borderId="93" xfId="13" applyFont="1" applyBorder="1" applyAlignment="1">
      <alignment horizontal="right"/>
    </xf>
    <xf numFmtId="0" fontId="17" fillId="0" borderId="67" xfId="13" applyFont="1" applyBorder="1"/>
    <xf numFmtId="0" fontId="25" fillId="0" borderId="93" xfId="13" applyFont="1" applyBorder="1" applyAlignment="1">
      <alignment horizontal="right"/>
    </xf>
    <xf numFmtId="0" fontId="25" fillId="0" borderId="6" xfId="13" applyFont="1" applyBorder="1" applyAlignment="1">
      <alignment horizontal="center"/>
    </xf>
    <xf numFmtId="0" fontId="25" fillId="0" borderId="7" xfId="13" applyFont="1" applyBorder="1" applyAlignment="1">
      <alignment horizontal="center" vertical="center"/>
    </xf>
    <xf numFmtId="0" fontId="17" fillId="0" borderId="12" xfId="13" applyFont="1" applyBorder="1"/>
    <xf numFmtId="0" fontId="25" fillId="0" borderId="108" xfId="13" applyFont="1" applyBorder="1" applyAlignment="1">
      <alignment horizontal="center"/>
    </xf>
    <xf numFmtId="0" fontId="17" fillId="0" borderId="93" xfId="13" applyFont="1" applyBorder="1"/>
    <xf numFmtId="0" fontId="17" fillId="0" borderId="0" xfId="13" applyFont="1" applyAlignment="1">
      <alignment horizontal="center"/>
    </xf>
    <xf numFmtId="170" fontId="17" fillId="0" borderId="0" xfId="13" applyNumberFormat="1" applyFont="1"/>
    <xf numFmtId="170" fontId="3" fillId="0" borderId="0" xfId="13" applyNumberFormat="1"/>
    <xf numFmtId="0" fontId="17" fillId="0" borderId="87" xfId="13" applyFont="1" applyBorder="1"/>
    <xf numFmtId="0" fontId="17" fillId="0" borderId="105" xfId="13" applyFont="1" applyBorder="1"/>
    <xf numFmtId="3" fontId="79" fillId="0" borderId="96" xfId="13" applyNumberFormat="1" applyFont="1" applyBorder="1" applyAlignment="1">
      <alignment horizontal="right" vertical="top" shrinkToFit="1"/>
    </xf>
    <xf numFmtId="3" fontId="80" fillId="0" borderId="96" xfId="13" applyNumberFormat="1" applyFont="1" applyBorder="1" applyAlignment="1">
      <alignment horizontal="right" vertical="top" shrinkToFit="1"/>
    </xf>
    <xf numFmtId="3" fontId="80" fillId="0" borderId="99" xfId="13" applyNumberFormat="1" applyFont="1" applyBorder="1" applyAlignment="1">
      <alignment horizontal="right" vertical="top" shrinkToFit="1"/>
    </xf>
    <xf numFmtId="170" fontId="87" fillId="23" borderId="106" xfId="13" applyNumberFormat="1" applyFont="1" applyFill="1" applyBorder="1"/>
    <xf numFmtId="3" fontId="79" fillId="0" borderId="97" xfId="13" applyNumberFormat="1" applyFont="1" applyBorder="1" applyAlignment="1">
      <alignment horizontal="right" vertical="top" shrinkToFit="1"/>
    </xf>
    <xf numFmtId="3" fontId="80" fillId="0" borderId="97" xfId="13" applyNumberFormat="1" applyFont="1" applyBorder="1" applyAlignment="1">
      <alignment horizontal="right" vertical="top" shrinkToFit="1"/>
    </xf>
    <xf numFmtId="3" fontId="80" fillId="0" borderId="100" xfId="13" applyNumberFormat="1" applyFont="1" applyBorder="1" applyAlignment="1">
      <alignment horizontal="right" vertical="top" shrinkToFit="1"/>
    </xf>
    <xf numFmtId="0" fontId="17" fillId="0" borderId="95" xfId="13" applyFont="1" applyBorder="1" applyAlignment="1">
      <alignment wrapText="1"/>
    </xf>
    <xf numFmtId="0" fontId="17" fillId="0" borderId="94" xfId="13" applyFont="1" applyBorder="1" applyAlignment="1">
      <alignment wrapText="1"/>
    </xf>
    <xf numFmtId="0" fontId="17" fillId="0" borderId="107" xfId="13" applyFont="1" applyBorder="1"/>
    <xf numFmtId="3" fontId="79" fillId="0" borderId="0" xfId="13" applyNumberFormat="1" applyFont="1" applyAlignment="1">
      <alignment horizontal="right" vertical="top" shrinkToFit="1"/>
    </xf>
    <xf numFmtId="3" fontId="80" fillId="0" borderId="0" xfId="13" applyNumberFormat="1" applyFont="1" applyAlignment="1">
      <alignment horizontal="right" vertical="top" shrinkToFit="1"/>
    </xf>
    <xf numFmtId="170" fontId="24" fillId="21" borderId="9" xfId="13" applyNumberFormat="1" applyFont="1" applyFill="1" applyBorder="1" applyProtection="1">
      <protection locked="0"/>
    </xf>
    <xf numFmtId="42" fontId="17" fillId="19" borderId="10" xfId="13" applyNumberFormat="1" applyFont="1" applyFill="1" applyBorder="1" applyAlignment="1" applyProtection="1">
      <alignment horizontal="center" vertical="center"/>
      <protection locked="0"/>
    </xf>
    <xf numFmtId="170" fontId="17" fillId="0" borderId="8" xfId="13" applyNumberFormat="1" applyFont="1" applyBorder="1" applyProtection="1">
      <protection locked="0"/>
    </xf>
    <xf numFmtId="171" fontId="85" fillId="19" borderId="109" xfId="13" applyNumberFormat="1" applyFont="1" applyFill="1" applyBorder="1" applyAlignment="1" applyProtection="1">
      <alignment horizontal="center"/>
      <protection locked="0"/>
    </xf>
    <xf numFmtId="170" fontId="25" fillId="21" borderId="9" xfId="13" applyNumberFormat="1" applyFont="1" applyFill="1" applyBorder="1" applyProtection="1">
      <protection locked="0"/>
    </xf>
    <xf numFmtId="171" fontId="85" fillId="19" borderId="110" xfId="13" applyNumberFormat="1" applyFont="1" applyFill="1" applyBorder="1" applyProtection="1">
      <protection locked="0"/>
    </xf>
    <xf numFmtId="0" fontId="89" fillId="0" borderId="88" xfId="13" applyFont="1" applyBorder="1" applyAlignment="1">
      <alignment horizontal="center" vertical="top" wrapText="1"/>
    </xf>
    <xf numFmtId="3" fontId="89" fillId="0" borderId="88" xfId="13" applyNumberFormat="1" applyFont="1" applyBorder="1" applyAlignment="1">
      <alignment horizontal="right" vertical="top" shrinkToFit="1"/>
    </xf>
    <xf numFmtId="3" fontId="89" fillId="0" borderId="96" xfId="13" applyNumberFormat="1" applyFont="1" applyBorder="1" applyAlignment="1">
      <alignment horizontal="right" vertical="top" shrinkToFit="1"/>
    </xf>
    <xf numFmtId="3" fontId="89" fillId="0" borderId="97" xfId="13" applyNumberFormat="1" applyFont="1" applyBorder="1" applyAlignment="1">
      <alignment horizontal="right" vertical="top" shrinkToFit="1"/>
    </xf>
    <xf numFmtId="0" fontId="89" fillId="0" borderId="89" xfId="13" applyFont="1" applyBorder="1" applyAlignment="1">
      <alignment horizontal="center" vertical="top" wrapText="1"/>
    </xf>
    <xf numFmtId="0" fontId="89" fillId="0" borderId="1" xfId="13" applyFont="1" applyBorder="1" applyAlignment="1">
      <alignment horizontal="center" vertical="top" wrapText="1"/>
    </xf>
    <xf numFmtId="3" fontId="89" fillId="0" borderId="1" xfId="13" applyNumberFormat="1" applyFont="1" applyBorder="1" applyAlignment="1">
      <alignment horizontal="right" vertical="top" shrinkToFit="1"/>
    </xf>
    <xf numFmtId="170" fontId="24" fillId="19" borderId="109" xfId="13" applyNumberFormat="1" applyFont="1" applyFill="1" applyBorder="1" applyProtection="1">
      <protection locked="0"/>
    </xf>
    <xf numFmtId="0" fontId="81" fillId="22" borderId="102" xfId="13" applyFont="1" applyFill="1" applyBorder="1"/>
    <xf numFmtId="0" fontId="17" fillId="22" borderId="103" xfId="13" applyFont="1" applyFill="1" applyBorder="1"/>
    <xf numFmtId="0" fontId="17" fillId="22" borderId="104" xfId="13" applyFont="1" applyFill="1" applyBorder="1"/>
    <xf numFmtId="0" fontId="25" fillId="19" borderId="16" xfId="13" applyFont="1" applyFill="1" applyBorder="1" applyAlignment="1" applyProtection="1">
      <alignment horizontal="center"/>
      <protection locked="0"/>
    </xf>
    <xf numFmtId="170" fontId="25" fillId="19" borderId="107" xfId="13" applyNumberFormat="1" applyFont="1" applyFill="1" applyBorder="1" applyProtection="1">
      <protection locked="0"/>
    </xf>
    <xf numFmtId="0" fontId="25" fillId="3" borderId="50" xfId="1" applyFont="1" applyFill="1" applyBorder="1" applyAlignment="1" applyProtection="1">
      <alignment horizontal="left" vertical="top" wrapText="1"/>
      <protection hidden="1"/>
    </xf>
    <xf numFmtId="49" fontId="48" fillId="0" borderId="0" xfId="1" applyNumberFormat="1" applyFont="1" applyAlignment="1" applyProtection="1">
      <alignment horizontal="center" vertical="top"/>
      <protection hidden="1"/>
    </xf>
    <xf numFmtId="0" fontId="9" fillId="0" borderId="37" xfId="1" applyFont="1" applyBorder="1" applyAlignment="1" applyProtection="1">
      <alignment horizontal="left" vertical="top"/>
      <protection hidden="1"/>
    </xf>
    <xf numFmtId="0" fontId="35" fillId="4" borderId="12" xfId="1" applyFont="1" applyFill="1" applyBorder="1" applyAlignment="1" applyProtection="1">
      <alignment vertical="top"/>
      <protection hidden="1"/>
    </xf>
    <xf numFmtId="0" fontId="27" fillId="0" borderId="56" xfId="1" applyFont="1" applyBorder="1" applyAlignment="1" applyProtection="1">
      <alignment horizontal="left" vertical="top"/>
      <protection hidden="1"/>
    </xf>
    <xf numFmtId="0" fontId="26" fillId="0" borderId="53" xfId="1" applyFont="1" applyBorder="1" applyAlignment="1" applyProtection="1">
      <alignment vertical="center"/>
      <protection hidden="1"/>
    </xf>
    <xf numFmtId="49" fontId="25" fillId="3" borderId="0" xfId="1" applyNumberFormat="1" applyFont="1" applyFill="1" applyAlignment="1" applyProtection="1">
      <alignment vertical="center" wrapText="1"/>
      <protection hidden="1"/>
    </xf>
    <xf numFmtId="49" fontId="25" fillId="3" borderId="37" xfId="1" applyNumberFormat="1" applyFont="1" applyFill="1" applyBorder="1" applyAlignment="1" applyProtection="1">
      <alignment vertical="center" wrapText="1"/>
      <protection hidden="1"/>
    </xf>
    <xf numFmtId="0" fontId="0" fillId="0" borderId="21" xfId="0" applyBorder="1" applyAlignment="1" applyProtection="1">
      <alignment vertical="top"/>
      <protection hidden="1"/>
    </xf>
    <xf numFmtId="0" fontId="0" fillId="0" borderId="22" xfId="0" applyBorder="1" applyAlignment="1" applyProtection="1">
      <alignment vertical="top"/>
      <protection hidden="1"/>
    </xf>
    <xf numFmtId="0" fontId="11" fillId="0" borderId="2" xfId="0" applyFont="1" applyBorder="1" applyAlignment="1" applyProtection="1">
      <alignment vertical="top"/>
      <protection hidden="1"/>
    </xf>
    <xf numFmtId="0" fontId="11" fillId="0" borderId="3" xfId="0" applyFont="1" applyBorder="1" applyAlignment="1" applyProtection="1">
      <alignment vertical="top"/>
      <protection hidden="1"/>
    </xf>
    <xf numFmtId="0" fontId="11" fillId="5" borderId="22" xfId="0" applyFont="1" applyFill="1" applyBorder="1" applyAlignment="1" applyProtection="1">
      <alignment vertical="center"/>
      <protection locked="0"/>
    </xf>
    <xf numFmtId="0" fontId="11" fillId="5" borderId="48" xfId="0" applyFont="1" applyFill="1" applyBorder="1" applyAlignment="1" applyProtection="1">
      <alignment vertical="center"/>
      <protection locked="0"/>
    </xf>
    <xf numFmtId="0" fontId="0" fillId="0" borderId="21" xfId="0" applyBorder="1" applyAlignment="1" applyProtection="1">
      <alignment vertical="center"/>
      <protection hidden="1"/>
    </xf>
    <xf numFmtId="0" fontId="0" fillId="0" borderId="22" xfId="0" applyBorder="1" applyAlignment="1" applyProtection="1">
      <alignment vertical="center"/>
      <protection hidden="1"/>
    </xf>
    <xf numFmtId="0" fontId="10" fillId="0" borderId="0" xfId="0" applyFont="1" applyAlignment="1" applyProtection="1">
      <alignment horizontal="left" vertical="center"/>
      <protection hidden="1"/>
    </xf>
    <xf numFmtId="0" fontId="10" fillId="0" borderId="13" xfId="0" applyFont="1" applyBorder="1" applyAlignment="1" applyProtection="1">
      <alignment horizontal="left" vertical="center"/>
      <protection hidden="1"/>
    </xf>
    <xf numFmtId="0" fontId="69" fillId="0" borderId="11" xfId="0" applyFont="1" applyBorder="1" applyAlignment="1" applyProtection="1">
      <alignment horizontal="center" textRotation="90"/>
      <protection hidden="1"/>
    </xf>
    <xf numFmtId="0" fontId="58" fillId="8" borderId="0" xfId="0" applyFont="1" applyFill="1" applyAlignment="1" applyProtection="1">
      <alignment horizontal="center" vertical="center" textRotation="90"/>
      <protection hidden="1"/>
    </xf>
    <xf numFmtId="0" fontId="43" fillId="8" borderId="0" xfId="0" applyFont="1" applyFill="1" applyAlignment="1" applyProtection="1">
      <alignment vertical="center" wrapText="1"/>
      <protection hidden="1"/>
    </xf>
    <xf numFmtId="0" fontId="0" fillId="0" borderId="23" xfId="0" applyBorder="1" applyAlignment="1" applyProtection="1">
      <alignment vertical="center"/>
      <protection hidden="1"/>
    </xf>
    <xf numFmtId="0" fontId="0" fillId="0" borderId="24" xfId="0" applyBorder="1" applyAlignment="1" applyProtection="1">
      <alignment vertical="center"/>
      <protection hidden="1"/>
    </xf>
    <xf numFmtId="0" fontId="0" fillId="0" borderId="44" xfId="0" applyBorder="1" applyAlignment="1" applyProtection="1">
      <alignment vertical="center"/>
      <protection hidden="1"/>
    </xf>
    <xf numFmtId="0" fontId="0" fillId="0" borderId="45" xfId="0" applyBorder="1" applyAlignment="1" applyProtection="1">
      <alignment vertical="center"/>
      <protection hidden="1"/>
    </xf>
    <xf numFmtId="0" fontId="0" fillId="0" borderId="58" xfId="0" applyBorder="1" applyAlignment="1" applyProtection="1">
      <alignment vertical="center"/>
      <protection hidden="1"/>
    </xf>
    <xf numFmtId="0" fontId="0" fillId="0" borderId="53" xfId="0" applyBorder="1" applyAlignment="1" applyProtection="1">
      <alignment vertical="center"/>
      <protection hidden="1"/>
    </xf>
    <xf numFmtId="0" fontId="0" fillId="0" borderId="44" xfId="0" quotePrefix="1" applyBorder="1" applyAlignment="1" applyProtection="1">
      <alignment vertical="top"/>
      <protection hidden="1"/>
    </xf>
    <xf numFmtId="0" fontId="0" fillId="0" borderId="45" xfId="0" applyBorder="1" applyAlignment="1" applyProtection="1">
      <alignment vertical="top"/>
      <protection hidden="1"/>
    </xf>
    <xf numFmtId="0" fontId="0" fillId="0" borderId="44" xfId="0" applyBorder="1" applyAlignment="1" applyProtection="1">
      <alignment vertical="top"/>
      <protection hidden="1"/>
    </xf>
    <xf numFmtId="0" fontId="0" fillId="0" borderId="0" xfId="0"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26" xfId="0" applyFill="1" applyBorder="1" applyAlignment="1" applyProtection="1">
      <alignment horizontal="left" vertical="top" wrapText="1" indent="1"/>
      <protection hidden="1"/>
    </xf>
    <xf numFmtId="0" fontId="0" fillId="4" borderId="31" xfId="0" applyFill="1" applyBorder="1" applyAlignment="1" applyProtection="1">
      <alignment horizontal="left" vertical="top" wrapText="1" indent="1"/>
      <protection hidden="1"/>
    </xf>
    <xf numFmtId="0" fontId="0" fillId="4" borderId="27" xfId="0" applyFill="1" applyBorder="1" applyAlignment="1" applyProtection="1">
      <alignment horizontal="left" vertical="top" wrapText="1" indent="1"/>
      <protection hidden="1"/>
    </xf>
    <xf numFmtId="0" fontId="0" fillId="7" borderId="28" xfId="0" applyFill="1" applyBorder="1" applyAlignment="1" applyProtection="1">
      <alignment horizontal="left" vertical="top" wrapText="1" indent="1"/>
      <protection hidden="1"/>
    </xf>
    <xf numFmtId="0" fontId="0" fillId="7" borderId="30" xfId="0" applyFill="1" applyBorder="1" applyAlignment="1" applyProtection="1">
      <alignment horizontal="left" vertical="top" wrapText="1" indent="1"/>
      <protection hidden="1"/>
    </xf>
    <xf numFmtId="0" fontId="0" fillId="7" borderId="29" xfId="0" applyFill="1" applyBorder="1" applyAlignment="1" applyProtection="1">
      <alignment horizontal="left" vertical="top" wrapText="1" indent="1"/>
      <protection hidden="1"/>
    </xf>
    <xf numFmtId="0" fontId="0" fillId="0" borderId="11" xfId="0" applyBorder="1" applyAlignment="1" applyProtection="1">
      <alignment vertical="center"/>
      <protection hidden="1"/>
    </xf>
    <xf numFmtId="0" fontId="0" fillId="0" borderId="0" xfId="0" applyAlignment="1" applyProtection="1">
      <alignment vertical="center"/>
      <protection hidden="1"/>
    </xf>
    <xf numFmtId="0" fontId="0" fillId="0" borderId="56" xfId="0" applyBorder="1" applyAlignment="1" applyProtection="1">
      <alignment vertical="center"/>
      <protection hidden="1"/>
    </xf>
    <xf numFmtId="0" fontId="0" fillId="0" borderId="50" xfId="0" applyBorder="1" applyAlignment="1" applyProtection="1">
      <alignment vertical="center"/>
      <protection hidden="1"/>
    </xf>
    <xf numFmtId="0" fontId="0" fillId="0" borderId="23" xfId="0" applyBorder="1" applyAlignment="1" applyProtection="1">
      <alignment vertical="center" wrapText="1"/>
      <protection hidden="1"/>
    </xf>
    <xf numFmtId="0" fontId="0" fillId="0" borderId="24" xfId="0" applyBorder="1" applyAlignment="1" applyProtection="1">
      <alignment vertical="center" wrapText="1"/>
      <protection hidden="1"/>
    </xf>
    <xf numFmtId="0" fontId="11" fillId="0" borderId="22"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11" fillId="0" borderId="45" xfId="0" applyFont="1" applyBorder="1" applyAlignment="1" applyProtection="1">
      <alignment horizontal="left" vertical="center"/>
      <protection hidden="1"/>
    </xf>
    <xf numFmtId="0" fontId="11" fillId="0" borderId="46"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43" fillId="8" borderId="0" xfId="0" applyFont="1" applyFill="1" applyAlignment="1" applyProtection="1">
      <alignment vertical="center"/>
      <protection hidden="1"/>
    </xf>
    <xf numFmtId="0" fontId="0" fillId="0" borderId="64" xfId="0" applyBorder="1" applyAlignment="1" applyProtection="1">
      <alignment horizontal="center" vertical="center" textRotation="90"/>
      <protection hidden="1"/>
    </xf>
    <xf numFmtId="0" fontId="0" fillId="0" borderId="65" xfId="0" applyBorder="1" applyAlignment="1" applyProtection="1">
      <alignment horizontal="center" vertical="center" textRotation="90"/>
      <protection hidden="1"/>
    </xf>
    <xf numFmtId="0" fontId="0" fillId="0" borderId="66" xfId="0" applyBorder="1" applyAlignment="1" applyProtection="1">
      <alignment horizontal="center" vertical="center" textRotation="90"/>
      <protection hidden="1"/>
    </xf>
    <xf numFmtId="0" fontId="0" fillId="0" borderId="56" xfId="0" applyBorder="1" applyAlignment="1" applyProtection="1">
      <alignment vertical="center" wrapText="1"/>
      <protection hidden="1"/>
    </xf>
    <xf numFmtId="0" fontId="0" fillId="0" borderId="50" xfId="0" applyBorder="1" applyAlignment="1" applyProtection="1">
      <alignment vertical="center" wrapText="1"/>
      <protection hidden="1"/>
    </xf>
    <xf numFmtId="0" fontId="11" fillId="0" borderId="11" xfId="0" applyFont="1" applyBorder="1" applyAlignment="1" applyProtection="1">
      <alignment vertical="center"/>
      <protection hidden="1"/>
    </xf>
    <xf numFmtId="0" fontId="11" fillId="0" borderId="0" xfId="0" applyFont="1" applyAlignment="1" applyProtection="1">
      <alignment vertical="center"/>
      <protection hidden="1"/>
    </xf>
    <xf numFmtId="0" fontId="55" fillId="0" borderId="0" xfId="0" applyFont="1" applyAlignment="1" applyProtection="1">
      <alignment horizontal="left" vertical="top" wrapText="1"/>
      <protection hidden="1"/>
    </xf>
    <xf numFmtId="0" fontId="0" fillId="0" borderId="44" xfId="0" applyBorder="1" applyAlignment="1" applyProtection="1">
      <alignment horizontal="left" vertical="top" wrapText="1"/>
      <protection hidden="1"/>
    </xf>
    <xf numFmtId="0" fontId="0" fillId="0" borderId="45" xfId="0" applyBorder="1" applyAlignment="1" applyProtection="1">
      <alignment horizontal="left" vertical="top" wrapText="1"/>
      <protection hidden="1"/>
    </xf>
    <xf numFmtId="0" fontId="0" fillId="0" borderId="46" xfId="0" applyBorder="1" applyAlignment="1" applyProtection="1">
      <alignment horizontal="left" vertical="top" wrapText="1"/>
      <protection hidden="1"/>
    </xf>
    <xf numFmtId="0" fontId="0" fillId="0" borderId="44" xfId="0" applyBorder="1" applyAlignment="1" applyProtection="1">
      <alignment horizontal="left" vertical="top"/>
      <protection hidden="1"/>
    </xf>
    <xf numFmtId="0" fontId="0" fillId="0" borderId="45" xfId="0" applyBorder="1" applyAlignment="1" applyProtection="1">
      <alignment horizontal="left" vertical="top"/>
      <protection hidden="1"/>
    </xf>
    <xf numFmtId="0" fontId="0" fillId="0" borderId="46" xfId="0" applyBorder="1" applyAlignment="1" applyProtection="1">
      <alignment horizontal="left" vertical="top"/>
      <protection hidden="1"/>
    </xf>
    <xf numFmtId="0" fontId="11" fillId="3" borderId="21" xfId="0" applyFont="1" applyFill="1" applyBorder="1" applyAlignment="1" applyProtection="1">
      <alignment horizontal="left" vertical="top"/>
      <protection hidden="1"/>
    </xf>
    <xf numFmtId="0" fontId="11" fillId="3" borderId="22" xfId="0" applyFont="1" applyFill="1" applyBorder="1" applyAlignment="1" applyProtection="1">
      <alignment horizontal="left" vertical="top"/>
      <protection hidden="1"/>
    </xf>
    <xf numFmtId="0" fontId="11" fillId="3" borderId="48" xfId="0" applyFont="1" applyFill="1" applyBorder="1" applyAlignment="1" applyProtection="1">
      <alignment horizontal="left" vertical="top"/>
      <protection hidden="1"/>
    </xf>
    <xf numFmtId="0" fontId="0" fillId="0" borderId="56" xfId="0" applyBorder="1" applyAlignment="1" applyProtection="1">
      <alignment horizontal="left" vertical="top" wrapText="1"/>
      <protection hidden="1"/>
    </xf>
    <xf numFmtId="0" fontId="0" fillId="0" borderId="50" xfId="0" applyBorder="1" applyAlignment="1" applyProtection="1">
      <alignment horizontal="left" vertical="top" wrapText="1"/>
      <protection hidden="1"/>
    </xf>
    <xf numFmtId="0" fontId="0" fillId="0" borderId="57" xfId="0" applyBorder="1" applyAlignment="1" applyProtection="1">
      <alignment horizontal="left" vertical="top" wrapText="1"/>
      <protection hidden="1"/>
    </xf>
    <xf numFmtId="0" fontId="11" fillId="0" borderId="2" xfId="0" applyFont="1" applyBorder="1" applyAlignment="1" applyProtection="1">
      <alignment horizontal="left" vertical="top"/>
      <protection hidden="1"/>
    </xf>
    <xf numFmtId="0" fontId="11" fillId="0" borderId="3" xfId="0" applyFont="1" applyBorder="1" applyAlignment="1" applyProtection="1">
      <alignment horizontal="left" vertical="top"/>
      <protection hidden="1"/>
    </xf>
    <xf numFmtId="0" fontId="11" fillId="0" borderId="4" xfId="0" applyFont="1" applyBorder="1" applyAlignment="1" applyProtection="1">
      <alignment horizontal="left" vertical="top"/>
      <protection hidden="1"/>
    </xf>
    <xf numFmtId="0" fontId="9" fillId="0" borderId="56" xfId="0" applyFont="1" applyBorder="1" applyAlignment="1" applyProtection="1">
      <alignment horizontal="left" vertical="top" wrapText="1"/>
      <protection hidden="1"/>
    </xf>
    <xf numFmtId="0" fontId="9" fillId="0" borderId="50" xfId="0" applyFont="1" applyBorder="1" applyAlignment="1" applyProtection="1">
      <alignment horizontal="left" vertical="top" wrapText="1"/>
      <protection hidden="1"/>
    </xf>
    <xf numFmtId="0" fontId="9" fillId="0" borderId="57" xfId="0" applyFont="1" applyBorder="1" applyAlignment="1" applyProtection="1">
      <alignment horizontal="left" vertical="top" wrapText="1"/>
      <protection hidden="1"/>
    </xf>
    <xf numFmtId="0" fontId="25" fillId="0" borderId="58" xfId="0" applyFont="1" applyBorder="1" applyAlignment="1" applyProtection="1">
      <alignment horizontal="left" vertical="top" wrapText="1"/>
      <protection hidden="1"/>
    </xf>
    <xf numFmtId="0" fontId="25" fillId="0" borderId="53" xfId="0" applyFont="1" applyBorder="1" applyAlignment="1" applyProtection="1">
      <alignment horizontal="left" vertical="top" wrapText="1"/>
      <protection hidden="1"/>
    </xf>
    <xf numFmtId="0" fontId="25" fillId="3" borderId="21" xfId="0" applyFont="1" applyFill="1" applyBorder="1" applyAlignment="1" applyProtection="1">
      <alignment horizontal="left" vertical="top" wrapText="1"/>
      <protection hidden="1"/>
    </xf>
    <xf numFmtId="0" fontId="25" fillId="3" borderId="22" xfId="0" applyFont="1" applyFill="1" applyBorder="1" applyAlignment="1" applyProtection="1">
      <alignment horizontal="left" vertical="top" wrapText="1"/>
      <protection hidden="1"/>
    </xf>
    <xf numFmtId="0" fontId="25" fillId="3" borderId="48" xfId="0" applyFont="1" applyFill="1" applyBorder="1" applyAlignment="1" applyProtection="1">
      <alignment horizontal="left" vertical="top" wrapText="1"/>
      <protection hidden="1"/>
    </xf>
    <xf numFmtId="0" fontId="30" fillId="8" borderId="36" xfId="0" applyFont="1" applyFill="1" applyBorder="1" applyAlignment="1" applyProtection="1">
      <alignment vertical="center" wrapText="1"/>
      <protection hidden="1"/>
    </xf>
    <xf numFmtId="0" fontId="30" fillId="8" borderId="0" xfId="0" applyFont="1" applyFill="1" applyAlignment="1" applyProtection="1">
      <alignment vertical="center" wrapText="1"/>
      <protection hidden="1"/>
    </xf>
    <xf numFmtId="0" fontId="30" fillId="8" borderId="67" xfId="0" applyFont="1" applyFill="1" applyBorder="1" applyAlignment="1" applyProtection="1">
      <alignment vertical="center" wrapText="1"/>
      <protection hidden="1"/>
    </xf>
    <xf numFmtId="0" fontId="25" fillId="0" borderId="44" xfId="0" applyFont="1" applyBorder="1" applyAlignment="1" applyProtection="1">
      <alignment horizontal="left" vertical="top"/>
      <protection hidden="1"/>
    </xf>
    <xf numFmtId="0" fontId="25" fillId="0" borderId="45" xfId="0" applyFont="1" applyBorder="1" applyAlignment="1" applyProtection="1">
      <alignment horizontal="left" vertical="top"/>
      <protection hidden="1"/>
    </xf>
    <xf numFmtId="0" fontId="25" fillId="0" borderId="46" xfId="0" applyFont="1" applyBorder="1" applyAlignment="1" applyProtection="1">
      <alignment horizontal="left" vertical="top"/>
      <protection hidden="1"/>
    </xf>
    <xf numFmtId="0" fontId="11" fillId="0" borderId="11" xfId="0" applyFont="1" applyBorder="1" applyAlignment="1" applyProtection="1">
      <alignment horizontal="left" vertical="top" wrapText="1"/>
      <protection hidden="1"/>
    </xf>
    <xf numFmtId="0" fontId="11" fillId="0" borderId="0" xfId="0" applyFont="1" applyAlignment="1" applyProtection="1">
      <alignment horizontal="left" vertical="top" wrapText="1"/>
      <protection hidden="1"/>
    </xf>
    <xf numFmtId="0" fontId="11" fillId="0" borderId="13" xfId="0" applyFont="1"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0" fontId="0" fillId="0" borderId="10" xfId="0" applyBorder="1" applyAlignment="1" applyProtection="1">
      <alignment horizontal="left" vertical="top" wrapText="1"/>
      <protection hidden="1"/>
    </xf>
    <xf numFmtId="0" fontId="0" fillId="0" borderId="2" xfId="0" applyBorder="1" applyAlignment="1" applyProtection="1">
      <alignment horizontal="left" vertical="top" wrapText="1"/>
      <protection hidden="1"/>
    </xf>
    <xf numFmtId="0" fontId="0" fillId="0" borderId="3" xfId="0" applyBorder="1" applyAlignment="1" applyProtection="1">
      <alignment horizontal="left" vertical="top" wrapText="1"/>
      <protection hidden="1"/>
    </xf>
    <xf numFmtId="0" fontId="0" fillId="0" borderId="8"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10" xfId="0" applyBorder="1" applyAlignment="1" applyProtection="1">
      <alignment horizontal="center" vertical="center" wrapText="1"/>
      <protection hidden="1"/>
    </xf>
    <xf numFmtId="0" fontId="58" fillId="8" borderId="0" xfId="0" applyFont="1" applyFill="1" applyAlignment="1" applyProtection="1">
      <alignment horizontal="center" textRotation="90"/>
      <protection hidden="1"/>
    </xf>
    <xf numFmtId="0" fontId="11" fillId="0" borderId="24" xfId="0" applyFont="1" applyBorder="1" applyAlignment="1" applyProtection="1">
      <alignment vertical="center"/>
      <protection hidden="1"/>
    </xf>
    <xf numFmtId="0" fontId="11" fillId="0" borderId="25" xfId="0" applyFont="1" applyBorder="1" applyAlignment="1" applyProtection="1">
      <alignment vertical="center"/>
      <protection hidden="1"/>
    </xf>
    <xf numFmtId="0" fontId="11" fillId="0" borderId="24" xfId="0" applyFont="1" applyBorder="1" applyAlignment="1" applyProtection="1">
      <alignment horizontal="left" vertical="center"/>
      <protection hidden="1"/>
    </xf>
    <xf numFmtId="0" fontId="11" fillId="0" borderId="25" xfId="0" applyFont="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0" fillId="0" borderId="2" xfId="0" applyBorder="1" applyAlignment="1" applyProtection="1">
      <alignment vertical="center"/>
      <protection hidden="1"/>
    </xf>
    <xf numFmtId="0" fontId="0" fillId="0" borderId="3" xfId="0" applyBorder="1" applyAlignment="1" applyProtection="1">
      <alignment vertical="center"/>
      <protection hidden="1"/>
    </xf>
    <xf numFmtId="0" fontId="11" fillId="0" borderId="24" xfId="0" applyFont="1" applyBorder="1" applyAlignment="1" applyProtection="1">
      <alignment horizontal="left" vertical="center" wrapText="1"/>
      <protection hidden="1"/>
    </xf>
    <xf numFmtId="0" fontId="41" fillId="0" borderId="50" xfId="2" quotePrefix="1" applyFont="1" applyBorder="1" applyAlignment="1" applyProtection="1">
      <alignment vertical="top" wrapText="1"/>
      <protection hidden="1"/>
    </xf>
    <xf numFmtId="0" fontId="41" fillId="0" borderId="61" xfId="2" quotePrefix="1" applyFont="1" applyBorder="1" applyAlignment="1" applyProtection="1">
      <alignment vertical="top" wrapText="1"/>
      <protection hidden="1"/>
    </xf>
    <xf numFmtId="0" fontId="0" fillId="3" borderId="53" xfId="2" applyFont="1" applyFill="1" applyBorder="1" applyAlignment="1" applyProtection="1">
      <alignment vertical="center"/>
      <protection hidden="1"/>
    </xf>
    <xf numFmtId="0" fontId="0" fillId="3" borderId="0" xfId="2" applyFont="1" applyFill="1" applyAlignment="1" applyProtection="1">
      <alignment vertical="top" wrapText="1"/>
      <protection hidden="1"/>
    </xf>
    <xf numFmtId="0" fontId="41" fillId="0" borderId="0" xfId="2" quotePrefix="1" applyFont="1" applyAlignment="1" applyProtection="1">
      <alignment vertical="top" wrapText="1"/>
      <protection hidden="1"/>
    </xf>
    <xf numFmtId="0" fontId="43" fillId="8" borderId="0" xfId="2" applyFont="1" applyFill="1" applyAlignment="1" applyProtection="1">
      <alignment horizontal="right" vertical="center" wrapText="1"/>
      <protection hidden="1"/>
    </xf>
    <xf numFmtId="0" fontId="43" fillId="8" borderId="0" xfId="2" applyFont="1" applyFill="1" applyAlignment="1" applyProtection="1">
      <alignment horizontal="right" vertical="center"/>
      <protection hidden="1"/>
    </xf>
    <xf numFmtId="0" fontId="43" fillId="8" borderId="37" xfId="2" applyFont="1" applyFill="1" applyBorder="1" applyAlignment="1" applyProtection="1">
      <alignment horizontal="right" vertical="center"/>
      <protection hidden="1"/>
    </xf>
    <xf numFmtId="0" fontId="11" fillId="2" borderId="22" xfId="0" applyFont="1" applyFill="1" applyBorder="1" applyAlignment="1" applyProtection="1">
      <alignment horizontal="left" vertical="center"/>
      <protection hidden="1"/>
    </xf>
    <xf numFmtId="0" fontId="11" fillId="2" borderId="48" xfId="0" applyFont="1" applyFill="1" applyBorder="1" applyAlignment="1" applyProtection="1">
      <alignment horizontal="left" vertical="center"/>
      <protection hidden="1"/>
    </xf>
    <xf numFmtId="0" fontId="0" fillId="2" borderId="21" xfId="0" applyFill="1" applyBorder="1" applyAlignment="1" applyProtection="1">
      <alignment horizontal="left" vertical="center"/>
      <protection hidden="1"/>
    </xf>
    <xf numFmtId="0" fontId="0" fillId="2" borderId="22" xfId="0" applyFill="1" applyBorder="1" applyAlignment="1" applyProtection="1">
      <alignment horizontal="left" vertical="center"/>
      <protection hidden="1"/>
    </xf>
    <xf numFmtId="0" fontId="41" fillId="0" borderId="50" xfId="2" quotePrefix="1" applyFont="1" applyBorder="1" applyAlignment="1" applyProtection="1">
      <alignment horizontal="left" vertical="top" wrapText="1"/>
      <protection hidden="1"/>
    </xf>
    <xf numFmtId="0" fontId="41" fillId="0" borderId="50" xfId="2" applyFont="1" applyBorder="1" applyAlignment="1" applyProtection="1">
      <alignment horizontal="left" vertical="top" wrapText="1"/>
      <protection hidden="1"/>
    </xf>
    <xf numFmtId="0" fontId="41" fillId="0" borderId="0" xfId="2" applyFont="1" applyAlignment="1" applyProtection="1">
      <alignment vertical="top" wrapText="1"/>
      <protection hidden="1"/>
    </xf>
    <xf numFmtId="0" fontId="41" fillId="0" borderId="50" xfId="2" applyFont="1" applyBorder="1" applyAlignment="1" applyProtection="1">
      <alignment horizontal="left" vertical="top"/>
      <protection hidden="1"/>
    </xf>
    <xf numFmtId="0" fontId="0" fillId="3" borderId="3" xfId="2" applyFont="1" applyFill="1" applyBorder="1" applyAlignment="1" applyProtection="1">
      <alignment vertical="center"/>
      <protection hidden="1"/>
    </xf>
    <xf numFmtId="0" fontId="41" fillId="0" borderId="6" xfId="2" quotePrefix="1" applyFont="1" applyBorder="1" applyAlignment="1" applyProtection="1">
      <alignment vertical="top" wrapText="1"/>
      <protection hidden="1"/>
    </xf>
    <xf numFmtId="0" fontId="0" fillId="3" borderId="0" xfId="2" applyFont="1" applyFill="1" applyAlignment="1" applyProtection="1">
      <alignment vertical="center"/>
      <protection hidden="1"/>
    </xf>
    <xf numFmtId="0" fontId="24" fillId="3" borderId="0" xfId="2" applyFont="1" applyFill="1" applyAlignment="1" applyProtection="1">
      <alignment vertical="center"/>
      <protection hidden="1"/>
    </xf>
    <xf numFmtId="0" fontId="41" fillId="0" borderId="0" xfId="2" quotePrefix="1" applyFont="1" applyAlignment="1" applyProtection="1">
      <alignment vertical="top"/>
      <protection hidden="1"/>
    </xf>
    <xf numFmtId="0" fontId="58" fillId="12" borderId="0" xfId="0" applyFont="1" applyFill="1" applyAlignment="1" applyProtection="1">
      <alignment horizontal="center" vertical="center" textRotation="90"/>
      <protection hidden="1"/>
    </xf>
    <xf numFmtId="0" fontId="41" fillId="0" borderId="50" xfId="2" applyFont="1" applyBorder="1" applyAlignment="1" applyProtection="1">
      <alignment vertical="top"/>
      <protection hidden="1"/>
    </xf>
    <xf numFmtId="0" fontId="13" fillId="12" borderId="0" xfId="2" applyFont="1" applyFill="1" applyAlignment="1" applyProtection="1">
      <alignment vertical="top" wrapText="1"/>
      <protection hidden="1"/>
    </xf>
    <xf numFmtId="0" fontId="11" fillId="0" borderId="45" xfId="0" applyFont="1" applyBorder="1" applyAlignment="1" applyProtection="1">
      <alignment horizontal="left" vertical="center" wrapText="1"/>
      <protection hidden="1"/>
    </xf>
    <xf numFmtId="0" fontId="11" fillId="0" borderId="46" xfId="0" applyFont="1" applyBorder="1" applyAlignment="1" applyProtection="1">
      <alignment horizontal="left" vertical="center" wrapText="1"/>
      <protection hidden="1"/>
    </xf>
    <xf numFmtId="0" fontId="11" fillId="0" borderId="25" xfId="0" applyFont="1" applyBorder="1" applyAlignment="1" applyProtection="1">
      <alignment horizontal="left" vertical="center" wrapText="1"/>
      <protection hidden="1"/>
    </xf>
    <xf numFmtId="0" fontId="11" fillId="0" borderId="23" xfId="0" applyFont="1" applyBorder="1" applyAlignment="1" applyProtection="1">
      <alignment vertical="center"/>
      <protection hidden="1"/>
    </xf>
    <xf numFmtId="0" fontId="0" fillId="0" borderId="21" xfId="0" applyBorder="1" applyAlignment="1" applyProtection="1">
      <alignment horizontal="left" vertical="center"/>
      <protection hidden="1"/>
    </xf>
    <xf numFmtId="0" fontId="0" fillId="0" borderId="22" xfId="0" applyBorder="1" applyAlignment="1" applyProtection="1">
      <alignment horizontal="left" vertical="center"/>
      <protection hidden="1"/>
    </xf>
    <xf numFmtId="0" fontId="0" fillId="0" borderId="24" xfId="0" applyBorder="1" applyAlignment="1" applyProtection="1">
      <alignment horizontal="left" vertical="center"/>
      <protection hidden="1"/>
    </xf>
    <xf numFmtId="0" fontId="0" fillId="0" borderId="9" xfId="0" applyBorder="1" applyAlignment="1" applyProtection="1">
      <alignment vertical="center"/>
      <protection hidden="1"/>
    </xf>
    <xf numFmtId="0" fontId="0" fillId="0" borderId="10" xfId="0" applyBorder="1" applyAlignment="1" applyProtection="1">
      <alignment vertical="center"/>
      <protection hidden="1"/>
    </xf>
    <xf numFmtId="0" fontId="0" fillId="2" borderId="23" xfId="0" applyFill="1" applyBorder="1" applyAlignment="1" applyProtection="1">
      <alignment horizontal="left" vertical="center"/>
      <protection hidden="1"/>
    </xf>
    <xf numFmtId="0" fontId="0" fillId="2" borderId="24" xfId="0" applyFill="1" applyBorder="1" applyAlignment="1" applyProtection="1">
      <alignment horizontal="left" vertical="center"/>
      <protection hidden="1"/>
    </xf>
    <xf numFmtId="0" fontId="0" fillId="2" borderId="44" xfId="0" applyFill="1" applyBorder="1" applyAlignment="1" applyProtection="1">
      <alignment horizontal="left" vertical="center"/>
      <protection hidden="1"/>
    </xf>
    <xf numFmtId="0" fontId="0" fillId="2" borderId="45" xfId="0" applyFill="1" applyBorder="1" applyAlignment="1" applyProtection="1">
      <alignment horizontal="left" vertical="center"/>
      <protection hidden="1"/>
    </xf>
    <xf numFmtId="0" fontId="0" fillId="2" borderId="58" xfId="0" applyFill="1" applyBorder="1" applyAlignment="1" applyProtection="1">
      <alignment horizontal="left" vertical="center"/>
      <protection hidden="1"/>
    </xf>
    <xf numFmtId="0" fontId="0" fillId="2" borderId="53" xfId="0" applyFill="1" applyBorder="1" applyAlignment="1" applyProtection="1">
      <alignment horizontal="left" vertical="center"/>
      <protection hidden="1"/>
    </xf>
    <xf numFmtId="0" fontId="11" fillId="2" borderId="45" xfId="0" applyFont="1" applyFill="1" applyBorder="1" applyAlignment="1" applyProtection="1">
      <alignment horizontal="left" vertical="center"/>
      <protection hidden="1"/>
    </xf>
    <xf numFmtId="0" fontId="11" fillId="2" borderId="46" xfId="0" applyFont="1" applyFill="1" applyBorder="1" applyAlignment="1" applyProtection="1">
      <alignment horizontal="left" vertical="center"/>
      <protection hidden="1"/>
    </xf>
    <xf numFmtId="0" fontId="11" fillId="2" borderId="53" xfId="0" applyFont="1" applyFill="1" applyBorder="1" applyAlignment="1" applyProtection="1">
      <alignment horizontal="left" vertical="center"/>
      <protection hidden="1"/>
    </xf>
    <xf numFmtId="0" fontId="11" fillId="2" borderId="51" xfId="0" applyFont="1" applyFill="1" applyBorder="1" applyAlignment="1" applyProtection="1">
      <alignment horizontal="left" vertical="center"/>
      <protection hidden="1"/>
    </xf>
    <xf numFmtId="0" fontId="41" fillId="0" borderId="50" xfId="2" applyFont="1" applyBorder="1" applyAlignment="1" applyProtection="1">
      <alignment vertical="top" wrapText="1"/>
      <protection hidden="1"/>
    </xf>
    <xf numFmtId="0" fontId="11" fillId="3" borderId="9" xfId="2" applyFont="1" applyFill="1" applyBorder="1" applyAlignment="1" applyProtection="1">
      <alignment horizontal="right" vertical="center"/>
      <protection hidden="1"/>
    </xf>
    <xf numFmtId="20" fontId="41" fillId="0" borderId="0" xfId="2" quotePrefix="1" applyNumberFormat="1" applyFont="1" applyAlignment="1" applyProtection="1">
      <alignment vertical="top" wrapText="1"/>
      <protection hidden="1"/>
    </xf>
    <xf numFmtId="0" fontId="0" fillId="3" borderId="3" xfId="2" applyFont="1" applyFill="1" applyBorder="1" applyAlignment="1" applyProtection="1">
      <alignment vertical="center" wrapText="1"/>
      <protection hidden="1"/>
    </xf>
    <xf numFmtId="0" fontId="10" fillId="0" borderId="0" xfId="0" applyFont="1" applyAlignment="1" applyProtection="1">
      <alignment horizontal="center" vertical="center"/>
      <protection hidden="1"/>
    </xf>
    <xf numFmtId="0" fontId="10" fillId="0" borderId="13" xfId="0" applyFont="1" applyBorder="1" applyAlignment="1" applyProtection="1">
      <alignment horizontal="center" vertical="center"/>
      <protection hidden="1"/>
    </xf>
    <xf numFmtId="0" fontId="0" fillId="0" borderId="0" xfId="0" applyAlignment="1" applyProtection="1">
      <alignment horizontal="center" vertical="center" wrapText="1"/>
      <protection hidden="1"/>
    </xf>
    <xf numFmtId="0" fontId="0" fillId="0" borderId="13" xfId="0" applyBorder="1" applyAlignment="1" applyProtection="1">
      <alignment horizontal="center" vertical="center" wrapText="1"/>
      <protection hidden="1"/>
    </xf>
    <xf numFmtId="0" fontId="11" fillId="3" borderId="8" xfId="2" applyFont="1" applyFill="1" applyBorder="1" applyAlignment="1" applyProtection="1">
      <alignment horizontal="right" vertical="center"/>
      <protection hidden="1"/>
    </xf>
    <xf numFmtId="0" fontId="11" fillId="3" borderId="42" xfId="2" applyFont="1" applyFill="1" applyBorder="1" applyAlignment="1" applyProtection="1">
      <alignment horizontal="right" vertical="center"/>
      <protection hidden="1"/>
    </xf>
    <xf numFmtId="0" fontId="43" fillId="15" borderId="0" xfId="1" applyFont="1" applyFill="1" applyAlignment="1" applyProtection="1">
      <alignment horizontal="left" vertical="top" wrapText="1"/>
      <protection hidden="1"/>
    </xf>
    <xf numFmtId="0" fontId="43" fillId="15" borderId="37" xfId="1" applyFont="1" applyFill="1" applyBorder="1" applyAlignment="1" applyProtection="1">
      <alignment horizontal="left" vertical="top" wrapText="1"/>
      <protection hidden="1"/>
    </xf>
    <xf numFmtId="0" fontId="0" fillId="3" borderId="3" xfId="1" applyFont="1" applyFill="1" applyBorder="1" applyAlignment="1" applyProtection="1">
      <alignment vertical="top"/>
      <protection hidden="1"/>
    </xf>
    <xf numFmtId="0" fontId="25" fillId="3" borderId="0" xfId="1" quotePrefix="1" applyFont="1" applyFill="1" applyAlignment="1" applyProtection="1">
      <alignment vertical="top" wrapText="1"/>
      <protection hidden="1"/>
    </xf>
    <xf numFmtId="0" fontId="0" fillId="3" borderId="53" xfId="1" applyFont="1" applyFill="1" applyBorder="1" applyAlignment="1" applyProtection="1">
      <alignment vertical="top"/>
      <protection hidden="1"/>
    </xf>
    <xf numFmtId="0" fontId="44" fillId="0" borderId="50" xfId="1" quotePrefix="1" applyFont="1" applyBorder="1" applyAlignment="1" applyProtection="1">
      <alignment vertical="top"/>
      <protection hidden="1"/>
    </xf>
    <xf numFmtId="0" fontId="25" fillId="3" borderId="50" xfId="1" quotePrefix="1" applyFont="1" applyFill="1" applyBorder="1" applyAlignment="1" applyProtection="1">
      <alignment vertical="top" wrapText="1"/>
      <protection hidden="1"/>
    </xf>
    <xf numFmtId="0" fontId="0" fillId="0" borderId="46" xfId="0" applyBorder="1" applyAlignment="1" applyProtection="1">
      <alignment vertical="center"/>
      <protection hidden="1"/>
    </xf>
    <xf numFmtId="0" fontId="0" fillId="0" borderId="53" xfId="0" applyBorder="1" applyAlignment="1" applyProtection="1">
      <alignment vertical="center" wrapText="1"/>
      <protection hidden="1"/>
    </xf>
    <xf numFmtId="0" fontId="0" fillId="0" borderId="51" xfId="0" applyBorder="1" applyAlignment="1" applyProtection="1">
      <alignment vertical="center" wrapText="1"/>
      <protection hidden="1"/>
    </xf>
    <xf numFmtId="0" fontId="11" fillId="0" borderId="8" xfId="1" applyFont="1" applyBorder="1" applyAlignment="1" applyProtection="1">
      <alignment horizontal="left" vertical="center" wrapText="1"/>
      <protection hidden="1"/>
    </xf>
    <xf numFmtId="0" fontId="11" fillId="0" borderId="9" xfId="1" applyFont="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13" xfId="0" applyBorder="1" applyAlignment="1" applyProtection="1">
      <alignment horizontal="left" vertical="center"/>
      <protection hidden="1"/>
    </xf>
    <xf numFmtId="0" fontId="43" fillId="8" borderId="0" xfId="1" applyFont="1" applyFill="1" applyAlignment="1" applyProtection="1">
      <alignment horizontal="right" vertical="center" wrapText="1"/>
      <protection hidden="1"/>
    </xf>
    <xf numFmtId="0" fontId="43" fillId="8" borderId="0" xfId="1" applyFont="1" applyFill="1" applyAlignment="1" applyProtection="1">
      <alignment horizontal="right" vertical="center"/>
      <protection hidden="1"/>
    </xf>
    <xf numFmtId="0" fontId="43" fillId="8" borderId="37" xfId="1" applyFont="1" applyFill="1" applyBorder="1" applyAlignment="1" applyProtection="1">
      <alignment horizontal="right" vertical="center"/>
      <protection hidden="1"/>
    </xf>
    <xf numFmtId="0" fontId="11" fillId="3" borderId="8" xfId="1" applyFont="1" applyFill="1" applyBorder="1" applyAlignment="1" applyProtection="1">
      <alignment horizontal="right" vertical="center"/>
      <protection hidden="1"/>
    </xf>
    <xf numFmtId="0" fontId="11" fillId="3" borderId="9" xfId="1" applyFont="1" applyFill="1" applyBorder="1" applyAlignment="1" applyProtection="1">
      <alignment horizontal="right" vertical="center"/>
      <protection hidden="1"/>
    </xf>
    <xf numFmtId="0" fontId="11" fillId="3" borderId="42" xfId="1" applyFont="1" applyFill="1" applyBorder="1" applyAlignment="1" applyProtection="1">
      <alignment horizontal="right" vertical="center"/>
      <protection hidden="1"/>
    </xf>
    <xf numFmtId="0" fontId="25" fillId="4" borderId="0" xfId="1" quotePrefix="1" applyFont="1" applyFill="1" applyAlignment="1" applyProtection="1">
      <alignment vertical="top" wrapText="1"/>
      <protection locked="0"/>
    </xf>
    <xf numFmtId="0" fontId="25" fillId="3" borderId="6" xfId="1" quotePrefix="1" applyFont="1" applyFill="1" applyBorder="1" applyAlignment="1" applyProtection="1">
      <alignment vertical="top" wrapText="1"/>
      <protection hidden="1"/>
    </xf>
    <xf numFmtId="0" fontId="58" fillId="15" borderId="0" xfId="0" applyFont="1" applyFill="1" applyAlignment="1" applyProtection="1">
      <alignment horizontal="center" vertical="center" textRotation="90"/>
      <protection hidden="1"/>
    </xf>
    <xf numFmtId="0" fontId="11" fillId="3" borderId="8" xfId="1" applyFont="1" applyFill="1" applyBorder="1" applyAlignment="1" applyProtection="1">
      <alignment horizontal="right" vertical="center" wrapText="1"/>
      <protection hidden="1"/>
    </xf>
    <xf numFmtId="0" fontId="0" fillId="0" borderId="6" xfId="0" applyBorder="1" applyAlignment="1" applyProtection="1">
      <alignment vertical="center" wrapText="1"/>
      <protection hidden="1"/>
    </xf>
    <xf numFmtId="0" fontId="0" fillId="0" borderId="7" xfId="0" applyBorder="1" applyAlignment="1" applyProtection="1">
      <alignment vertical="center" wrapText="1"/>
      <protection hidden="1"/>
    </xf>
    <xf numFmtId="0" fontId="11" fillId="0" borderId="22" xfId="0" applyFont="1" applyBorder="1" applyAlignment="1" applyProtection="1">
      <alignment horizontal="left" vertical="center" wrapText="1"/>
      <protection hidden="1"/>
    </xf>
    <xf numFmtId="0" fontId="11" fillId="0" borderId="48" xfId="0" applyFont="1" applyBorder="1" applyAlignment="1" applyProtection="1">
      <alignment horizontal="left" vertical="center" wrapText="1"/>
      <protection hidden="1"/>
    </xf>
    <xf numFmtId="0" fontId="44" fillId="0" borderId="50" xfId="1" quotePrefix="1" applyFont="1" applyBorder="1" applyAlignment="1" applyProtection="1">
      <alignment vertical="top" wrapText="1"/>
      <protection hidden="1"/>
    </xf>
    <xf numFmtId="0" fontId="44" fillId="0" borderId="61" xfId="1" quotePrefix="1" applyFont="1" applyBorder="1" applyAlignment="1" applyProtection="1">
      <alignment vertical="top" wrapText="1"/>
      <protection hidden="1"/>
    </xf>
    <xf numFmtId="0" fontId="44" fillId="0" borderId="6" xfId="1" quotePrefix="1" applyFont="1" applyBorder="1" applyAlignment="1" applyProtection="1">
      <alignment vertical="top"/>
      <protection hidden="1"/>
    </xf>
    <xf numFmtId="0" fontId="43" fillId="14" borderId="0" xfId="1" applyFont="1" applyFill="1" applyAlignment="1" applyProtection="1">
      <alignment horizontal="right" vertical="center" wrapText="1"/>
      <protection hidden="1"/>
    </xf>
    <xf numFmtId="0" fontId="43" fillId="14" borderId="0" xfId="1" applyFont="1" applyFill="1" applyAlignment="1" applyProtection="1">
      <alignment horizontal="right" vertical="center"/>
      <protection hidden="1"/>
    </xf>
    <xf numFmtId="0" fontId="43" fillId="14" borderId="37" xfId="1" applyFont="1" applyFill="1" applyBorder="1" applyAlignment="1" applyProtection="1">
      <alignment horizontal="right" vertical="center"/>
      <protection hidden="1"/>
    </xf>
    <xf numFmtId="0" fontId="44" fillId="0" borderId="0" xfId="1" quotePrefix="1" applyFont="1" applyAlignment="1" applyProtection="1">
      <alignment vertical="top"/>
      <protection hidden="1"/>
    </xf>
    <xf numFmtId="0" fontId="25" fillId="4" borderId="0" xfId="1" quotePrefix="1" applyFont="1" applyFill="1" applyAlignment="1" applyProtection="1">
      <alignment vertical="top"/>
      <protection locked="0"/>
    </xf>
    <xf numFmtId="0" fontId="43" fillId="16" borderId="0" xfId="1" applyFont="1" applyFill="1" applyAlignment="1" applyProtection="1">
      <alignment horizontal="left" vertical="top" wrapText="1"/>
      <protection hidden="1"/>
    </xf>
    <xf numFmtId="0" fontId="43" fillId="16" borderId="37" xfId="1" applyFont="1" applyFill="1" applyBorder="1" applyAlignment="1" applyProtection="1">
      <alignment horizontal="left" vertical="top" wrapText="1"/>
      <protection hidden="1"/>
    </xf>
    <xf numFmtId="0" fontId="58" fillId="16" borderId="0" xfId="0" applyFont="1" applyFill="1" applyAlignment="1" applyProtection="1">
      <alignment horizontal="center" vertical="center" textRotation="90"/>
      <protection hidden="1"/>
    </xf>
    <xf numFmtId="0" fontId="0" fillId="0" borderId="4" xfId="0" applyBorder="1" applyAlignment="1" applyProtection="1">
      <alignment vertical="center"/>
      <protection hidden="1"/>
    </xf>
    <xf numFmtId="0" fontId="0" fillId="0" borderId="3" xfId="0" applyBorder="1" applyAlignment="1" applyProtection="1">
      <alignment vertical="center" wrapText="1"/>
      <protection hidden="1"/>
    </xf>
    <xf numFmtId="0" fontId="0" fillId="0" borderId="4" xfId="0" applyBorder="1" applyAlignment="1" applyProtection="1">
      <alignment vertical="center" wrapText="1"/>
      <protection hidden="1"/>
    </xf>
    <xf numFmtId="0" fontId="22" fillId="0" borderId="53" xfId="1" applyFont="1" applyBorder="1" applyAlignment="1" applyProtection="1">
      <alignment vertical="center"/>
      <protection hidden="1"/>
    </xf>
    <xf numFmtId="0" fontId="44" fillId="0" borderId="0" xfId="1" quotePrefix="1" applyFont="1" applyAlignment="1" applyProtection="1">
      <alignment vertical="top" wrapText="1"/>
      <protection hidden="1"/>
    </xf>
    <xf numFmtId="0" fontId="22" fillId="0" borderId="53" xfId="1" applyFont="1" applyBorder="1" applyAlignment="1" applyProtection="1">
      <alignment vertical="top"/>
      <protection hidden="1"/>
    </xf>
    <xf numFmtId="0" fontId="11" fillId="9" borderId="0" xfId="0" applyFont="1" applyFill="1" applyAlignment="1" applyProtection="1">
      <alignment vertical="top" wrapText="1"/>
      <protection hidden="1"/>
    </xf>
    <xf numFmtId="0" fontId="11" fillId="2" borderId="24" xfId="0" applyFont="1" applyFill="1" applyBorder="1" applyAlignment="1" applyProtection="1">
      <alignment horizontal="left" vertical="center"/>
      <protection hidden="1"/>
    </xf>
    <xf numFmtId="0" fontId="11" fillId="2" borderId="22" xfId="0" applyFont="1" applyFill="1" applyBorder="1" applyAlignment="1" applyProtection="1">
      <alignment vertical="center"/>
      <protection hidden="1"/>
    </xf>
    <xf numFmtId="0" fontId="11" fillId="2" borderId="48" xfId="0" applyFont="1" applyFill="1" applyBorder="1" applyAlignment="1" applyProtection="1">
      <alignment vertical="center"/>
      <protection hidden="1"/>
    </xf>
    <xf numFmtId="0" fontId="58" fillId="9" borderId="0" xfId="0" applyFont="1" applyFill="1" applyAlignment="1" applyProtection="1">
      <alignment horizontal="center" vertical="center" textRotation="90"/>
      <protection hidden="1"/>
    </xf>
    <xf numFmtId="4" fontId="0" fillId="5" borderId="59" xfId="1" applyNumberFormat="1" applyFont="1" applyFill="1" applyBorder="1" applyAlignment="1" applyProtection="1">
      <alignment horizontal="center" vertical="top"/>
      <protection locked="0"/>
    </xf>
    <xf numFmtId="4" fontId="0" fillId="5" borderId="52" xfId="1" applyNumberFormat="1" applyFont="1" applyFill="1" applyBorder="1" applyAlignment="1" applyProtection="1">
      <alignment horizontal="center" vertical="top"/>
      <protection locked="0"/>
    </xf>
    <xf numFmtId="0" fontId="11" fillId="3" borderId="18" xfId="1" applyFont="1" applyFill="1" applyBorder="1" applyAlignment="1" applyProtection="1">
      <alignment horizontal="right" vertical="center"/>
      <protection hidden="1"/>
    </xf>
    <xf numFmtId="4" fontId="0" fillId="5" borderId="37" xfId="1" applyNumberFormat="1" applyFont="1" applyFill="1" applyBorder="1" applyAlignment="1" applyProtection="1">
      <alignment horizontal="center" vertical="top"/>
      <protection locked="0"/>
    </xf>
    <xf numFmtId="4" fontId="0" fillId="5" borderId="36" xfId="1" applyNumberFormat="1" applyFont="1" applyFill="1" applyBorder="1" applyAlignment="1" applyProtection="1">
      <alignment horizontal="center" vertical="top"/>
      <protection locked="0"/>
    </xf>
    <xf numFmtId="4" fontId="0" fillId="5" borderId="34" xfId="1" applyNumberFormat="1" applyFont="1" applyFill="1" applyBorder="1" applyAlignment="1" applyProtection="1">
      <alignment horizontal="center" vertical="top"/>
      <protection locked="0"/>
    </xf>
    <xf numFmtId="4" fontId="0" fillId="5" borderId="33" xfId="1" applyNumberFormat="1" applyFont="1" applyFill="1" applyBorder="1" applyAlignment="1" applyProtection="1">
      <alignment horizontal="center" vertical="top"/>
      <protection locked="0"/>
    </xf>
    <xf numFmtId="49" fontId="25" fillId="3" borderId="0" xfId="1" applyNumberFormat="1" applyFont="1" applyFill="1" applyAlignment="1" applyProtection="1">
      <alignment vertical="top" wrapText="1"/>
      <protection hidden="1"/>
    </xf>
    <xf numFmtId="49" fontId="25" fillId="3" borderId="37" xfId="1" applyNumberFormat="1" applyFont="1" applyFill="1" applyBorder="1" applyAlignment="1" applyProtection="1">
      <alignment vertical="top" wrapText="1"/>
      <protection hidden="1"/>
    </xf>
    <xf numFmtId="0" fontId="11" fillId="19" borderId="9" xfId="1" applyFont="1" applyFill="1" applyBorder="1" applyAlignment="1" applyProtection="1">
      <alignment horizontal="right" vertical="center"/>
      <protection hidden="1"/>
    </xf>
    <xf numFmtId="0" fontId="14" fillId="18" borderId="9" xfId="1" applyFont="1" applyFill="1" applyBorder="1" applyAlignment="1" applyProtection="1">
      <alignment horizontal="right" vertical="center"/>
      <protection hidden="1"/>
    </xf>
    <xf numFmtId="0" fontId="11" fillId="19" borderId="18" xfId="1" applyFont="1" applyFill="1" applyBorder="1" applyAlignment="1" applyProtection="1">
      <alignment horizontal="right" vertical="center"/>
      <protection hidden="1"/>
    </xf>
    <xf numFmtId="167" fontId="25" fillId="0" borderId="0" xfId="0" applyNumberFormat="1" applyFont="1" applyAlignment="1" applyProtection="1">
      <alignment horizontal="left" vertical="top"/>
      <protection hidden="1"/>
    </xf>
    <xf numFmtId="49" fontId="25" fillId="3" borderId="0" xfId="1" applyNumberFormat="1" applyFont="1" applyFill="1" applyAlignment="1" applyProtection="1">
      <alignment vertical="center" wrapText="1"/>
      <protection hidden="1"/>
    </xf>
    <xf numFmtId="49" fontId="25" fillId="3" borderId="37" xfId="1" applyNumberFormat="1" applyFont="1" applyFill="1" applyBorder="1" applyAlignment="1" applyProtection="1">
      <alignment vertical="center" wrapText="1"/>
      <protection hidden="1"/>
    </xf>
    <xf numFmtId="49" fontId="25" fillId="3" borderId="0" xfId="1" applyNumberFormat="1" applyFont="1" applyFill="1" applyAlignment="1" applyProtection="1">
      <alignment horizontal="left" vertical="top" wrapText="1"/>
      <protection hidden="1"/>
    </xf>
    <xf numFmtId="49" fontId="25" fillId="3" borderId="37" xfId="1" applyNumberFormat="1" applyFont="1" applyFill="1" applyBorder="1" applyAlignment="1" applyProtection="1">
      <alignment horizontal="left" vertical="top" wrapText="1"/>
      <protection hidden="1"/>
    </xf>
    <xf numFmtId="0" fontId="58" fillId="10" borderId="0" xfId="0" applyFont="1" applyFill="1" applyAlignment="1" applyProtection="1">
      <alignment horizontal="center" vertical="center" textRotation="90"/>
      <protection hidden="1"/>
    </xf>
    <xf numFmtId="49" fontId="25" fillId="3" borderId="0" xfId="1" applyNumberFormat="1" applyFont="1" applyFill="1" applyAlignment="1" applyProtection="1">
      <alignment horizontal="left" vertical="center" wrapText="1"/>
      <protection hidden="1"/>
    </xf>
    <xf numFmtId="49" fontId="25" fillId="3" borderId="37" xfId="1" applyNumberFormat="1" applyFont="1" applyFill="1" applyBorder="1" applyAlignment="1" applyProtection="1">
      <alignment horizontal="left" vertical="center" wrapText="1"/>
      <protection hidden="1"/>
    </xf>
    <xf numFmtId="49" fontId="43" fillId="8" borderId="0" xfId="1" applyNumberFormat="1" applyFont="1" applyFill="1" applyAlignment="1" applyProtection="1">
      <alignment horizontal="right" vertical="center"/>
      <protection hidden="1"/>
    </xf>
    <xf numFmtId="49" fontId="27" fillId="18" borderId="0" xfId="1" applyNumberFormat="1" applyFont="1" applyFill="1" applyAlignment="1" applyProtection="1">
      <alignment horizontal="right" vertical="center"/>
      <protection hidden="1"/>
    </xf>
    <xf numFmtId="0" fontId="11" fillId="10" borderId="0" xfId="0" applyFont="1" applyFill="1" applyAlignment="1" applyProtection="1">
      <alignment horizontal="left" vertical="top" wrapText="1"/>
      <protection hidden="1"/>
    </xf>
    <xf numFmtId="0" fontId="57" fillId="10" borderId="0" xfId="0" applyFont="1" applyFill="1" applyAlignment="1" applyProtection="1">
      <alignment horizontal="right" wrapText="1"/>
      <protection hidden="1"/>
    </xf>
    <xf numFmtId="4" fontId="11" fillId="10" borderId="38" xfId="0" applyNumberFormat="1" applyFont="1" applyFill="1" applyBorder="1" applyAlignment="1" applyProtection="1">
      <alignment horizontal="center" vertical="top" wrapText="1"/>
      <protection hidden="1"/>
    </xf>
    <xf numFmtId="4" fontId="11" fillId="10" borderId="38" xfId="0" applyNumberFormat="1" applyFont="1" applyFill="1" applyBorder="1" applyAlignment="1" applyProtection="1">
      <alignment horizontal="center" vertical="top"/>
      <protection hidden="1"/>
    </xf>
    <xf numFmtId="0" fontId="11" fillId="11" borderId="0" xfId="0" applyFont="1" applyFill="1" applyAlignment="1" applyProtection="1">
      <alignment horizontal="left" vertical="top" wrapText="1"/>
      <protection hidden="1"/>
    </xf>
    <xf numFmtId="4" fontId="11" fillId="11" borderId="38" xfId="0" applyNumberFormat="1" applyFont="1" applyFill="1" applyBorder="1" applyAlignment="1" applyProtection="1">
      <alignment horizontal="center" vertical="top" wrapText="1"/>
      <protection hidden="1"/>
    </xf>
    <xf numFmtId="4" fontId="11" fillId="11" borderId="38" xfId="0" applyNumberFormat="1" applyFont="1" applyFill="1" applyBorder="1" applyAlignment="1" applyProtection="1">
      <alignment horizontal="center" vertical="top"/>
      <protection hidden="1"/>
    </xf>
    <xf numFmtId="49" fontId="25" fillId="3" borderId="0" xfId="1" applyNumberFormat="1" applyFont="1" applyFill="1" applyAlignment="1" applyProtection="1">
      <alignment vertical="top"/>
      <protection hidden="1"/>
    </xf>
    <xf numFmtId="49" fontId="25" fillId="3" borderId="37" xfId="1" applyNumberFormat="1" applyFont="1" applyFill="1" applyBorder="1" applyAlignment="1" applyProtection="1">
      <alignment vertical="top"/>
      <protection hidden="1"/>
    </xf>
    <xf numFmtId="0" fontId="58" fillId="11" borderId="0" xfId="0" applyFont="1" applyFill="1" applyAlignment="1" applyProtection="1">
      <alignment horizontal="center" vertical="center" textRotation="90"/>
      <protection hidden="1"/>
    </xf>
    <xf numFmtId="0" fontId="57" fillId="11" borderId="0" xfId="0" applyFont="1" applyFill="1" applyAlignment="1" applyProtection="1">
      <alignment horizontal="right" wrapText="1"/>
      <protection hidden="1"/>
    </xf>
    <xf numFmtId="0" fontId="11" fillId="0" borderId="8" xfId="12" applyFont="1" applyBorder="1" applyAlignment="1" applyProtection="1">
      <alignment vertical="center" wrapText="1"/>
      <protection hidden="1"/>
    </xf>
    <xf numFmtId="0" fontId="11" fillId="0" borderId="2" xfId="12" applyFont="1" applyBorder="1" applyAlignment="1" applyProtection="1">
      <alignment horizontal="left" vertical="top" wrapText="1"/>
      <protection hidden="1"/>
    </xf>
    <xf numFmtId="0" fontId="24" fillId="0" borderId="3" xfId="12" applyFont="1" applyBorder="1" applyAlignment="1" applyProtection="1">
      <alignment horizontal="left" vertical="top"/>
      <protection hidden="1"/>
    </xf>
    <xf numFmtId="0" fontId="24" fillId="0" borderId="4" xfId="12" applyFont="1" applyBorder="1" applyAlignment="1" applyProtection="1">
      <alignment horizontal="left" vertical="top"/>
      <protection hidden="1"/>
    </xf>
    <xf numFmtId="0" fontId="11" fillId="18" borderId="8" xfId="12" applyFont="1" applyFill="1" applyBorder="1" applyAlignment="1" applyProtection="1">
      <alignment horizontal="right" vertical="center"/>
      <protection hidden="1"/>
    </xf>
    <xf numFmtId="49" fontId="8" fillId="3" borderId="58" xfId="12" applyNumberFormat="1" applyFont="1" applyFill="1" applyBorder="1" applyAlignment="1" applyProtection="1">
      <alignment horizontal="right"/>
      <protection hidden="1"/>
    </xf>
    <xf numFmtId="49" fontId="8" fillId="3" borderId="59" xfId="12" applyNumberFormat="1" applyFont="1" applyFill="1" applyBorder="1" applyAlignment="1" applyProtection="1">
      <alignment horizontal="right"/>
      <protection hidden="1"/>
    </xf>
    <xf numFmtId="0" fontId="14" fillId="0" borderId="8" xfId="12" applyFont="1" applyBorder="1" applyAlignment="1" applyProtection="1">
      <alignment vertical="center" wrapText="1"/>
      <protection hidden="1"/>
    </xf>
    <xf numFmtId="49" fontId="8" fillId="3" borderId="2" xfId="12" applyNumberFormat="1" applyFont="1" applyFill="1" applyBorder="1" applyAlignment="1" applyProtection="1">
      <alignment horizontal="right"/>
      <protection hidden="1"/>
    </xf>
    <xf numFmtId="49" fontId="8" fillId="3" borderId="34" xfId="12" applyNumberFormat="1" applyFont="1" applyFill="1" applyBorder="1" applyAlignment="1" applyProtection="1">
      <alignment horizontal="right"/>
      <protection hidden="1"/>
    </xf>
    <xf numFmtId="0" fontId="43" fillId="18" borderId="5" xfId="12" applyFont="1" applyFill="1" applyBorder="1" applyAlignment="1" applyProtection="1">
      <alignment horizontal="right" vertical="center"/>
      <protection hidden="1"/>
    </xf>
    <xf numFmtId="0" fontId="43" fillId="18" borderId="6" xfId="12" applyFont="1" applyFill="1" applyBorder="1" applyAlignment="1" applyProtection="1">
      <alignment horizontal="right" vertical="center"/>
      <protection hidden="1"/>
    </xf>
    <xf numFmtId="0" fontId="18" fillId="0" borderId="0" xfId="0" applyFont="1" applyAlignment="1" applyProtection="1">
      <alignment vertical="top" wrapText="1"/>
      <protection hidden="1"/>
    </xf>
    <xf numFmtId="0" fontId="18" fillId="0" borderId="13" xfId="0" applyFont="1" applyBorder="1" applyAlignment="1" applyProtection="1">
      <alignment vertical="top" wrapText="1"/>
      <protection hidden="1"/>
    </xf>
    <xf numFmtId="0" fontId="0" fillId="5" borderId="23" xfId="0" applyFill="1" applyBorder="1" applyAlignment="1" applyProtection="1">
      <alignment horizontal="left" vertical="top"/>
      <protection locked="0"/>
    </xf>
    <xf numFmtId="0" fontId="0" fillId="5" borderId="25" xfId="0" applyFill="1" applyBorder="1" applyAlignment="1" applyProtection="1">
      <alignment horizontal="left" vertical="top"/>
      <protection locked="0"/>
    </xf>
    <xf numFmtId="0" fontId="25" fillId="0" borderId="45" xfId="0" applyFont="1" applyBorder="1" applyAlignment="1" applyProtection="1">
      <alignment vertical="top"/>
      <protection hidden="1"/>
    </xf>
    <xf numFmtId="0" fontId="25" fillId="0" borderId="0" xfId="0" applyFont="1" applyAlignment="1" applyProtection="1">
      <alignment vertical="top"/>
      <protection hidden="1"/>
    </xf>
    <xf numFmtId="0" fontId="0" fillId="5" borderId="5" xfId="0" applyFill="1" applyBorder="1" applyAlignment="1" applyProtection="1">
      <alignment horizontal="left" vertical="top"/>
      <protection locked="0"/>
    </xf>
    <xf numFmtId="0" fontId="0" fillId="5" borderId="7" xfId="0" applyFill="1" applyBorder="1" applyAlignment="1" applyProtection="1">
      <alignment horizontal="left" vertical="top"/>
      <protection locked="0"/>
    </xf>
    <xf numFmtId="16" fontId="0" fillId="0" borderId="58" xfId="0" quotePrefix="1" applyNumberFormat="1" applyBorder="1" applyAlignment="1" applyProtection="1">
      <alignment horizontal="left" vertical="top" wrapText="1"/>
      <protection hidden="1"/>
    </xf>
    <xf numFmtId="16" fontId="0" fillId="0" borderId="53" xfId="0" quotePrefix="1" applyNumberFormat="1" applyBorder="1" applyAlignment="1" applyProtection="1">
      <alignment horizontal="left" vertical="top" wrapText="1"/>
      <protection hidden="1"/>
    </xf>
    <xf numFmtId="16" fontId="0" fillId="0" borderId="22" xfId="0" quotePrefix="1" applyNumberFormat="1" applyBorder="1" applyAlignment="1" applyProtection="1">
      <alignment horizontal="left" vertical="top" wrapText="1"/>
      <protection hidden="1"/>
    </xf>
    <xf numFmtId="16" fontId="0" fillId="0" borderId="0" xfId="0" quotePrefix="1" applyNumberFormat="1" applyAlignment="1" applyProtection="1">
      <alignment horizontal="left" vertical="top" wrapText="1"/>
      <protection hidden="1"/>
    </xf>
    <xf numFmtId="0" fontId="0" fillId="0" borderId="58" xfId="0" applyBorder="1" applyAlignment="1" applyProtection="1">
      <alignment horizontal="left" vertical="center" wrapText="1"/>
      <protection hidden="1"/>
    </xf>
    <xf numFmtId="0" fontId="0" fillId="0" borderId="53" xfId="0" applyBorder="1" applyAlignment="1" applyProtection="1">
      <alignment horizontal="left" vertical="center" wrapText="1"/>
      <protection hidden="1"/>
    </xf>
    <xf numFmtId="0" fontId="0" fillId="0" borderId="51" xfId="0" applyBorder="1" applyAlignment="1" applyProtection="1">
      <alignment horizontal="left" vertical="center" wrapText="1"/>
      <protection hidden="1"/>
    </xf>
    <xf numFmtId="0" fontId="0" fillId="0" borderId="0" xfId="0" applyAlignment="1" applyProtection="1">
      <alignment horizontal="left" vertical="top" wrapText="1"/>
      <protection hidden="1"/>
    </xf>
    <xf numFmtId="0" fontId="59" fillId="13" borderId="4" xfId="0" applyFont="1" applyFill="1" applyBorder="1" applyAlignment="1" applyProtection="1">
      <alignment horizontal="center" vertical="center" textRotation="90"/>
      <protection hidden="1"/>
    </xf>
    <xf numFmtId="0" fontId="59" fillId="13" borderId="13" xfId="0" applyFont="1" applyFill="1" applyBorder="1" applyAlignment="1" applyProtection="1">
      <alignment horizontal="center" vertical="center" textRotation="90"/>
      <protection hidden="1"/>
    </xf>
    <xf numFmtId="0" fontId="0" fillId="0" borderId="56" xfId="0" applyBorder="1" applyAlignment="1" applyProtection="1">
      <alignment vertical="top"/>
      <protection hidden="1"/>
    </xf>
    <xf numFmtId="0" fontId="0" fillId="0" borderId="50" xfId="0" applyBorder="1" applyAlignment="1" applyProtection="1">
      <alignment vertical="top"/>
      <protection hidden="1"/>
    </xf>
    <xf numFmtId="0" fontId="0" fillId="0" borderId="0" xfId="0" applyAlignment="1" applyProtection="1">
      <alignment vertical="top"/>
      <protection hidden="1"/>
    </xf>
    <xf numFmtId="0" fontId="11" fillId="0" borderId="53" xfId="0" applyFont="1" applyBorder="1" applyAlignment="1" applyProtection="1">
      <alignment vertical="center"/>
      <protection hidden="1"/>
    </xf>
    <xf numFmtId="0" fontId="11" fillId="0" borderId="51" xfId="0" applyFont="1" applyBorder="1" applyAlignment="1" applyProtection="1">
      <alignment vertical="center"/>
      <protection hidden="1"/>
    </xf>
    <xf numFmtId="0" fontId="43" fillId="8" borderId="50" xfId="0" applyFont="1" applyFill="1" applyBorder="1" applyAlignment="1" applyProtection="1">
      <alignment vertical="top" wrapText="1"/>
      <protection hidden="1"/>
    </xf>
    <xf numFmtId="0" fontId="9" fillId="0" borderId="8" xfId="0" applyFont="1" applyBorder="1" applyAlignment="1" applyProtection="1">
      <alignment horizontal="center" vertical="top"/>
      <protection locked="0"/>
    </xf>
    <xf numFmtId="0" fontId="9" fillId="0" borderId="9" xfId="0" applyFont="1" applyBorder="1" applyAlignment="1" applyProtection="1">
      <alignment horizontal="center" vertical="top"/>
      <protection locked="0"/>
    </xf>
    <xf numFmtId="0" fontId="9" fillId="0" borderId="10" xfId="0" applyFont="1" applyBorder="1" applyAlignment="1" applyProtection="1">
      <alignment horizontal="center" vertical="top"/>
      <protection locked="0"/>
    </xf>
    <xf numFmtId="0" fontId="0" fillId="3" borderId="2" xfId="0" applyFill="1" applyBorder="1" applyAlignment="1" applyProtection="1">
      <alignment horizontal="left" vertical="top" wrapText="1"/>
      <protection hidden="1"/>
    </xf>
    <xf numFmtId="0" fontId="0" fillId="3" borderId="3" xfId="0" applyFill="1" applyBorder="1" applyAlignment="1" applyProtection="1">
      <alignment horizontal="left" vertical="top" wrapText="1"/>
      <protection hidden="1"/>
    </xf>
    <xf numFmtId="0" fontId="0" fillId="3" borderId="5" xfId="0" applyFill="1" applyBorder="1" applyAlignment="1" applyProtection="1">
      <alignment horizontal="left" vertical="top" wrapText="1"/>
      <protection hidden="1"/>
    </xf>
    <xf numFmtId="0" fontId="0" fillId="3" borderId="6" xfId="0" applyFill="1" applyBorder="1" applyAlignment="1" applyProtection="1">
      <alignment horizontal="left" vertical="top" wrapText="1"/>
      <protection hidden="1"/>
    </xf>
    <xf numFmtId="0" fontId="13" fillId="0" borderId="8" xfId="0" applyFont="1" applyBorder="1" applyAlignment="1" applyProtection="1">
      <alignment horizontal="center" vertical="center" wrapText="1"/>
      <protection hidden="1"/>
    </xf>
    <xf numFmtId="0" fontId="13" fillId="0" borderId="9" xfId="0" applyFont="1" applyBorder="1" applyAlignment="1" applyProtection="1">
      <alignment horizontal="center" vertical="center" wrapText="1"/>
      <protection hidden="1"/>
    </xf>
    <xf numFmtId="0" fontId="13" fillId="0" borderId="10" xfId="0" applyFont="1" applyBorder="1" applyAlignment="1" applyProtection="1">
      <alignment horizontal="center" vertical="center" wrapText="1"/>
      <protection hidden="1"/>
    </xf>
    <xf numFmtId="0" fontId="11" fillId="3" borderId="8" xfId="0" applyFont="1" applyFill="1" applyBorder="1" applyAlignment="1" applyProtection="1">
      <alignment vertical="center"/>
      <protection hidden="1"/>
    </xf>
    <xf numFmtId="0" fontId="11" fillId="3" borderId="10" xfId="0" applyFont="1" applyFill="1" applyBorder="1" applyAlignment="1" applyProtection="1">
      <alignment vertical="center"/>
      <protection hidden="1"/>
    </xf>
    <xf numFmtId="0" fontId="11" fillId="0" borderId="22" xfId="0" applyFont="1" applyBorder="1" applyAlignment="1" applyProtection="1">
      <alignment vertical="center"/>
      <protection hidden="1"/>
    </xf>
    <xf numFmtId="0" fontId="11" fillId="0" borderId="48" xfId="0" applyFont="1" applyBorder="1" applyAlignment="1" applyProtection="1">
      <alignment vertical="center"/>
      <protection hidden="1"/>
    </xf>
    <xf numFmtId="16" fontId="13" fillId="0" borderId="14" xfId="0" applyNumberFormat="1" applyFont="1" applyBorder="1" applyAlignment="1" applyProtection="1">
      <alignment horizontal="center" vertical="top" wrapText="1"/>
      <protection hidden="1"/>
    </xf>
    <xf numFmtId="16" fontId="13" fillId="0" borderId="12" xfId="0" applyNumberFormat="1" applyFont="1" applyBorder="1" applyAlignment="1" applyProtection="1">
      <alignment horizontal="center" vertical="top" wrapText="1"/>
      <protection hidden="1"/>
    </xf>
    <xf numFmtId="0" fontId="13" fillId="0" borderId="2" xfId="0" applyFont="1" applyBorder="1" applyAlignment="1" applyProtection="1">
      <alignment horizontal="center" vertical="center"/>
      <protection hidden="1"/>
    </xf>
    <xf numFmtId="0" fontId="13" fillId="0" borderId="4" xfId="0" applyFont="1" applyBorder="1" applyAlignment="1" applyProtection="1">
      <alignment horizontal="center" vertical="center"/>
      <protection hidden="1"/>
    </xf>
    <xf numFmtId="0" fontId="11" fillId="0" borderId="45" xfId="0" applyFont="1" applyBorder="1" applyAlignment="1" applyProtection="1">
      <alignment vertical="center"/>
      <protection hidden="1"/>
    </xf>
    <xf numFmtId="0" fontId="11" fillId="0" borderId="46" xfId="0" applyFont="1" applyBorder="1" applyAlignment="1" applyProtection="1">
      <alignment vertical="center"/>
      <protection hidden="1"/>
    </xf>
    <xf numFmtId="4" fontId="25" fillId="3" borderId="6" xfId="0" applyNumberFormat="1" applyFont="1" applyFill="1" applyBorder="1" applyAlignment="1" applyProtection="1">
      <alignment horizontal="right" vertical="center"/>
      <protection hidden="1"/>
    </xf>
    <xf numFmtId="4" fontId="25" fillId="3" borderId="7" xfId="0" applyNumberFormat="1" applyFont="1" applyFill="1" applyBorder="1" applyAlignment="1" applyProtection="1">
      <alignment horizontal="right" vertical="center"/>
      <protection hidden="1"/>
    </xf>
    <xf numFmtId="0" fontId="13" fillId="0" borderId="14" xfId="0" applyFont="1" applyBorder="1" applyAlignment="1" applyProtection="1">
      <alignment horizontal="center" vertical="top" wrapText="1"/>
      <protection hidden="1"/>
    </xf>
    <xf numFmtId="0" fontId="0" fillId="0" borderId="12" xfId="0" applyBorder="1" applyAlignment="1">
      <alignment vertical="top" wrapText="1"/>
    </xf>
    <xf numFmtId="0" fontId="43" fillId="0" borderId="9" xfId="0" applyFont="1" applyBorder="1"/>
    <xf numFmtId="0" fontId="13" fillId="3" borderId="2" xfId="0" applyFont="1" applyFill="1" applyBorder="1" applyAlignment="1" applyProtection="1">
      <alignment horizontal="left" vertical="center" wrapText="1"/>
      <protection hidden="1"/>
    </xf>
    <xf numFmtId="0" fontId="13" fillId="3" borderId="3" xfId="0" applyFont="1" applyFill="1" applyBorder="1" applyAlignment="1" applyProtection="1">
      <alignment horizontal="left" vertical="center" wrapText="1"/>
      <protection hidden="1"/>
    </xf>
    <xf numFmtId="0" fontId="13" fillId="3" borderId="4" xfId="0" applyFont="1" applyFill="1" applyBorder="1" applyAlignment="1" applyProtection="1">
      <alignment horizontal="left" vertical="center" wrapText="1"/>
      <protection hidden="1"/>
    </xf>
    <xf numFmtId="0" fontId="58" fillId="8" borderId="0" xfId="0" applyFont="1" applyFill="1" applyAlignment="1" applyProtection="1">
      <alignment horizontal="center" vertical="center" textRotation="90" wrapText="1"/>
      <protection hidden="1"/>
    </xf>
    <xf numFmtId="0" fontId="13" fillId="4" borderId="47" xfId="0" applyFont="1" applyFill="1" applyBorder="1" applyAlignment="1" applyProtection="1">
      <alignment vertical="center"/>
      <protection locked="0"/>
    </xf>
    <xf numFmtId="0" fontId="13" fillId="4" borderId="65" xfId="0" applyFont="1" applyFill="1" applyBorder="1" applyAlignment="1" applyProtection="1">
      <alignment vertical="center"/>
      <protection locked="0"/>
    </xf>
    <xf numFmtId="0" fontId="13" fillId="4" borderId="15" xfId="0" applyFont="1" applyFill="1" applyBorder="1" applyAlignment="1" applyProtection="1">
      <alignment vertical="center"/>
      <protection locked="0"/>
    </xf>
    <xf numFmtId="0" fontId="13" fillId="4" borderId="76" xfId="0" applyFont="1" applyFill="1" applyBorder="1" applyAlignment="1" applyProtection="1">
      <alignment vertical="center"/>
      <protection locked="0"/>
    </xf>
    <xf numFmtId="0" fontId="13" fillId="4" borderId="21" xfId="0" applyFont="1" applyFill="1" applyBorder="1" applyAlignment="1" applyProtection="1">
      <alignment vertical="center"/>
      <protection locked="0"/>
    </xf>
    <xf numFmtId="0" fontId="13" fillId="4" borderId="22" xfId="0" applyFont="1" applyFill="1" applyBorder="1" applyAlignment="1" applyProtection="1">
      <alignment vertical="center"/>
      <protection locked="0"/>
    </xf>
    <xf numFmtId="0" fontId="13" fillId="4" borderId="48" xfId="0" applyFont="1" applyFill="1" applyBorder="1" applyAlignment="1" applyProtection="1">
      <alignment vertical="center"/>
      <protection locked="0"/>
    </xf>
    <xf numFmtId="0" fontId="13" fillId="4" borderId="2" xfId="0" applyFont="1" applyFill="1" applyBorder="1" applyAlignment="1" applyProtection="1">
      <alignment vertical="center"/>
      <protection locked="0"/>
    </xf>
    <xf numFmtId="0" fontId="13" fillId="4" borderId="3" xfId="0" applyFont="1" applyFill="1" applyBorder="1" applyAlignment="1" applyProtection="1">
      <alignment vertical="center"/>
      <protection locked="0"/>
    </xf>
    <xf numFmtId="0" fontId="13" fillId="4" borderId="4" xfId="0" applyFont="1" applyFill="1" applyBorder="1" applyAlignment="1" applyProtection="1">
      <alignment vertical="center"/>
      <protection locked="0"/>
    </xf>
    <xf numFmtId="0" fontId="13" fillId="3" borderId="2" xfId="0" applyFont="1" applyFill="1" applyBorder="1" applyAlignment="1" applyProtection="1">
      <alignment horizontal="center" vertical="top" wrapText="1"/>
      <protection hidden="1"/>
    </xf>
    <xf numFmtId="0" fontId="13" fillId="3" borderId="4" xfId="0" applyFont="1" applyFill="1" applyBorder="1" applyAlignment="1" applyProtection="1">
      <alignment horizontal="center" vertical="top" wrapText="1"/>
      <protection hidden="1"/>
    </xf>
    <xf numFmtId="0" fontId="13" fillId="4" borderId="43" xfId="0" applyFont="1" applyFill="1" applyBorder="1" applyAlignment="1" applyProtection="1">
      <alignment vertical="center"/>
      <protection locked="0"/>
    </xf>
    <xf numFmtId="0" fontId="13" fillId="4" borderId="49" xfId="0" applyFont="1" applyFill="1" applyBorder="1" applyAlignment="1" applyProtection="1">
      <alignment vertical="center"/>
      <protection locked="0"/>
    </xf>
    <xf numFmtId="0" fontId="11" fillId="0" borderId="8" xfId="0" applyFont="1" applyBorder="1" applyAlignment="1">
      <alignment horizontal="left"/>
    </xf>
    <xf numFmtId="0" fontId="11" fillId="0" borderId="9" xfId="0" applyFont="1" applyBorder="1" applyAlignment="1">
      <alignment horizontal="left"/>
    </xf>
    <xf numFmtId="0" fontId="11" fillId="4" borderId="22" xfId="0" applyFont="1" applyFill="1" applyBorder="1" applyAlignment="1" applyProtection="1">
      <alignment horizontal="left" vertical="center" indent="2"/>
      <protection locked="0"/>
    </xf>
    <xf numFmtId="0" fontId="11" fillId="4" borderId="48" xfId="0" applyFont="1" applyFill="1" applyBorder="1" applyAlignment="1" applyProtection="1">
      <alignment horizontal="left" vertical="center" indent="2"/>
      <protection locked="0"/>
    </xf>
    <xf numFmtId="0" fontId="11" fillId="0" borderId="8" xfId="0" applyFont="1" applyBorder="1" applyAlignment="1" applyProtection="1">
      <alignment horizontal="center" vertical="top"/>
      <protection hidden="1"/>
    </xf>
    <xf numFmtId="0" fontId="11" fillId="0" borderId="9" xfId="0" applyFont="1" applyBorder="1" applyAlignment="1" applyProtection="1">
      <alignment horizontal="center" vertical="top"/>
      <protection hidden="1"/>
    </xf>
    <xf numFmtId="0" fontId="11" fillId="0" borderId="10" xfId="0" applyFont="1" applyBorder="1" applyAlignment="1" applyProtection="1">
      <alignment horizontal="center" vertical="top"/>
      <protection hidden="1"/>
    </xf>
    <xf numFmtId="0" fontId="43" fillId="8" borderId="13" xfId="0" applyFont="1" applyFill="1" applyBorder="1" applyAlignment="1" applyProtection="1">
      <alignment vertical="center"/>
      <protection hidden="1"/>
    </xf>
    <xf numFmtId="0" fontId="43" fillId="8" borderId="15" xfId="0" applyFont="1" applyFill="1" applyBorder="1" applyAlignment="1" applyProtection="1">
      <alignment vertical="center"/>
      <protection hidden="1"/>
    </xf>
    <xf numFmtId="0" fontId="43" fillId="8" borderId="11" xfId="0" applyFont="1" applyFill="1" applyBorder="1" applyAlignment="1" applyProtection="1">
      <alignment vertical="center"/>
      <protection hidden="1"/>
    </xf>
    <xf numFmtId="0" fontId="30" fillId="20" borderId="89" xfId="13" applyFont="1" applyFill="1" applyBorder="1" applyAlignment="1">
      <alignment horizontal="center" vertical="top" wrapText="1"/>
    </xf>
    <xf numFmtId="0" fontId="30" fillId="20" borderId="90" xfId="13" applyFont="1" applyFill="1" applyBorder="1" applyAlignment="1">
      <alignment horizontal="center" vertical="top" wrapText="1"/>
    </xf>
    <xf numFmtId="0" fontId="30" fillId="20" borderId="101" xfId="13" applyFont="1" applyFill="1" applyBorder="1" applyAlignment="1">
      <alignment horizontal="center" vertical="top" wrapText="1"/>
    </xf>
    <xf numFmtId="0" fontId="85" fillId="0" borderId="93" xfId="13" applyFont="1" applyBorder="1" applyAlignment="1">
      <alignment horizontal="left" wrapText="1"/>
    </xf>
    <xf numFmtId="0" fontId="85" fillId="0" borderId="0" xfId="13" applyFont="1" applyAlignment="1">
      <alignment horizontal="left" wrapText="1"/>
    </xf>
    <xf numFmtId="0" fontId="30" fillId="20" borderId="8" xfId="13" applyFont="1" applyFill="1" applyBorder="1" applyAlignment="1">
      <alignment horizontal="center" vertical="top" wrapText="1"/>
    </xf>
    <xf numFmtId="0" fontId="0" fillId="0" borderId="10" xfId="0" applyBorder="1" applyAlignment="1">
      <alignment horizontal="center" vertical="top" wrapText="1"/>
    </xf>
    <xf numFmtId="0" fontId="91" fillId="22" borderId="91" xfId="13" applyFont="1" applyFill="1" applyBorder="1" applyAlignment="1">
      <alignment vertical="top" wrapText="1"/>
    </xf>
    <xf numFmtId="0" fontId="0" fillId="22" borderId="20" xfId="0" applyFill="1" applyBorder="1" applyAlignment="1">
      <alignment vertical="top" wrapText="1"/>
    </xf>
    <xf numFmtId="0" fontId="0" fillId="22" borderId="92" xfId="0" applyFill="1" applyBorder="1" applyAlignment="1">
      <alignment vertical="top" wrapText="1"/>
    </xf>
    <xf numFmtId="0" fontId="0" fillId="22" borderId="95" xfId="0" applyFill="1" applyBorder="1" applyAlignment="1">
      <alignment vertical="top" wrapText="1"/>
    </xf>
    <xf numFmtId="0" fontId="0" fillId="22" borderId="94" xfId="0" applyFill="1" applyBorder="1" applyAlignment="1">
      <alignment vertical="top" wrapText="1"/>
    </xf>
    <xf numFmtId="0" fontId="0" fillId="22" borderId="87" xfId="0" applyFill="1" applyBorder="1" applyAlignment="1">
      <alignment vertical="top" wrapText="1"/>
    </xf>
    <xf numFmtId="0" fontId="2" fillId="22" borderId="95" xfId="13" applyFont="1" applyFill="1" applyBorder="1" applyAlignment="1">
      <alignment vertical="center" wrapText="1"/>
    </xf>
    <xf numFmtId="0" fontId="0" fillId="22" borderId="94" xfId="0" applyFill="1" applyBorder="1" applyAlignment="1">
      <alignment vertical="center"/>
    </xf>
    <xf numFmtId="0" fontId="0" fillId="22" borderId="87" xfId="0" applyFill="1" applyBorder="1" applyAlignment="1">
      <alignment vertical="center"/>
    </xf>
    <xf numFmtId="0" fontId="81" fillId="22" borderId="91" xfId="13" applyFont="1" applyFill="1" applyBorder="1" applyAlignment="1">
      <alignment wrapText="1"/>
    </xf>
    <xf numFmtId="0" fontId="11" fillId="22" borderId="20" xfId="0" applyFont="1" applyFill="1" applyBorder="1" applyAlignment="1">
      <alignment wrapText="1"/>
    </xf>
    <xf numFmtId="0" fontId="11" fillId="22" borderId="92" xfId="0" applyFont="1" applyFill="1" applyBorder="1" applyAlignment="1">
      <alignment wrapText="1"/>
    </xf>
    <xf numFmtId="0" fontId="2" fillId="22" borderId="93" xfId="13" applyFont="1" applyFill="1" applyBorder="1" applyAlignment="1">
      <alignment vertical="top" wrapText="1"/>
    </xf>
    <xf numFmtId="0" fontId="0" fillId="22" borderId="0" xfId="0" applyFill="1" applyAlignment="1">
      <alignment vertical="top" wrapText="1"/>
    </xf>
    <xf numFmtId="0" fontId="0" fillId="22" borderId="67" xfId="0" applyFill="1" applyBorder="1" applyAlignment="1">
      <alignment vertical="top" wrapText="1"/>
    </xf>
    <xf numFmtId="0" fontId="81" fillId="8" borderId="102" xfId="13" applyFont="1" applyFill="1" applyBorder="1" applyAlignment="1">
      <alignment vertical="center" wrapText="1"/>
    </xf>
    <xf numFmtId="0" fontId="11" fillId="8" borderId="103" xfId="0" applyFont="1" applyFill="1" applyBorder="1" applyAlignment="1">
      <alignment vertical="center" wrapText="1"/>
    </xf>
    <xf numFmtId="0" fontId="11" fillId="8" borderId="104" xfId="0" applyFont="1" applyFill="1" applyBorder="1" applyAlignment="1">
      <alignment vertical="center" wrapText="1"/>
    </xf>
    <xf numFmtId="0" fontId="81" fillId="8" borderId="103" xfId="13" applyFont="1" applyFill="1" applyBorder="1" applyAlignment="1">
      <alignment vertical="center" wrapText="1"/>
    </xf>
    <xf numFmtId="0" fontId="85" fillId="0" borderId="103" xfId="0" applyFont="1" applyBorder="1" applyAlignment="1">
      <alignment vertical="center" wrapText="1"/>
    </xf>
    <xf numFmtId="0" fontId="85" fillId="0" borderId="104" xfId="0" applyFont="1" applyBorder="1" applyAlignment="1">
      <alignment vertical="center" wrapText="1"/>
    </xf>
    <xf numFmtId="0" fontId="11" fillId="4" borderId="51" xfId="0" applyFont="1" applyFill="1" applyBorder="1" applyAlignment="1" applyProtection="1">
      <alignment horizontal="left" vertical="center"/>
    </xf>
    <xf numFmtId="0" fontId="70" fillId="0" borderId="9" xfId="0" applyFont="1" applyBorder="1" applyAlignment="1" applyProtection="1">
      <alignment horizontal="left" vertical="center"/>
    </xf>
    <xf numFmtId="0" fontId="11" fillId="4" borderId="24" xfId="0" applyFont="1" applyFill="1" applyBorder="1" applyAlignment="1" applyProtection="1">
      <alignment horizontal="left" vertical="center"/>
    </xf>
    <xf numFmtId="0" fontId="11" fillId="4" borderId="25" xfId="0" applyFont="1" applyFill="1" applyBorder="1" applyAlignment="1" applyProtection="1">
      <alignment horizontal="left" vertical="center"/>
    </xf>
    <xf numFmtId="0" fontId="11" fillId="4" borderId="45" xfId="0" applyFont="1" applyFill="1" applyBorder="1" applyAlignment="1" applyProtection="1">
      <alignment vertical="center"/>
    </xf>
    <xf numFmtId="0" fontId="11" fillId="4" borderId="46" xfId="0" applyFont="1" applyFill="1" applyBorder="1" applyAlignment="1" applyProtection="1">
      <alignment vertical="center"/>
    </xf>
    <xf numFmtId="0" fontId="11" fillId="4" borderId="53" xfId="0" applyFont="1" applyFill="1" applyBorder="1" applyAlignment="1" applyProtection="1">
      <alignment vertical="center"/>
    </xf>
    <xf numFmtId="0" fontId="11" fillId="4" borderId="51" xfId="0" applyFont="1" applyFill="1" applyBorder="1" applyAlignment="1" applyProtection="1">
      <alignment vertical="center"/>
    </xf>
    <xf numFmtId="0" fontId="0" fillId="4" borderId="1" xfId="0" applyFill="1" applyBorder="1" applyAlignment="1" applyProtection="1">
      <alignment vertical="top"/>
    </xf>
    <xf numFmtId="0" fontId="22" fillId="0" borderId="2" xfId="0" applyFont="1" applyBorder="1" applyAlignment="1" applyProtection="1">
      <alignment horizontal="left"/>
      <protection hidden="1"/>
    </xf>
    <xf numFmtId="0" fontId="11" fillId="0" borderId="11" xfId="0" applyFont="1" applyBorder="1" applyAlignment="1" applyProtection="1">
      <alignment horizontal="left" vertical="center"/>
      <protection hidden="1"/>
    </xf>
    <xf numFmtId="0" fontId="0" fillId="0" borderId="44" xfId="0" applyBorder="1" applyAlignment="1" applyProtection="1">
      <alignment vertical="top"/>
    </xf>
    <xf numFmtId="0" fontId="0" fillId="0" borderId="45" xfId="0" applyBorder="1" applyAlignment="1" applyProtection="1">
      <alignment vertical="top"/>
    </xf>
    <xf numFmtId="0" fontId="25" fillId="0" borderId="44" xfId="3" applyFont="1" applyBorder="1" applyAlignment="1" applyProtection="1">
      <alignment vertical="top"/>
    </xf>
    <xf numFmtId="0" fontId="25" fillId="0" borderId="46" xfId="3" applyFont="1" applyBorder="1" applyAlignment="1" applyProtection="1">
      <alignment vertical="top"/>
    </xf>
    <xf numFmtId="0" fontId="22" fillId="0" borderId="5" xfId="0" applyFont="1" applyBorder="1" applyAlignment="1" applyProtection="1">
      <alignment horizontal="center" vertical="top" wrapText="1"/>
      <protection hidden="1"/>
    </xf>
    <xf numFmtId="0" fontId="0" fillId="0" borderId="3" xfId="0" applyBorder="1" applyAlignment="1" applyProtection="1">
      <alignment horizontal="center" vertical="top" wrapText="1"/>
      <protection hidden="1"/>
    </xf>
    <xf numFmtId="0" fontId="11" fillId="0" borderId="0" xfId="0" applyFont="1" applyAlignment="1" applyProtection="1">
      <alignment vertical="top"/>
    </xf>
    <xf numFmtId="0" fontId="11" fillId="0" borderId="48" xfId="0" applyFont="1" applyBorder="1" applyAlignment="1" applyProtection="1">
      <alignment horizontal="left" vertical="center"/>
    </xf>
    <xf numFmtId="0" fontId="11" fillId="0" borderId="25" xfId="0" applyFont="1" applyBorder="1" applyAlignment="1" applyProtection="1">
      <alignment horizontal="left" vertical="center"/>
    </xf>
    <xf numFmtId="4" fontId="0" fillId="4" borderId="1" xfId="0" applyNumberFormat="1" applyFill="1" applyBorder="1" applyAlignment="1" applyProtection="1">
      <alignment vertical="top"/>
    </xf>
    <xf numFmtId="0" fontId="22" fillId="0" borderId="0" xfId="0" applyFont="1" applyAlignment="1" applyProtection="1">
      <alignment horizontal="center" vertical="top"/>
      <protection hidden="1"/>
    </xf>
    <xf numFmtId="0" fontId="43" fillId="4" borderId="16" xfId="0" applyFont="1" applyFill="1" applyBorder="1" applyAlignment="1" applyProtection="1">
      <alignment horizontal="center" vertical="center"/>
    </xf>
    <xf numFmtId="0" fontId="38" fillId="0" borderId="6" xfId="0" applyFont="1" applyBorder="1" applyAlignment="1" applyProtection="1">
      <alignment horizontal="center" vertical="center"/>
    </xf>
    <xf numFmtId="0" fontId="0" fillId="4" borderId="15" xfId="0" applyFill="1" applyBorder="1" applyAlignment="1" applyProtection="1">
      <alignment horizontal="center" vertical="center" wrapText="1"/>
    </xf>
    <xf numFmtId="0" fontId="22" fillId="0" borderId="0" xfId="0" applyFont="1" applyAlignment="1" applyProtection="1">
      <alignment horizontal="left" vertical="center"/>
      <protection hidden="1"/>
    </xf>
    <xf numFmtId="2" fontId="0" fillId="4" borderId="1" xfId="0" applyNumberFormat="1" applyFill="1" applyBorder="1" applyAlignment="1" applyProtection="1">
      <alignment horizontal="center" vertical="center" wrapText="1"/>
      <protection hidden="1"/>
    </xf>
    <xf numFmtId="0" fontId="0" fillId="0" borderId="0" xfId="1" applyFont="1" applyAlignment="1" applyProtection="1">
      <alignment vertical="top" wrapText="1"/>
      <protection hidden="1"/>
    </xf>
    <xf numFmtId="0" fontId="25" fillId="4" borderId="50" xfId="1" quotePrefix="1" applyFont="1" applyFill="1" applyBorder="1" applyAlignment="1" applyProtection="1">
      <alignment vertical="top" wrapText="1"/>
    </xf>
    <xf numFmtId="0" fontId="25" fillId="4" borderId="0" xfId="1" quotePrefix="1" applyFont="1" applyFill="1" applyAlignment="1" applyProtection="1">
      <alignment vertical="top" wrapText="1"/>
    </xf>
    <xf numFmtId="0" fontId="25" fillId="0" borderId="0" xfId="1" applyFont="1" applyAlignment="1" applyProtection="1">
      <alignment vertical="top"/>
      <protection hidden="1"/>
    </xf>
    <xf numFmtId="0" fontId="36" fillId="0" borderId="0" xfId="1" applyFont="1" applyAlignment="1" applyProtection="1">
      <alignment vertical="top"/>
      <protection hidden="1"/>
    </xf>
    <xf numFmtId="0" fontId="0" fillId="0" borderId="3" xfId="1" applyFont="1" applyBorder="1" applyAlignment="1" applyProtection="1">
      <alignment vertical="center"/>
    </xf>
    <xf numFmtId="0" fontId="25" fillId="3" borderId="3" xfId="1" applyFont="1" applyFill="1" applyBorder="1" applyAlignment="1" applyProtection="1">
      <alignment wrapText="1"/>
    </xf>
    <xf numFmtId="4" fontId="0" fillId="4" borderId="35" xfId="1" applyNumberFormat="1" applyFont="1" applyFill="1" applyBorder="1" applyAlignment="1" applyProtection="1">
      <alignment horizontal="center" vertical="top"/>
    </xf>
    <xf numFmtId="4" fontId="0" fillId="5" borderId="34" xfId="1" applyNumberFormat="1" applyFont="1" applyFill="1" applyBorder="1" applyAlignment="1" applyProtection="1">
      <alignment horizontal="center" vertical="top"/>
    </xf>
    <xf numFmtId="4" fontId="0" fillId="5" borderId="33" xfId="1" applyNumberFormat="1" applyFont="1" applyFill="1" applyBorder="1" applyAlignment="1" applyProtection="1">
      <alignment horizontal="center" vertical="top"/>
    </xf>
    <xf numFmtId="4" fontId="0" fillId="5" borderId="35" xfId="1" applyNumberFormat="1" applyFont="1" applyFill="1" applyBorder="1" applyAlignment="1" applyProtection="1">
      <alignment horizontal="right" vertical="top"/>
    </xf>
    <xf numFmtId="0" fontId="25" fillId="4" borderId="0" xfId="1" applyFont="1" applyFill="1" applyAlignment="1" applyProtection="1">
      <alignment vertical="top" wrapText="1"/>
    </xf>
    <xf numFmtId="4" fontId="0" fillId="0" borderId="38" xfId="1" applyNumberFormat="1" applyFont="1" applyBorder="1" applyAlignment="1" applyProtection="1">
      <alignment horizontal="left" vertical="top"/>
    </xf>
    <xf numFmtId="4" fontId="0" fillId="0" borderId="73" xfId="1" applyNumberFormat="1" applyFont="1" applyBorder="1" applyAlignment="1" applyProtection="1">
      <alignment horizontal="left" vertical="top"/>
    </xf>
    <xf numFmtId="0" fontId="0" fillId="0" borderId="53" xfId="1" applyFont="1" applyBorder="1" applyAlignment="1" applyProtection="1">
      <alignment vertical="center"/>
    </xf>
    <xf numFmtId="0" fontId="25" fillId="3" borderId="53" xfId="1" applyFont="1" applyFill="1" applyBorder="1" applyAlignment="1" applyProtection="1">
      <alignment vertical="center" wrapText="1"/>
    </xf>
    <xf numFmtId="4" fontId="0" fillId="4" borderId="54" xfId="1" applyNumberFormat="1" applyFont="1" applyFill="1" applyBorder="1" applyAlignment="1" applyProtection="1">
      <alignment horizontal="center" vertical="top"/>
    </xf>
    <xf numFmtId="4" fontId="0" fillId="5" borderId="59" xfId="1" applyNumberFormat="1" applyFont="1" applyFill="1" applyBorder="1" applyAlignment="1" applyProtection="1">
      <alignment horizontal="center" vertical="top"/>
    </xf>
    <xf numFmtId="4" fontId="0" fillId="5" borderId="52" xfId="1" applyNumberFormat="1" applyFont="1" applyFill="1" applyBorder="1" applyAlignment="1" applyProtection="1">
      <alignment horizontal="center" vertical="top"/>
    </xf>
    <xf numFmtId="4" fontId="0" fillId="5" borderId="54" xfId="1" applyNumberFormat="1" applyFont="1" applyFill="1" applyBorder="1" applyAlignment="1" applyProtection="1">
      <alignment horizontal="right" vertical="top"/>
    </xf>
    <xf numFmtId="0" fontId="25" fillId="3" borderId="0" xfId="1" applyFont="1" applyFill="1" applyAlignment="1" applyProtection="1">
      <alignment vertical="top" wrapText="1"/>
    </xf>
    <xf numFmtId="0" fontId="25" fillId="4" borderId="50" xfId="1" applyFont="1" applyFill="1" applyBorder="1" applyAlignment="1" applyProtection="1">
      <alignment vertical="top" wrapText="1"/>
    </xf>
    <xf numFmtId="0" fontId="0" fillId="0" borderId="0" xfId="1" applyFont="1" applyAlignment="1" applyProtection="1">
      <alignment vertical="center"/>
    </xf>
    <xf numFmtId="0" fontId="25" fillId="3" borderId="37" xfId="1" applyFont="1" applyFill="1" applyBorder="1" applyAlignment="1" applyProtection="1">
      <alignment wrapText="1"/>
    </xf>
    <xf numFmtId="4" fontId="0" fillId="4" borderId="38" xfId="1" applyNumberFormat="1" applyFont="1" applyFill="1" applyBorder="1" applyAlignment="1" applyProtection="1">
      <alignment horizontal="center" vertical="top"/>
    </xf>
    <xf numFmtId="4" fontId="0" fillId="5" borderId="37" xfId="1" applyNumberFormat="1" applyFont="1" applyFill="1" applyBorder="1" applyAlignment="1" applyProtection="1">
      <alignment horizontal="center" vertical="top"/>
    </xf>
    <xf numFmtId="4" fontId="0" fillId="5" borderId="36" xfId="1" applyNumberFormat="1" applyFont="1" applyFill="1" applyBorder="1" applyAlignment="1" applyProtection="1">
      <alignment horizontal="center" vertical="top"/>
    </xf>
    <xf numFmtId="4" fontId="0" fillId="5" borderId="38" xfId="1" applyNumberFormat="1" applyFont="1" applyFill="1" applyBorder="1" applyAlignment="1" applyProtection="1">
      <alignment horizontal="right" vertical="top"/>
    </xf>
    <xf numFmtId="4" fontId="0" fillId="0" borderId="39" xfId="1" applyNumberFormat="1" applyFont="1" applyBorder="1" applyAlignment="1" applyProtection="1">
      <alignment horizontal="left" vertical="top"/>
    </xf>
    <xf numFmtId="0" fontId="0" fillId="3" borderId="3" xfId="1" applyFont="1" applyFill="1" applyBorder="1" applyAlignment="1" applyProtection="1">
      <alignment wrapText="1"/>
    </xf>
    <xf numFmtId="0" fontId="0" fillId="3" borderId="59" xfId="1" applyFont="1" applyFill="1" applyBorder="1" applyAlignment="1" applyProtection="1">
      <alignment wrapText="1"/>
    </xf>
    <xf numFmtId="0" fontId="25" fillId="3" borderId="59" xfId="1" applyFont="1" applyFill="1" applyBorder="1" applyAlignment="1" applyProtection="1">
      <alignment wrapText="1"/>
    </xf>
    <xf numFmtId="0" fontId="0" fillId="4" borderId="53" xfId="1" applyFont="1" applyFill="1" applyBorder="1" applyAlignment="1" applyProtection="1">
      <alignment vertical="top" wrapText="1"/>
    </xf>
    <xf numFmtId="0" fontId="0" fillId="3" borderId="59" xfId="1" applyFont="1" applyFill="1" applyBorder="1" applyAlignment="1" applyProtection="1">
      <alignment vertical="center" wrapText="1"/>
    </xf>
    <xf numFmtId="0" fontId="25" fillId="2" borderId="0" xfId="1" applyFont="1" applyFill="1" applyAlignment="1" applyProtection="1">
      <alignment vertical="top"/>
      <protection hidden="1"/>
    </xf>
    <xf numFmtId="0" fontId="0" fillId="0" borderId="9" xfId="0" applyBorder="1" applyAlignment="1" applyProtection="1">
      <alignment horizontal="right" vertical="center"/>
    </xf>
    <xf numFmtId="0" fontId="0" fillId="0" borderId="18" xfId="0" applyBorder="1" applyAlignment="1" applyProtection="1">
      <alignment horizontal="right" vertical="center"/>
    </xf>
    <xf numFmtId="0" fontId="25" fillId="0" borderId="0" xfId="1" applyFont="1" applyAlignment="1" applyProtection="1">
      <alignment vertical="top" wrapText="1"/>
    </xf>
    <xf numFmtId="4" fontId="0" fillId="0" borderId="0" xfId="1" applyNumberFormat="1" applyFont="1" applyAlignment="1" applyProtection="1">
      <alignment horizontal="left" vertical="top"/>
    </xf>
    <xf numFmtId="0" fontId="0" fillId="3" borderId="0" xfId="1" applyFont="1" applyFill="1" applyAlignment="1" applyProtection="1">
      <alignment wrapText="1"/>
    </xf>
    <xf numFmtId="0" fontId="0" fillId="3" borderId="53" xfId="1" applyFont="1" applyFill="1" applyBorder="1" applyAlignment="1" applyProtection="1">
      <alignment wrapText="1"/>
    </xf>
    <xf numFmtId="0" fontId="0" fillId="18" borderId="9" xfId="0" applyFill="1" applyBorder="1" applyAlignment="1" applyProtection="1">
      <alignment horizontal="right" vertical="center"/>
    </xf>
    <xf numFmtId="0" fontId="0" fillId="18" borderId="18" xfId="0" applyFill="1" applyBorder="1" applyAlignment="1" applyProtection="1">
      <alignment horizontal="right" vertical="center"/>
    </xf>
    <xf numFmtId="0" fontId="11" fillId="0" borderId="0" xfId="0" applyFont="1" applyAlignment="1" applyProtection="1">
      <alignment horizontal="right" vertical="center"/>
    </xf>
    <xf numFmtId="0" fontId="11" fillId="0" borderId="67" xfId="0" applyFont="1" applyBorder="1" applyAlignment="1" applyProtection="1">
      <alignment horizontal="right" vertical="center"/>
    </xf>
    <xf numFmtId="0" fontId="0" fillId="18" borderId="0" xfId="0" applyFill="1" applyAlignment="1" applyProtection="1">
      <alignment horizontal="right" vertical="center"/>
    </xf>
    <xf numFmtId="0" fontId="0" fillId="18" borderId="67" xfId="0" applyFill="1" applyBorder="1" applyAlignment="1" applyProtection="1">
      <alignment horizontal="right" vertical="center"/>
    </xf>
    <xf numFmtId="0" fontId="0" fillId="0" borderId="0" xfId="0" applyAlignment="1" applyProtection="1">
      <alignment horizontal="right" vertical="center"/>
    </xf>
    <xf numFmtId="0" fontId="0" fillId="0" borderId="67" xfId="0" applyBorder="1" applyAlignment="1" applyProtection="1">
      <alignment horizontal="right" vertical="center"/>
    </xf>
    <xf numFmtId="0" fontId="25" fillId="0" borderId="0" xfId="12" applyFont="1" applyAlignment="1" applyProtection="1">
      <alignment vertical="top"/>
      <protection hidden="1"/>
    </xf>
    <xf numFmtId="0" fontId="36" fillId="0" borderId="0" xfId="12" applyFont="1" applyAlignment="1" applyProtection="1">
      <alignment vertical="top"/>
      <protection hidden="1"/>
    </xf>
    <xf numFmtId="0" fontId="0" fillId="0" borderId="0" xfId="0" applyProtection="1"/>
    <xf numFmtId="0" fontId="0" fillId="0" borderId="9" xfId="0" applyBorder="1" applyAlignment="1" applyProtection="1">
      <alignment vertical="center"/>
    </xf>
    <xf numFmtId="0" fontId="0" fillId="0" borderId="10" xfId="0" applyBorder="1" applyAlignment="1" applyProtection="1">
      <alignment vertical="center"/>
    </xf>
    <xf numFmtId="0" fontId="0" fillId="0" borderId="0" xfId="12" applyFont="1" applyProtection="1"/>
    <xf numFmtId="0" fontId="0" fillId="3" borderId="37" xfId="12" applyFont="1" applyFill="1" applyBorder="1" applyAlignment="1" applyProtection="1">
      <alignment vertical="top" wrapText="1"/>
    </xf>
    <xf numFmtId="4" fontId="0" fillId="4" borderId="33" xfId="12" applyNumberFormat="1" applyFont="1" applyFill="1" applyBorder="1" applyAlignment="1" applyProtection="1">
      <alignment horizontal="center" vertical="top"/>
    </xf>
    <xf numFmtId="0" fontId="0" fillId="0" borderId="3" xfId="0" applyBorder="1" applyAlignment="1" applyProtection="1">
      <alignment vertical="top"/>
    </xf>
    <xf numFmtId="0" fontId="0" fillId="0" borderId="34" xfId="0" applyBorder="1" applyAlignment="1" applyProtection="1">
      <alignment vertical="top"/>
    </xf>
    <xf numFmtId="0" fontId="0" fillId="3" borderId="61" xfId="0" applyFill="1" applyBorder="1" applyAlignment="1" applyProtection="1">
      <alignment vertical="top" wrapText="1"/>
    </xf>
    <xf numFmtId="0" fontId="0" fillId="0" borderId="62" xfId="0" applyBorder="1" applyAlignment="1" applyProtection="1">
      <alignment vertical="top"/>
    </xf>
    <xf numFmtId="0" fontId="0" fillId="0" borderId="50" xfId="0" applyBorder="1" applyAlignment="1" applyProtection="1">
      <alignment vertical="top"/>
    </xf>
    <xf numFmtId="0" fontId="0" fillId="0" borderId="61" xfId="0" applyBorder="1" applyAlignment="1" applyProtection="1">
      <alignment vertical="top"/>
    </xf>
    <xf numFmtId="0" fontId="0" fillId="0" borderId="53" xfId="12" applyFont="1" applyBorder="1" applyProtection="1"/>
    <xf numFmtId="0" fontId="0" fillId="3" borderId="59" xfId="12" applyFont="1" applyFill="1" applyBorder="1" applyAlignment="1" applyProtection="1">
      <alignment vertical="top" wrapText="1"/>
    </xf>
    <xf numFmtId="4" fontId="0" fillId="4" borderId="52" xfId="12" applyNumberFormat="1" applyFont="1" applyFill="1" applyBorder="1" applyAlignment="1" applyProtection="1">
      <alignment horizontal="center" vertical="top"/>
    </xf>
    <xf numFmtId="0" fontId="0" fillId="0" borderId="53" xfId="0" applyBorder="1" applyAlignment="1" applyProtection="1">
      <alignment vertical="top"/>
    </xf>
    <xf numFmtId="0" fontId="0" fillId="0" borderId="59" xfId="0" applyBorder="1" applyAlignment="1" applyProtection="1">
      <alignment vertical="top"/>
    </xf>
    <xf numFmtId="0" fontId="0" fillId="0" borderId="74" xfId="0" applyBorder="1" applyAlignment="1" applyProtection="1">
      <alignment vertical="top"/>
    </xf>
    <xf numFmtId="0" fontId="0" fillId="0" borderId="6" xfId="0" applyBorder="1" applyAlignment="1" applyProtection="1">
      <alignment vertical="top"/>
    </xf>
    <xf numFmtId="0" fontId="0" fillId="0" borderId="82" xfId="0" applyBorder="1" applyAlignment="1" applyProtection="1">
      <alignment vertical="top"/>
    </xf>
    <xf numFmtId="4" fontId="0" fillId="2" borderId="33" xfId="12" applyNumberFormat="1" applyFont="1" applyFill="1" applyBorder="1" applyAlignment="1" applyProtection="1">
      <alignment horizontal="center" vertical="top"/>
    </xf>
    <xf numFmtId="0" fontId="0" fillId="2" borderId="3" xfId="0" applyFill="1" applyBorder="1" applyAlignment="1" applyProtection="1">
      <alignment vertical="top"/>
    </xf>
    <xf numFmtId="0" fontId="0" fillId="2" borderId="34" xfId="0" applyFill="1" applyBorder="1" applyAlignment="1" applyProtection="1">
      <alignment vertical="top"/>
    </xf>
    <xf numFmtId="0" fontId="0" fillId="3" borderId="37" xfId="0" applyFill="1" applyBorder="1" applyAlignment="1" applyProtection="1">
      <alignment vertical="top" wrapText="1"/>
    </xf>
    <xf numFmtId="0" fontId="0" fillId="2" borderId="36" xfId="0" applyFill="1" applyBorder="1" applyAlignment="1" applyProtection="1">
      <alignment vertical="top"/>
    </xf>
    <xf numFmtId="0" fontId="0" fillId="2" borderId="0" xfId="0" applyFill="1" applyAlignment="1" applyProtection="1">
      <alignment vertical="top"/>
    </xf>
    <xf numFmtId="0" fontId="0" fillId="2" borderId="37" xfId="0" applyFill="1" applyBorder="1" applyAlignment="1" applyProtection="1">
      <alignment vertical="top"/>
    </xf>
    <xf numFmtId="0" fontId="0" fillId="3" borderId="0" xfId="12" applyFont="1" applyFill="1" applyAlignment="1" applyProtection="1">
      <alignment vertical="top" wrapText="1"/>
    </xf>
    <xf numFmtId="0" fontId="0" fillId="2" borderId="36" xfId="0" applyFill="1" applyBorder="1" applyAlignment="1" applyProtection="1">
      <alignment vertical="top"/>
    </xf>
    <xf numFmtId="0" fontId="0" fillId="2" borderId="0" xfId="0" applyFill="1" applyAlignment="1" applyProtection="1">
      <alignment vertical="top"/>
    </xf>
    <xf numFmtId="0" fontId="0" fillId="2" borderId="37" xfId="0" applyFill="1" applyBorder="1" applyAlignment="1" applyProtection="1">
      <alignment vertical="top"/>
    </xf>
    <xf numFmtId="0" fontId="0" fillId="3" borderId="53" xfId="12" applyFont="1" applyFill="1" applyBorder="1" applyAlignment="1" applyProtection="1">
      <alignment vertical="top" wrapText="1"/>
    </xf>
    <xf numFmtId="4" fontId="0" fillId="2" borderId="52" xfId="12" applyNumberFormat="1" applyFont="1" applyFill="1" applyBorder="1" applyAlignment="1" applyProtection="1">
      <alignment horizontal="center" vertical="top"/>
    </xf>
    <xf numFmtId="0" fontId="0" fillId="2" borderId="53" xfId="0" applyFill="1" applyBorder="1" applyAlignment="1" applyProtection="1">
      <alignment vertical="top"/>
    </xf>
    <xf numFmtId="0" fontId="0" fillId="2" borderId="59" xfId="0" applyFill="1" applyBorder="1" applyAlignment="1" applyProtection="1">
      <alignment vertical="top"/>
    </xf>
    <xf numFmtId="0" fontId="0" fillId="2" borderId="62" xfId="0" applyFill="1" applyBorder="1" applyAlignment="1" applyProtection="1">
      <alignment vertical="top"/>
    </xf>
    <xf numFmtId="0" fontId="0" fillId="2" borderId="50" xfId="0" applyFill="1" applyBorder="1" applyAlignment="1" applyProtection="1">
      <alignment vertical="top"/>
    </xf>
    <xf numFmtId="0" fontId="0" fillId="2" borderId="61" xfId="0" applyFill="1" applyBorder="1" applyAlignment="1" applyProtection="1">
      <alignment vertical="top"/>
    </xf>
    <xf numFmtId="0" fontId="0" fillId="3" borderId="37" xfId="12" applyFont="1" applyFill="1" applyBorder="1" applyProtection="1"/>
    <xf numFmtId="4" fontId="0" fillId="2" borderId="36" xfId="12" applyNumberFormat="1" applyFont="1" applyFill="1" applyBorder="1" applyAlignment="1" applyProtection="1">
      <alignment horizontal="center" vertical="top"/>
    </xf>
    <xf numFmtId="4" fontId="0" fillId="0" borderId="0" xfId="12" applyNumberFormat="1" applyFont="1" applyAlignment="1" applyProtection="1">
      <alignment horizontal="center"/>
    </xf>
    <xf numFmtId="4" fontId="0" fillId="0" borderId="0" xfId="12" applyNumberFormat="1" applyFont="1" applyAlignment="1" applyProtection="1">
      <alignment horizontal="right"/>
    </xf>
    <xf numFmtId="0" fontId="0" fillId="0" borderId="0" xfId="12" applyFont="1" applyAlignment="1" applyProtection="1">
      <alignment vertical="center"/>
    </xf>
    <xf numFmtId="4" fontId="0" fillId="0" borderId="0" xfId="12" applyNumberFormat="1" applyFont="1" applyAlignment="1" applyProtection="1">
      <alignment horizontal="center" vertical="top"/>
    </xf>
    <xf numFmtId="4" fontId="0" fillId="0" borderId="0" xfId="12" applyNumberFormat="1" applyFont="1" applyAlignment="1" applyProtection="1">
      <alignment horizontal="right" vertical="top"/>
    </xf>
    <xf numFmtId="0" fontId="0" fillId="3" borderId="53" xfId="12" applyFont="1" applyFill="1" applyBorder="1" applyAlignment="1" applyProtection="1">
      <alignment wrapText="1"/>
    </xf>
    <xf numFmtId="0" fontId="0" fillId="3" borderId="59" xfId="12" applyFont="1" applyFill="1" applyBorder="1" applyAlignment="1" applyProtection="1">
      <alignment wrapText="1"/>
    </xf>
    <xf numFmtId="0" fontId="0" fillId="3" borderId="0" xfId="12" applyFont="1" applyFill="1" applyAlignment="1" applyProtection="1">
      <alignment vertical="center" wrapText="1"/>
    </xf>
    <xf numFmtId="0" fontId="0" fillId="2" borderId="36" xfId="0" applyFill="1" applyBorder="1" applyProtection="1"/>
    <xf numFmtId="0" fontId="0" fillId="2" borderId="0" xfId="0" applyFill="1" applyProtection="1"/>
    <xf numFmtId="0" fontId="0" fillId="2" borderId="37" xfId="0" applyFill="1" applyBorder="1" applyProtection="1"/>
    <xf numFmtId="4" fontId="0" fillId="0" borderId="0" xfId="12" applyNumberFormat="1" applyFont="1" applyAlignment="1" applyProtection="1">
      <alignment horizontal="center"/>
    </xf>
    <xf numFmtId="0" fontId="0" fillId="0" borderId="50" xfId="12" applyFont="1" applyBorder="1" applyAlignment="1" applyProtection="1">
      <alignment vertical="center"/>
    </xf>
    <xf numFmtId="0" fontId="0" fillId="3" borderId="50" xfId="12" applyFont="1" applyFill="1" applyBorder="1" applyAlignment="1" applyProtection="1">
      <alignment vertical="top" wrapText="1"/>
    </xf>
    <xf numFmtId="0" fontId="0" fillId="2" borderId="62" xfId="0" applyFill="1" applyBorder="1" applyAlignment="1" applyProtection="1">
      <alignment vertical="top"/>
    </xf>
    <xf numFmtId="0" fontId="0" fillId="2" borderId="50" xfId="0" applyFill="1" applyBorder="1" applyAlignment="1" applyProtection="1">
      <alignment vertical="top"/>
    </xf>
    <xf numFmtId="0" fontId="0" fillId="2" borderId="61" xfId="0" applyFill="1" applyBorder="1" applyAlignment="1" applyProtection="1">
      <alignment vertical="top"/>
    </xf>
    <xf numFmtId="0" fontId="0" fillId="3" borderId="0" xfId="12" applyFont="1" applyFill="1" applyAlignment="1" applyProtection="1">
      <alignment wrapText="1"/>
    </xf>
    <xf numFmtId="0" fontId="25" fillId="3" borderId="0" xfId="12" applyFont="1" applyFill="1" applyAlignment="1" applyProtection="1">
      <alignment vertical="top" wrapText="1"/>
    </xf>
    <xf numFmtId="4" fontId="0" fillId="0" borderId="36" xfId="12" applyNumberFormat="1" applyFont="1" applyBorder="1" applyAlignment="1" applyProtection="1">
      <alignment horizontal="left" vertical="top"/>
    </xf>
    <xf numFmtId="4" fontId="0" fillId="0" borderId="0" xfId="12" applyNumberFormat="1" applyFont="1" applyAlignment="1" applyProtection="1">
      <alignment horizontal="left" vertical="top"/>
    </xf>
    <xf numFmtId="0" fontId="0" fillId="3" borderId="34" xfId="12" applyFont="1" applyFill="1" applyBorder="1" applyAlignment="1" applyProtection="1">
      <alignment vertical="center" wrapText="1"/>
    </xf>
    <xf numFmtId="4" fontId="0" fillId="4" borderId="38" xfId="12" applyNumberFormat="1" applyFont="1" applyFill="1" applyBorder="1" applyAlignment="1" applyProtection="1">
      <alignment horizontal="center" vertical="top"/>
    </xf>
    <xf numFmtId="4" fontId="0" fillId="5" borderId="37" xfId="12" applyNumberFormat="1" applyFont="1" applyFill="1" applyBorder="1" applyAlignment="1" applyProtection="1">
      <alignment horizontal="center" vertical="top"/>
    </xf>
    <xf numFmtId="4" fontId="0" fillId="5" borderId="36" xfId="12" applyNumberFormat="1" applyFont="1" applyFill="1" applyBorder="1" applyAlignment="1" applyProtection="1">
      <alignment horizontal="center" vertical="top"/>
    </xf>
    <xf numFmtId="4" fontId="0" fillId="5" borderId="36" xfId="12" applyNumberFormat="1" applyFont="1" applyFill="1" applyBorder="1" applyAlignment="1" applyProtection="1">
      <alignment horizontal="right" vertical="top"/>
    </xf>
    <xf numFmtId="0" fontId="0" fillId="3" borderId="37" xfId="0" applyFill="1" applyBorder="1" applyAlignment="1" applyProtection="1">
      <alignment wrapText="1"/>
    </xf>
    <xf numFmtId="4" fontId="0" fillId="0" borderId="38" xfId="12" applyNumberFormat="1" applyFont="1" applyBorder="1" applyAlignment="1" applyProtection="1">
      <alignment horizontal="left" vertical="top"/>
    </xf>
    <xf numFmtId="0" fontId="0" fillId="0" borderId="53" xfId="12" applyFont="1" applyBorder="1" applyAlignment="1" applyProtection="1">
      <alignment vertical="center"/>
    </xf>
    <xf numFmtId="4" fontId="0" fillId="4" borderId="54" xfId="12" applyNumberFormat="1" applyFont="1" applyFill="1" applyBorder="1" applyAlignment="1" applyProtection="1">
      <alignment horizontal="center" vertical="top"/>
    </xf>
    <xf numFmtId="4" fontId="0" fillId="5" borderId="59" xfId="12" applyNumberFormat="1" applyFont="1" applyFill="1" applyBorder="1" applyAlignment="1" applyProtection="1">
      <alignment horizontal="center" vertical="top"/>
    </xf>
    <xf numFmtId="4" fontId="0" fillId="5" borderId="52" xfId="12" applyNumberFormat="1" applyFont="1" applyFill="1" applyBorder="1" applyAlignment="1" applyProtection="1">
      <alignment horizontal="center" vertical="top"/>
    </xf>
    <xf numFmtId="4" fontId="0" fillId="5" borderId="52" xfId="12" applyNumberFormat="1" applyFont="1" applyFill="1" applyBorder="1" applyAlignment="1" applyProtection="1">
      <alignment horizontal="right" vertical="top"/>
    </xf>
    <xf numFmtId="4" fontId="0" fillId="0" borderId="73" xfId="12" applyNumberFormat="1" applyFont="1" applyBorder="1" applyAlignment="1" applyProtection="1">
      <alignment horizontal="left" vertical="top"/>
    </xf>
    <xf numFmtId="4" fontId="0" fillId="0" borderId="62" xfId="12" applyNumberFormat="1" applyFont="1" applyBorder="1" applyAlignment="1" applyProtection="1">
      <alignment horizontal="left" vertical="top"/>
    </xf>
    <xf numFmtId="0" fontId="0" fillId="3" borderId="0" xfId="12" applyFont="1" applyFill="1" applyAlignment="1" applyProtection="1">
      <alignment vertical="top" wrapText="1"/>
    </xf>
    <xf numFmtId="4" fontId="0" fillId="4" borderId="52" xfId="12" applyNumberFormat="1" applyFont="1" applyFill="1" applyBorder="1" applyAlignment="1" applyProtection="1">
      <alignment horizontal="center" vertical="top"/>
    </xf>
    <xf numFmtId="4" fontId="0" fillId="5" borderId="53" xfId="12" applyNumberFormat="1" applyFont="1" applyFill="1" applyBorder="1" applyAlignment="1" applyProtection="1">
      <alignment horizontal="center" vertical="top"/>
    </xf>
    <xf numFmtId="0" fontId="0" fillId="3" borderId="0" xfId="0" applyFill="1" applyAlignment="1" applyProtection="1">
      <alignment vertical="top" wrapText="1"/>
    </xf>
    <xf numFmtId="0" fontId="76" fillId="3" borderId="59" xfId="12" applyFont="1" applyFill="1" applyBorder="1" applyAlignment="1" applyProtection="1">
      <alignment horizontal="left" vertical="top" wrapText="1"/>
    </xf>
    <xf numFmtId="0" fontId="76" fillId="3" borderId="61" xfId="0" applyFont="1" applyFill="1" applyBorder="1" applyAlignment="1" applyProtection="1">
      <alignment horizontal="left" vertical="top" wrapText="1"/>
    </xf>
    <xf numFmtId="0" fontId="0" fillId="3" borderId="59" xfId="12" applyFont="1" applyFill="1" applyBorder="1" applyAlignment="1" applyProtection="1">
      <alignment vertical="center" wrapText="1"/>
    </xf>
    <xf numFmtId="0" fontId="0" fillId="3" borderId="61" xfId="0" applyFill="1" applyBorder="1" applyAlignment="1" applyProtection="1">
      <alignment wrapText="1"/>
    </xf>
    <xf numFmtId="0" fontId="11" fillId="18" borderId="9" xfId="0" applyFont="1" applyFill="1" applyBorder="1" applyAlignment="1" applyProtection="1">
      <alignment horizontal="right" vertical="center"/>
    </xf>
    <xf numFmtId="0" fontId="11" fillId="18" borderId="18" xfId="0" applyFont="1" applyFill="1" applyBorder="1" applyAlignment="1" applyProtection="1">
      <alignment horizontal="right" vertical="center"/>
    </xf>
    <xf numFmtId="0" fontId="25" fillId="4" borderId="0" xfId="12" applyFont="1" applyFill="1" applyAlignment="1" applyProtection="1">
      <alignment vertical="top" wrapText="1"/>
    </xf>
    <xf numFmtId="4" fontId="0" fillId="0" borderId="53" xfId="12" applyNumberFormat="1" applyFont="1" applyBorder="1" applyAlignment="1" applyProtection="1">
      <alignment horizontal="left" vertical="top"/>
    </xf>
    <xf numFmtId="0" fontId="0" fillId="0" borderId="9" xfId="0" applyBorder="1" applyAlignment="1" applyProtection="1">
      <alignment wrapText="1"/>
    </xf>
    <xf numFmtId="0" fontId="0" fillId="0" borderId="10" xfId="0" applyBorder="1" applyAlignment="1" applyProtection="1">
      <alignment wrapText="1"/>
    </xf>
    <xf numFmtId="0" fontId="0" fillId="0" borderId="3" xfId="12" applyFont="1" applyBorder="1" applyProtection="1"/>
    <xf numFmtId="0" fontId="0" fillId="3" borderId="34" xfId="12" applyFont="1" applyFill="1" applyBorder="1" applyAlignment="1" applyProtection="1">
      <alignment vertical="top" wrapText="1"/>
    </xf>
    <xf numFmtId="0" fontId="0" fillId="0" borderId="37" xfId="0" applyBorder="1" applyAlignment="1" applyProtection="1">
      <alignment vertical="top" wrapText="1"/>
    </xf>
    <xf numFmtId="0" fontId="0" fillId="3" borderId="61" xfId="12" applyFont="1" applyFill="1" applyBorder="1" applyAlignment="1" applyProtection="1">
      <alignment vertical="top" wrapText="1"/>
    </xf>
    <xf numFmtId="0" fontId="0" fillId="0" borderId="61" xfId="0" applyBorder="1" applyAlignment="1" applyProtection="1">
      <alignment vertical="top" wrapText="1"/>
    </xf>
    <xf numFmtId="0" fontId="0" fillId="0" borderId="82" xfId="0" applyBorder="1" applyAlignment="1" applyProtection="1">
      <alignment vertical="top" wrapText="1"/>
    </xf>
    <xf numFmtId="0" fontId="0" fillId="0" borderId="0" xfId="0" applyAlignment="1" applyProtection="1">
      <alignment wrapText="1"/>
    </xf>
    <xf numFmtId="4" fontId="0" fillId="0" borderId="9" xfId="12" applyNumberFormat="1" applyFont="1" applyBorder="1" applyAlignment="1" applyProtection="1">
      <alignment horizontal="left" vertical="top"/>
    </xf>
    <xf numFmtId="4" fontId="0" fillId="4" borderId="35" xfId="12" applyNumberFormat="1" applyFont="1" applyFill="1" applyBorder="1" applyAlignment="1" applyProtection="1">
      <alignment horizontal="center"/>
    </xf>
    <xf numFmtId="4" fontId="0" fillId="5" borderId="34" xfId="12" applyNumberFormat="1" applyFont="1" applyFill="1" applyBorder="1" applyAlignment="1" applyProtection="1">
      <alignment horizontal="center"/>
    </xf>
    <xf numFmtId="4" fontId="0" fillId="5" borderId="33" xfId="12" applyNumberFormat="1" applyFont="1" applyFill="1" applyBorder="1" applyAlignment="1" applyProtection="1">
      <alignment horizontal="center"/>
    </xf>
    <xf numFmtId="4" fontId="34" fillId="0" borderId="73" xfId="12" applyNumberFormat="1" applyFont="1" applyBorder="1" applyAlignment="1" applyProtection="1">
      <alignment horizontal="left" vertical="top"/>
    </xf>
    <xf numFmtId="4" fontId="0" fillId="4" borderId="38" xfId="12" applyNumberFormat="1" applyFont="1" applyFill="1" applyBorder="1" applyAlignment="1" applyProtection="1">
      <alignment horizontal="center"/>
    </xf>
    <xf numFmtId="4" fontId="0" fillId="5" borderId="54" xfId="12" applyNumberFormat="1" applyFont="1" applyFill="1" applyBorder="1" applyAlignment="1" applyProtection="1">
      <alignment horizontal="center"/>
    </xf>
    <xf numFmtId="0" fontId="76" fillId="3" borderId="0" xfId="12" applyFont="1" applyFill="1" applyAlignment="1" applyProtection="1">
      <alignment vertical="top" wrapText="1"/>
    </xf>
    <xf numFmtId="4" fontId="0" fillId="5" borderId="38" xfId="12" applyNumberFormat="1" applyFont="1" applyFill="1" applyBorder="1" applyAlignment="1" applyProtection="1">
      <alignment horizontal="center" vertical="top"/>
    </xf>
    <xf numFmtId="4" fontId="0" fillId="5" borderId="38" xfId="12" applyNumberFormat="1" applyFont="1" applyFill="1" applyBorder="1" applyAlignment="1" applyProtection="1">
      <alignment horizontal="right" vertical="top"/>
    </xf>
    <xf numFmtId="0" fontId="76" fillId="3" borderId="0" xfId="0" applyFont="1" applyFill="1" applyAlignment="1" applyProtection="1">
      <alignment vertical="top" wrapText="1"/>
    </xf>
    <xf numFmtId="0" fontId="76" fillId="3" borderId="53" xfId="12" applyFont="1" applyFill="1" applyBorder="1" applyAlignment="1" applyProtection="1">
      <alignment vertical="top" wrapText="1"/>
    </xf>
    <xf numFmtId="4" fontId="0" fillId="5" borderId="54" xfId="12" applyNumberFormat="1" applyFont="1" applyFill="1" applyBorder="1" applyAlignment="1" applyProtection="1">
      <alignment horizontal="center" vertical="top"/>
    </xf>
    <xf numFmtId="4" fontId="0" fillId="5" borderId="54" xfId="12" applyNumberFormat="1" applyFont="1" applyFill="1" applyBorder="1" applyAlignment="1" applyProtection="1">
      <alignment horizontal="right" vertical="top"/>
    </xf>
    <xf numFmtId="0" fontId="76" fillId="3" borderId="50" xfId="0" applyFont="1" applyFill="1" applyBorder="1" applyAlignment="1" applyProtection="1">
      <alignment vertical="top" wrapText="1"/>
    </xf>
    <xf numFmtId="0" fontId="34" fillId="3" borderId="0" xfId="12" applyFont="1" applyFill="1" applyAlignment="1" applyProtection="1">
      <alignment vertical="top" wrapText="1"/>
    </xf>
    <xf numFmtId="0" fontId="34" fillId="3" borderId="0" xfId="0" applyFont="1" applyFill="1" applyAlignment="1" applyProtection="1">
      <alignment vertical="top" wrapText="1"/>
    </xf>
    <xf numFmtId="0" fontId="0" fillId="2" borderId="0" xfId="0" applyFill="1" applyAlignment="1" applyProtection="1">
      <alignment vertical="top" wrapText="1"/>
    </xf>
    <xf numFmtId="4" fontId="0" fillId="2" borderId="0" xfId="12" applyNumberFormat="1" applyFont="1" applyFill="1" applyAlignment="1" applyProtection="1">
      <alignment horizontal="left" vertical="top"/>
    </xf>
    <xf numFmtId="0" fontId="0" fillId="0" borderId="9" xfId="0" applyBorder="1" applyAlignment="1" applyProtection="1">
      <alignment vertical="center" wrapText="1"/>
    </xf>
    <xf numFmtId="0" fontId="0" fillId="0" borderId="10" xfId="0" applyBorder="1" applyAlignment="1" applyProtection="1">
      <alignment vertical="center" wrapText="1"/>
    </xf>
    <xf numFmtId="0" fontId="0" fillId="3" borderId="34" xfId="12" applyFont="1" applyFill="1" applyBorder="1" applyAlignment="1" applyProtection="1">
      <alignment wrapText="1"/>
    </xf>
    <xf numFmtId="0" fontId="0" fillId="3" borderId="37" xfId="12" applyFont="1" applyFill="1" applyBorder="1" applyAlignment="1" applyProtection="1">
      <alignment wrapText="1"/>
    </xf>
    <xf numFmtId="0" fontId="0" fillId="2" borderId="74" xfId="0" applyFill="1" applyBorder="1" applyAlignment="1" applyProtection="1">
      <alignment vertical="top"/>
    </xf>
    <xf numFmtId="0" fontId="0" fillId="2" borderId="6" xfId="0" applyFill="1" applyBorder="1" applyAlignment="1" applyProtection="1">
      <alignment vertical="top"/>
    </xf>
    <xf numFmtId="0" fontId="0" fillId="2" borderId="82" xfId="0" applyFill="1" applyBorder="1" applyAlignment="1" applyProtection="1">
      <alignment vertical="top"/>
    </xf>
    <xf numFmtId="4" fontId="0" fillId="0" borderId="52" xfId="12" applyNumberFormat="1" applyFont="1" applyBorder="1" applyAlignment="1" applyProtection="1">
      <alignment horizontal="center" vertical="top"/>
    </xf>
    <xf numFmtId="0" fontId="0" fillId="0" borderId="36" xfId="0" applyBorder="1" applyAlignment="1" applyProtection="1">
      <alignment vertical="top"/>
    </xf>
    <xf numFmtId="0" fontId="0" fillId="0" borderId="0" xfId="0" applyAlignment="1" applyProtection="1">
      <alignment vertical="top"/>
    </xf>
    <xf numFmtId="0" fontId="0" fillId="0" borderId="37" xfId="0" applyBorder="1" applyAlignment="1" applyProtection="1">
      <alignment vertical="top"/>
    </xf>
    <xf numFmtId="0" fontId="0" fillId="3" borderId="37" xfId="12" applyFont="1" applyFill="1" applyBorder="1" applyAlignment="1" applyProtection="1">
      <alignment vertical="top" wrapText="1"/>
    </xf>
    <xf numFmtId="4" fontId="0" fillId="2" borderId="52" xfId="12" applyNumberFormat="1" applyFont="1" applyFill="1" applyBorder="1" applyAlignment="1" applyProtection="1">
      <alignment horizontal="left" vertical="top"/>
    </xf>
    <xf numFmtId="0" fontId="0" fillId="2" borderId="53" xfId="0" applyFill="1" applyBorder="1" applyAlignment="1" applyProtection="1">
      <alignment horizontal="left" vertical="top"/>
    </xf>
    <xf numFmtId="0" fontId="0" fillId="2" borderId="59" xfId="0" applyFill="1" applyBorder="1" applyAlignment="1" applyProtection="1">
      <alignment horizontal="left" vertical="top"/>
    </xf>
    <xf numFmtId="0" fontId="0" fillId="2" borderId="36" xfId="0" applyFill="1" applyBorder="1" applyAlignment="1" applyProtection="1">
      <alignment horizontal="left" vertical="top"/>
    </xf>
    <xf numFmtId="0" fontId="0" fillId="2" borderId="0" xfId="0" applyFill="1" applyAlignment="1" applyProtection="1">
      <alignment horizontal="left" vertical="top"/>
    </xf>
    <xf numFmtId="0" fontId="0" fillId="2" borderId="37" xfId="0" applyFill="1" applyBorder="1" applyAlignment="1" applyProtection="1">
      <alignment horizontal="left" vertical="top"/>
    </xf>
    <xf numFmtId="0" fontId="0" fillId="2" borderId="62" xfId="0" applyFill="1" applyBorder="1" applyAlignment="1" applyProtection="1">
      <alignment horizontal="left" vertical="top"/>
    </xf>
    <xf numFmtId="0" fontId="0" fillId="2" borderId="50" xfId="0" applyFill="1" applyBorder="1" applyAlignment="1" applyProtection="1">
      <alignment horizontal="left" vertical="top"/>
    </xf>
    <xf numFmtId="0" fontId="0" fillId="2" borderId="61" xfId="0" applyFill="1" applyBorder="1" applyAlignment="1" applyProtection="1">
      <alignment horizontal="left" vertical="top"/>
    </xf>
    <xf numFmtId="0" fontId="0" fillId="2" borderId="36" xfId="0" applyFill="1" applyBorder="1" applyAlignment="1" applyProtection="1">
      <alignment horizontal="left" vertical="top"/>
    </xf>
    <xf numFmtId="0" fontId="0" fillId="2" borderId="53" xfId="0" applyFill="1" applyBorder="1" applyAlignment="1" applyProtection="1">
      <alignment horizontal="left" vertical="top"/>
    </xf>
    <xf numFmtId="0" fontId="0" fillId="2" borderId="0" xfId="0" applyFill="1" applyAlignment="1" applyProtection="1">
      <alignment horizontal="left" vertical="top"/>
    </xf>
    <xf numFmtId="0" fontId="0" fillId="2" borderId="37" xfId="0" applyFill="1" applyBorder="1" applyAlignment="1" applyProtection="1">
      <alignment horizontal="left" vertical="top"/>
    </xf>
    <xf numFmtId="0" fontId="0" fillId="3" borderId="82" xfId="12" applyFont="1" applyFill="1" applyBorder="1" applyAlignment="1" applyProtection="1">
      <alignment vertical="top" wrapText="1"/>
    </xf>
    <xf numFmtId="0" fontId="0" fillId="2" borderId="74" xfId="0" applyFill="1" applyBorder="1" applyAlignment="1" applyProtection="1">
      <alignment horizontal="left" vertical="top"/>
    </xf>
    <xf numFmtId="0" fontId="0" fillId="2" borderId="6" xfId="0" applyFill="1" applyBorder="1" applyAlignment="1" applyProtection="1">
      <alignment horizontal="left" vertical="top"/>
    </xf>
    <xf numFmtId="0" fontId="0" fillId="2" borderId="82" xfId="0" applyFill="1" applyBorder="1" applyAlignment="1" applyProtection="1">
      <alignment horizontal="left" vertical="top"/>
    </xf>
    <xf numFmtId="0" fontId="0" fillId="0" borderId="0" xfId="0" applyAlignment="1" applyProtection="1">
      <alignment vertical="top" wrapText="1"/>
    </xf>
    <xf numFmtId="0" fontId="0" fillId="0" borderId="0" xfId="0" applyAlignment="1" applyProtection="1">
      <alignment horizontal="left" vertical="top"/>
    </xf>
    <xf numFmtId="0" fontId="0" fillId="0" borderId="3" xfId="0" applyBorder="1" applyAlignment="1" applyProtection="1">
      <alignment horizontal="left" vertical="top"/>
    </xf>
    <xf numFmtId="0" fontId="0" fillId="18" borderId="9" xfId="0" applyFill="1" applyBorder="1" applyAlignment="1" applyProtection="1">
      <alignment vertical="top" wrapText="1"/>
    </xf>
    <xf numFmtId="0" fontId="0" fillId="18" borderId="9" xfId="0" applyFill="1" applyBorder="1" applyAlignment="1" applyProtection="1">
      <alignment horizontal="left" vertical="top"/>
    </xf>
    <xf numFmtId="0" fontId="25" fillId="3" borderId="37" xfId="12" applyFont="1" applyFill="1" applyBorder="1" applyAlignment="1" applyProtection="1">
      <alignment vertical="top" wrapText="1"/>
    </xf>
    <xf numFmtId="0" fontId="25" fillId="0" borderId="37" xfId="0" applyFont="1" applyBorder="1" applyAlignment="1" applyProtection="1">
      <alignment vertical="top" wrapText="1"/>
    </xf>
    <xf numFmtId="0" fontId="76" fillId="3" borderId="59" xfId="12" applyFont="1" applyFill="1" applyBorder="1" applyAlignment="1" applyProtection="1">
      <alignment vertical="top" wrapText="1"/>
    </xf>
    <xf numFmtId="0" fontId="76" fillId="0" borderId="61" xfId="0" applyFont="1" applyBorder="1" applyAlignment="1" applyProtection="1">
      <alignment vertical="top" wrapText="1"/>
    </xf>
    <xf numFmtId="0" fontId="76" fillId="3" borderId="37" xfId="12" applyFont="1" applyFill="1" applyBorder="1" applyAlignment="1" applyProtection="1">
      <alignment vertical="top" wrapText="1"/>
    </xf>
    <xf numFmtId="0" fontId="0" fillId="0" borderId="9" xfId="0" applyBorder="1" applyProtection="1"/>
    <xf numFmtId="0" fontId="0" fillId="0" borderId="18" xfId="0" applyBorder="1" applyProtection="1"/>
    <xf numFmtId="0" fontId="0" fillId="0" borderId="6" xfId="0" applyBorder="1" applyProtection="1"/>
    <xf numFmtId="0" fontId="11" fillId="0" borderId="10" xfId="0" applyFont="1" applyBorder="1" applyAlignment="1" applyProtection="1">
      <alignment horizontal="right" vertical="center"/>
    </xf>
    <xf numFmtId="0" fontId="68" fillId="0" borderId="0" xfId="0" applyFont="1" applyProtection="1"/>
    <xf numFmtId="0" fontId="0" fillId="0" borderId="0" xfId="0" applyProtection="1"/>
    <xf numFmtId="0" fontId="22" fillId="0" borderId="0" xfId="0" applyFont="1" applyAlignment="1" applyProtection="1">
      <alignment vertical="center"/>
      <protection hidden="1"/>
    </xf>
    <xf numFmtId="0" fontId="22" fillId="0" borderId="0" xfId="0" applyFont="1" applyProtection="1">
      <protection hidden="1"/>
    </xf>
    <xf numFmtId="0" fontId="9" fillId="0" borderId="9" xfId="0" applyFont="1" applyBorder="1" applyAlignment="1" applyProtection="1">
      <alignment horizontal="left" vertical="top" wrapText="1"/>
    </xf>
    <xf numFmtId="0" fontId="9" fillId="0" borderId="9" xfId="0" applyFont="1" applyBorder="1" applyAlignment="1" applyProtection="1">
      <alignment horizontal="left" vertical="top"/>
    </xf>
    <xf numFmtId="4" fontId="0" fillId="0" borderId="0" xfId="0" applyNumberFormat="1" applyAlignment="1" applyProtection="1">
      <alignment vertical="top" wrapText="1"/>
      <protection hidden="1"/>
    </xf>
    <xf numFmtId="4" fontId="0" fillId="0" borderId="0" xfId="0" applyNumberFormat="1" applyAlignment="1" applyProtection="1">
      <alignment vertical="center" wrapText="1"/>
      <protection hidden="1"/>
    </xf>
    <xf numFmtId="167" fontId="0" fillId="4" borderId="8" xfId="0" applyNumberFormat="1" applyFill="1" applyBorder="1" applyAlignment="1" applyProtection="1">
      <alignment vertical="top"/>
    </xf>
    <xf numFmtId="3" fontId="25" fillId="0" borderId="89" xfId="13" applyNumberFormat="1" applyFont="1" applyBorder="1" applyAlignment="1" applyProtection="1">
      <alignment horizontal="right" vertical="top" shrinkToFit="1"/>
    </xf>
    <xf numFmtId="4" fontId="11" fillId="0" borderId="15" xfId="0" applyNumberFormat="1" applyFont="1" applyBorder="1" applyAlignment="1" applyProtection="1">
      <alignment vertical="top"/>
    </xf>
    <xf numFmtId="0" fontId="12" fillId="4" borderId="50" xfId="0" applyFont="1" applyFill="1" applyBorder="1" applyAlignment="1" applyProtection="1">
      <alignment vertical="top" wrapText="1"/>
    </xf>
    <xf numFmtId="0" fontId="12" fillId="4" borderId="57" xfId="0" applyFont="1" applyFill="1" applyBorder="1" applyAlignment="1" applyProtection="1">
      <alignment vertical="top" wrapText="1"/>
    </xf>
    <xf numFmtId="2" fontId="0" fillId="4" borderId="8" xfId="0" applyNumberFormat="1" applyFill="1" applyBorder="1" applyAlignment="1" applyProtection="1">
      <alignment horizontal="center" vertical="top"/>
    </xf>
    <xf numFmtId="0" fontId="9" fillId="0" borderId="0" xfId="0" applyFont="1" applyAlignment="1" applyProtection="1">
      <alignment vertical="top"/>
    </xf>
    <xf numFmtId="0" fontId="9" fillId="6" borderId="0" xfId="0" applyFont="1" applyFill="1" applyAlignment="1" applyProtection="1">
      <alignment vertical="top"/>
    </xf>
    <xf numFmtId="0" fontId="12" fillId="4" borderId="50" xfId="0" applyFont="1" applyFill="1" applyBorder="1" applyAlignment="1" applyProtection="1">
      <alignment horizontal="left" vertical="top" wrapText="1"/>
    </xf>
    <xf numFmtId="2" fontId="0" fillId="6" borderId="8" xfId="0" applyNumberFormat="1" applyFill="1" applyBorder="1" applyAlignment="1" applyProtection="1">
      <alignment horizontal="center" vertical="top"/>
    </xf>
    <xf numFmtId="0" fontId="12" fillId="6" borderId="0" xfId="0" applyFont="1" applyFill="1" applyAlignment="1" applyProtection="1">
      <alignment vertical="top" wrapText="1"/>
    </xf>
    <xf numFmtId="2" fontId="0" fillId="5" borderId="1" xfId="0" applyNumberFormat="1" applyFill="1" applyBorder="1" applyAlignment="1" applyProtection="1">
      <alignment horizontal="center" vertical="top"/>
      <protection hidden="1"/>
    </xf>
    <xf numFmtId="0" fontId="34" fillId="0" borderId="0" xfId="0" quotePrefix="1" applyFont="1" applyAlignment="1" applyProtection="1">
      <alignment vertical="top"/>
      <protection hidden="1"/>
    </xf>
    <xf numFmtId="3" fontId="11" fillId="4" borderId="1" xfId="0" applyNumberFormat="1" applyFont="1" applyFill="1" applyBorder="1" applyAlignment="1" applyProtection="1">
      <alignment horizontal="center" vertical="top"/>
    </xf>
    <xf numFmtId="2" fontId="0" fillId="0" borderId="0" xfId="0" applyNumberFormat="1" applyAlignment="1" applyProtection="1">
      <alignment vertical="top"/>
      <protection hidden="1"/>
    </xf>
    <xf numFmtId="2" fontId="0" fillId="0" borderId="0" xfId="0" quotePrefix="1" applyNumberFormat="1" applyAlignment="1" applyProtection="1">
      <alignment vertical="top"/>
      <protection hidden="1"/>
    </xf>
    <xf numFmtId="10" fontId="0" fillId="5" borderId="1" xfId="0" applyNumberFormat="1" applyFill="1" applyBorder="1" applyAlignment="1" applyProtection="1">
      <alignment horizontal="center" vertical="top"/>
    </xf>
    <xf numFmtId="4" fontId="0" fillId="5" borderId="1" xfId="0" applyNumberFormat="1" applyFill="1" applyBorder="1" applyAlignment="1" applyProtection="1">
      <alignment horizontal="center" vertical="top"/>
    </xf>
    <xf numFmtId="0" fontId="23" fillId="0" borderId="0" xfId="0" applyFont="1" applyProtection="1">
      <protection hidden="1"/>
    </xf>
    <xf numFmtId="169" fontId="0" fillId="0" borderId="3" xfId="0" applyNumberFormat="1" applyBorder="1" applyAlignment="1" applyProtection="1">
      <alignment horizontal="center" vertical="top"/>
    </xf>
    <xf numFmtId="10" fontId="0" fillId="0" borderId="0" xfId="0" applyNumberFormat="1" applyAlignment="1" applyProtection="1">
      <alignment horizontal="center" vertical="top"/>
    </xf>
    <xf numFmtId="0" fontId="0" fillId="4" borderId="21" xfId="0" applyFill="1" applyBorder="1" applyAlignment="1" applyProtection="1">
      <alignment vertical="center" wrapText="1"/>
    </xf>
    <xf numFmtId="0" fontId="0" fillId="4" borderId="22" xfId="0" applyFill="1" applyBorder="1" applyAlignment="1" applyProtection="1">
      <alignment vertical="center" wrapText="1"/>
    </xf>
    <xf numFmtId="0" fontId="0" fillId="4" borderId="48" xfId="0" applyFill="1" applyBorder="1" applyAlignment="1" applyProtection="1">
      <alignment vertical="center" wrapText="1"/>
    </xf>
    <xf numFmtId="167" fontId="11" fillId="0" borderId="10" xfId="0" applyNumberFormat="1" applyFont="1" applyBorder="1" applyAlignment="1" applyProtection="1">
      <alignment horizontal="right" vertical="center"/>
    </xf>
    <xf numFmtId="0" fontId="18" fillId="0" borderId="0" xfId="0" applyFont="1" applyAlignment="1" applyProtection="1">
      <alignment vertical="center"/>
      <protection hidden="1"/>
    </xf>
    <xf numFmtId="10" fontId="0" fillId="4" borderId="1" xfId="0" quotePrefix="1" applyNumberFormat="1" applyFill="1" applyBorder="1" applyAlignment="1" applyProtection="1">
      <alignment horizontal="center" vertical="top"/>
    </xf>
    <xf numFmtId="164" fontId="0" fillId="0" borderId="0" xfId="0" applyNumberFormat="1" applyAlignment="1" applyProtection="1">
      <alignment vertical="top"/>
      <protection hidden="1"/>
    </xf>
    <xf numFmtId="0" fontId="37" fillId="0" borderId="52" xfId="0" applyFont="1" applyBorder="1" applyAlignment="1" applyProtection="1">
      <alignment vertical="top"/>
      <protection hidden="1"/>
    </xf>
    <xf numFmtId="0" fontId="46" fillId="0" borderId="53" xfId="0" applyFont="1" applyBorder="1" applyAlignment="1" applyProtection="1">
      <alignment vertical="center"/>
      <protection hidden="1"/>
    </xf>
    <xf numFmtId="0" fontId="22" fillId="0" borderId="36" xfId="0" applyFont="1" applyBorder="1" applyAlignment="1" applyProtection="1">
      <alignment vertical="center"/>
      <protection hidden="1"/>
    </xf>
    <xf numFmtId="0" fontId="0" fillId="5" borderId="23" xfId="0" applyFill="1" applyBorder="1" applyAlignment="1" applyProtection="1">
      <alignment horizontal="left" vertical="top"/>
    </xf>
    <xf numFmtId="0" fontId="0" fillId="5" borderId="25" xfId="0" applyFill="1" applyBorder="1" applyAlignment="1" applyProtection="1">
      <alignment horizontal="left" vertical="top"/>
    </xf>
    <xf numFmtId="0" fontId="0" fillId="5" borderId="5" xfId="0" applyFill="1" applyBorder="1" applyAlignment="1" applyProtection="1">
      <alignment horizontal="left" vertical="top"/>
    </xf>
    <xf numFmtId="0" fontId="0" fillId="5" borderId="7" xfId="0" applyFill="1" applyBorder="1" applyAlignment="1" applyProtection="1">
      <alignment horizontal="left" vertical="top"/>
    </xf>
    <xf numFmtId="0" fontId="22" fillId="0" borderId="62" xfId="0" applyFont="1" applyBorder="1" applyAlignment="1" applyProtection="1">
      <alignment vertical="center"/>
      <protection hidden="1"/>
    </xf>
    <xf numFmtId="4" fontId="72" fillId="0" borderId="1" xfId="0" applyNumberFormat="1" applyFont="1" applyBorder="1" applyAlignment="1" applyProtection="1">
      <alignment vertical="top"/>
    </xf>
    <xf numFmtId="0" fontId="0" fillId="0" borderId="58" xfId="0" quotePrefix="1" applyBorder="1" applyAlignment="1" applyProtection="1">
      <alignment vertical="top"/>
    </xf>
    <xf numFmtId="0" fontId="0" fillId="0" borderId="45" xfId="0" quotePrefix="1" applyBorder="1" applyAlignment="1" applyProtection="1">
      <alignment vertical="top"/>
    </xf>
    <xf numFmtId="0" fontId="0" fillId="0" borderId="46" xfId="0" quotePrefix="1" applyBorder="1" applyAlignment="1" applyProtection="1">
      <alignment vertical="top"/>
    </xf>
    <xf numFmtId="4" fontId="72" fillId="0" borderId="1" xfId="0" applyNumberFormat="1" applyFont="1" applyBorder="1" applyAlignment="1" applyProtection="1">
      <alignment horizontal="right" vertical="top"/>
    </xf>
    <xf numFmtId="0" fontId="0" fillId="4" borderId="21" xfId="0" quotePrefix="1" applyFill="1" applyBorder="1" applyAlignment="1" applyProtection="1">
      <alignment vertical="top"/>
    </xf>
    <xf numFmtId="0" fontId="0" fillId="4" borderId="22" xfId="0" quotePrefix="1" applyFill="1" applyBorder="1" applyAlignment="1" applyProtection="1">
      <alignment vertical="top" wrapText="1"/>
    </xf>
    <xf numFmtId="0" fontId="0" fillId="4" borderId="48" xfId="0" quotePrefix="1" applyFill="1" applyBorder="1" applyAlignment="1" applyProtection="1">
      <alignment vertical="top" wrapText="1"/>
    </xf>
    <xf numFmtId="4" fontId="0" fillId="0" borderId="1" xfId="0" applyNumberFormat="1" applyBorder="1" applyAlignment="1" applyProtection="1">
      <alignment horizontal="right" vertical="top"/>
    </xf>
    <xf numFmtId="4" fontId="0" fillId="0" borderId="36" xfId="0" applyNumberFormat="1" applyBorder="1" applyAlignment="1" applyProtection="1">
      <alignment vertical="top"/>
      <protection locked="0" hidden="1"/>
    </xf>
    <xf numFmtId="0" fontId="0" fillId="5" borderId="1" xfId="0" applyFill="1" applyBorder="1" applyAlignment="1" applyProtection="1">
      <alignment vertical="top"/>
      <protection locked="0" hidden="1"/>
    </xf>
  </cellXfs>
  <cellStyles count="14">
    <cellStyle name="Link" xfId="3" builtinId="8"/>
    <cellStyle name="Standard" xfId="0" builtinId="0"/>
    <cellStyle name="Standard 2" xfId="1" xr:uid="{00000000-0005-0000-0000-000002000000}"/>
    <cellStyle name="Standard 2 2" xfId="2" xr:uid="{00000000-0005-0000-0000-000003000000}"/>
    <cellStyle name="Standard 2 2 2" xfId="5" xr:uid="{00000000-0005-0000-0000-000004000000}"/>
    <cellStyle name="Standard 2 2 2 2" xfId="10" xr:uid="{00000000-0005-0000-0000-000005000000}"/>
    <cellStyle name="Standard 2 2 3" xfId="8" xr:uid="{00000000-0005-0000-0000-000006000000}"/>
    <cellStyle name="Standard 2 3" xfId="4" xr:uid="{00000000-0005-0000-0000-000007000000}"/>
    <cellStyle name="Standard 2 3 2" xfId="9" xr:uid="{00000000-0005-0000-0000-000008000000}"/>
    <cellStyle name="Standard 2 4" xfId="7" xr:uid="{00000000-0005-0000-0000-000009000000}"/>
    <cellStyle name="Standard 2 5" xfId="12" xr:uid="{00000000-0005-0000-0000-00000A000000}"/>
    <cellStyle name="Standard 3" xfId="13" xr:uid="{00000000-0005-0000-0000-00000B000000}"/>
    <cellStyle name="Währung" xfId="6" builtinId="4"/>
    <cellStyle name="Währung 2" xfId="11" xr:uid="{00000000-0005-0000-0000-00000D000000}"/>
  </cellStyles>
  <dxfs count="2510">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dxf>
    <dxf>
      <font>
        <strike/>
        <color rgb="FFC00000"/>
      </font>
      <fill>
        <patternFill>
          <bgColor theme="0"/>
        </patternFill>
      </fill>
    </dxf>
    <dxf>
      <font>
        <b val="0"/>
        <i/>
      </font>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rgb="FFFFFFCC"/>
        </patternFill>
      </fill>
    </dxf>
    <dxf>
      <font>
        <strike val="0"/>
        <color theme="1"/>
      </font>
      <fill>
        <patternFill>
          <bgColor rgb="FFFFFFCC"/>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val="0"/>
        <color theme="1"/>
      </font>
      <fill>
        <patternFill>
          <bgColor theme="4" tint="0.79998168889431442"/>
        </patternFill>
      </fill>
    </dxf>
    <dxf>
      <font>
        <strike val="0"/>
        <color theme="1"/>
      </font>
      <border>
        <left style="thin">
          <color rgb="FFC00000"/>
        </left>
        <right style="thin">
          <color rgb="FFC00000"/>
        </right>
        <top style="thin">
          <color rgb="FFC00000"/>
        </top>
        <bottom style="thin">
          <color rgb="FFC00000"/>
        </bottom>
        <vertical/>
        <horizontal/>
      </border>
    </dxf>
    <dxf>
      <font>
        <strike val="0"/>
        <color theme="1"/>
      </font>
      <fill>
        <patternFill>
          <bgColor theme="4" tint="0.79998168889431442"/>
        </patternFill>
      </fill>
    </dxf>
    <dxf>
      <font>
        <strike val="0"/>
        <color theme="1"/>
      </font>
      <fill>
        <patternFill>
          <bgColor theme="4" tint="0.79998168889431442"/>
        </patternFill>
      </fill>
    </dxf>
    <dxf>
      <font>
        <strike val="0"/>
        <color theme="1"/>
      </font>
      <border>
        <left style="thin">
          <color rgb="FFC00000"/>
        </left>
        <right style="thin">
          <color rgb="FFC00000"/>
        </right>
        <top style="thin">
          <color rgb="FFC00000"/>
        </top>
        <bottom style="thin">
          <color rgb="FFC00000"/>
        </bottom>
        <vertical/>
        <horizontal/>
      </border>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strike/>
        <color rgb="FFC00000"/>
      </font>
      <fill>
        <patternFill>
          <bgColor theme="0"/>
        </patternFill>
      </fill>
    </dxf>
    <dxf>
      <font>
        <strike/>
        <color theme="0"/>
      </font>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val="0"/>
        <strike val="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val="0"/>
        <strike/>
        <color rgb="FFC00000"/>
      </font>
      <fill>
        <patternFill>
          <bgColor theme="5" tint="0.79998168889431442"/>
        </patternFill>
      </fill>
      <border>
        <left style="thin">
          <color rgb="FFC00000"/>
        </left>
        <right style="thin">
          <color rgb="FFC00000"/>
        </right>
        <top style="thin">
          <color rgb="FFC00000"/>
        </top>
        <bottom style="thin">
          <color rgb="FFC00000"/>
        </bottom>
      </border>
    </dxf>
    <dxf>
      <font>
        <strike/>
        <color rgb="FFC00000"/>
      </font>
      <fill>
        <patternFill>
          <bgColor theme="0"/>
        </patternFill>
      </fill>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val="0"/>
        <strike val="0"/>
        <color auto="1"/>
      </font>
      <fill>
        <patternFill>
          <bgColor theme="5" tint="0.79998168889431442"/>
        </patternFill>
      </fill>
      <border>
        <left style="thin">
          <color rgb="FFC00000"/>
        </left>
        <right style="thin">
          <color rgb="FFC00000"/>
        </right>
        <top style="thin">
          <color rgb="FFC00000"/>
        </top>
        <bottom style="thin">
          <color rgb="FFC00000"/>
        </bottom>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border>
        <left style="thin">
          <color auto="1"/>
        </left>
        <right style="thin">
          <color auto="1"/>
        </right>
        <top style="thin">
          <color auto="1"/>
        </top>
        <bottom style="thin">
          <color auto="1"/>
        </bottom>
      </border>
    </dxf>
    <dxf>
      <font>
        <color auto="1"/>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auto="1"/>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border>
        <left style="thin">
          <color auto="1"/>
        </left>
        <right style="thin">
          <color auto="1"/>
        </right>
        <top style="thin">
          <color auto="1"/>
        </top>
        <bottom style="thin">
          <color auto="1"/>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b val="0"/>
        <i val="0"/>
        <strike val="0"/>
        <color auto="1"/>
      </font>
      <fill>
        <patternFill>
          <bgColor theme="4"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theme="0"/>
      </font>
      <fill>
        <patternFill>
          <bgColor theme="0"/>
        </patternFill>
      </fill>
    </dxf>
    <dxf>
      <font>
        <b val="0"/>
        <i val="0"/>
        <strike val="0"/>
        <color auto="1"/>
      </font>
      <fill>
        <patternFill>
          <bgColor theme="4" tint="0.79998168889431442"/>
        </patternFill>
      </fill>
      <border>
        <left style="thin">
          <color rgb="FFC00000"/>
        </left>
        <right style="thin">
          <color rgb="FFC00000"/>
        </right>
        <top style="thin">
          <color rgb="FFC00000"/>
        </top>
        <bottom style="thin">
          <color rgb="FFC00000"/>
        </bottom>
      </border>
    </dxf>
    <dxf>
      <font>
        <b val="0"/>
        <i/>
        <strike/>
        <color rgb="FFC00000"/>
      </font>
      <fill>
        <patternFill>
          <bgColor theme="5" tint="0.79998168889431442"/>
        </patternFill>
      </fill>
      <border>
        <left style="thin">
          <color rgb="FFC00000"/>
        </left>
        <right style="thin">
          <color rgb="FFC00000"/>
        </right>
        <top style="thin">
          <color rgb="FFC00000"/>
        </top>
        <bottom style="thin">
          <color rgb="FFC00000"/>
        </bottom>
      </border>
    </dxf>
    <dxf>
      <font>
        <strike/>
        <color rgb="FFC00000"/>
      </font>
      <fill>
        <patternFill>
          <bgColor theme="0"/>
        </patternFill>
      </fill>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ont>
        <strike/>
        <color theme="0"/>
      </font>
      <fill>
        <patternFill>
          <bgColor theme="0"/>
        </patternFill>
      </fill>
    </dxf>
    <dxf>
      <font>
        <strike/>
        <color theme="0"/>
      </font>
      <fill>
        <patternFill>
          <bgColor theme="0"/>
        </patternFill>
      </fill>
    </dxf>
    <dxf>
      <font>
        <strike val="0"/>
        <color auto="1"/>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val="0"/>
        <color theme="1"/>
      </font>
      <fill>
        <patternFill>
          <bgColor theme="4" tint="0.79998168889431442"/>
        </patternFill>
      </fill>
    </dxf>
    <dxf>
      <font>
        <strike val="0"/>
        <color theme="1"/>
      </font>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ont>
        <strike/>
        <color theme="0"/>
      </font>
      <fill>
        <patternFill>
          <bgColor theme="0"/>
        </patternFill>
      </fill>
    </dxf>
    <dxf>
      <font>
        <strike/>
        <color theme="0"/>
      </font>
    </dxf>
    <dxf>
      <font>
        <strike/>
        <color theme="0"/>
      </font>
    </dxf>
    <dxf>
      <font>
        <strike/>
        <color theme="0"/>
      </font>
      <fill>
        <patternFill>
          <bgColor theme="0"/>
        </patternFill>
      </fill>
    </dxf>
    <dxf>
      <font>
        <strike/>
        <color theme="0"/>
      </font>
      <fill>
        <patternFill>
          <bgColor theme="0"/>
        </patternFill>
      </fill>
    </dxf>
    <dxf>
      <font>
        <strike/>
        <color theme="0"/>
      </font>
      <fill>
        <patternFill>
          <bgColor theme="0"/>
        </patternFill>
      </fill>
    </dxf>
    <dxf>
      <font>
        <strike/>
        <color theme="0"/>
      </font>
      <fill>
        <patternFill>
          <bgColor theme="0"/>
        </patternFill>
      </fill>
    </dxf>
    <dxf>
      <font>
        <strike/>
        <color theme="0"/>
      </font>
      <fill>
        <patternFill patternType="solid">
          <bgColor theme="0"/>
        </patternFill>
      </fill>
    </dxf>
    <dxf>
      <font>
        <b/>
        <i val="0"/>
      </font>
    </dxf>
    <dxf>
      <font>
        <b/>
        <i val="0"/>
      </font>
    </dxf>
    <dxf>
      <font>
        <strike/>
        <color rgb="FFC00000"/>
      </font>
      <fill>
        <patternFill>
          <bgColor theme="0"/>
        </patternFill>
      </fill>
    </dxf>
    <dxf>
      <font>
        <b val="0"/>
        <i/>
      </font>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0"/>
        </patternFill>
      </fill>
    </dxf>
    <dxf>
      <fill>
        <patternFill>
          <bgColor theme="0"/>
        </patternFill>
      </fill>
    </dxf>
    <dxf>
      <fill>
        <patternFill>
          <bgColor theme="0"/>
        </patternFill>
      </fill>
    </dxf>
    <dxf>
      <fill>
        <patternFill>
          <bgColor theme="0"/>
        </patternFill>
      </fill>
    </dxf>
    <dxf>
      <font>
        <strike/>
        <color theme="0"/>
      </font>
      <fill>
        <patternFill>
          <bgColor theme="0"/>
        </patternFill>
      </fill>
    </dxf>
    <dxf>
      <font>
        <strike/>
        <color theme="0"/>
      </font>
      <fill>
        <patternFill>
          <bgColor theme="0"/>
        </patternFill>
      </fill>
    </dxf>
    <dxf>
      <font>
        <strike/>
        <color theme="0"/>
      </font>
    </dxf>
    <dxf>
      <font>
        <strike/>
        <color theme="0"/>
      </font>
      <fill>
        <patternFill>
          <bgColor theme="0"/>
        </patternFill>
      </fill>
    </dxf>
    <dxf>
      <font>
        <b/>
        <i val="0"/>
      </font>
    </dxf>
    <dxf>
      <font>
        <b/>
        <i val="0"/>
      </font>
    </dxf>
    <dxf>
      <font>
        <b/>
        <i val="0"/>
      </font>
    </dxf>
    <dxf>
      <font>
        <b/>
        <i val="0"/>
      </font>
    </dxf>
    <dxf>
      <font>
        <strike/>
        <color rgb="FFC00000"/>
      </font>
      <fill>
        <patternFill>
          <bgColor theme="0"/>
        </patternFill>
      </fill>
    </dxf>
    <dxf>
      <font>
        <b val="0"/>
        <i/>
      </font>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2499465926084170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24994659260841701"/>
      </font>
      <fill>
        <patternFill>
          <bgColor theme="0"/>
        </patternFill>
      </fill>
    </dxf>
    <dxf>
      <font>
        <strike/>
        <color theme="0" tint="-0.2499465926084170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patternType="none">
          <bgColor auto="1"/>
        </patternFill>
      </fill>
      <border>
        <left style="thin">
          <color auto="1"/>
        </left>
        <right style="thin">
          <color auto="1"/>
        </right>
        <top style="thin">
          <color auto="1"/>
        </top>
        <bottom style="thin">
          <color auto="1"/>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b/>
        <i val="0"/>
      </font>
    </dxf>
    <dxf>
      <font>
        <b/>
        <i val="0"/>
      </font>
    </dxf>
    <dxf>
      <font>
        <b/>
        <i val="0"/>
      </font>
    </dxf>
    <dxf>
      <font>
        <b/>
        <i val="0"/>
      </font>
    </dxf>
    <dxf>
      <font>
        <b/>
        <i val="0"/>
      </font>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rgb="FFC00000"/>
      </font>
      <fill>
        <patternFill patternType="none">
          <bgColor auto="1"/>
        </patternFill>
      </fill>
      <border>
        <left style="thin">
          <color auto="1"/>
        </left>
        <right style="thin">
          <color auto="1"/>
        </right>
        <top style="thin">
          <color auto="1"/>
        </top>
        <bottom style="thin">
          <color auto="1"/>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b/>
        <i val="0"/>
      </font>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font>
        <strike/>
        <color theme="0" tint="-0.14996795556505021"/>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tint="-4.9989318521683403E-2"/>
        </patternFill>
      </fill>
      <border>
        <left style="thin">
          <color rgb="FFC00000"/>
        </left>
        <right style="thin">
          <color rgb="FFC00000"/>
        </right>
        <top style="thin">
          <color rgb="FFC00000"/>
        </top>
        <bottom style="thin">
          <color rgb="FFC00000"/>
        </bottom>
        <vertical/>
        <horizontal/>
      </border>
    </dxf>
    <dxf>
      <font>
        <b val="0"/>
        <i val="0"/>
        <strike/>
        <color rgb="FFC00000"/>
      </font>
      <fill>
        <patternFill>
          <bgColor theme="0" tint="-4.9989318521683403E-2"/>
        </patternFill>
      </fill>
    </dxf>
    <dxf>
      <border>
        <left style="thin">
          <color rgb="FFC00000"/>
        </left>
        <right style="thin">
          <color rgb="FFC00000"/>
        </right>
        <top style="thin">
          <color rgb="FFC00000"/>
        </top>
        <bottom style="thin">
          <color rgb="FFC00000"/>
        </bottom>
        <vertical/>
        <horizontal/>
      </border>
    </dxf>
    <dxf>
      <font>
        <b/>
        <i val="0"/>
      </font>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b/>
        <i val="0"/>
      </font>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theme="5"/>
        </left>
        <right style="thin">
          <color theme="5"/>
        </right>
        <top style="thin">
          <color theme="5"/>
        </top>
        <bottom style="thin">
          <color theme="5"/>
        </bottom>
        <vertical/>
        <horizontal/>
      </border>
    </dxf>
    <dxf>
      <font>
        <b val="0"/>
        <i/>
        <strike/>
        <color rgb="FFC00000"/>
      </font>
      <border>
        <left style="thin">
          <color theme="5"/>
        </left>
        <right style="thin">
          <color theme="5"/>
        </right>
        <top style="thin">
          <color theme="5"/>
        </top>
        <bottom style="thin">
          <color theme="5"/>
        </bottom>
        <vertical/>
        <horizontal/>
      </border>
    </dxf>
    <dxf>
      <font>
        <b val="0"/>
        <i/>
        <strike/>
        <color rgb="FFC00000"/>
      </font>
      <border>
        <left style="thin">
          <color theme="5"/>
        </left>
        <right style="thin">
          <color theme="5"/>
        </right>
        <top style="thin">
          <color theme="5"/>
        </top>
        <bottom style="thin">
          <color theme="5"/>
        </bottom>
        <vertical/>
        <horizontal/>
      </border>
    </dxf>
    <dxf>
      <font>
        <b val="0"/>
        <i val="0"/>
        <strike/>
        <color rgb="FFC00000"/>
      </font>
      <border>
        <left style="thin">
          <color theme="5"/>
        </left>
        <right style="thin">
          <color theme="5"/>
        </right>
        <top style="thin">
          <color theme="5"/>
        </top>
        <bottom style="thin">
          <color theme="5"/>
        </bottom>
        <vertical/>
        <horizontal/>
      </border>
    </dxf>
    <dxf>
      <font>
        <b val="0"/>
        <i/>
        <strike/>
        <color rgb="FFC00000"/>
      </font>
      <border>
        <left style="thin">
          <color theme="5"/>
        </left>
        <right style="thin">
          <color theme="5"/>
        </right>
        <top style="thin">
          <color theme="5"/>
        </top>
        <bottom style="thin">
          <color theme="5"/>
        </bottom>
        <vertical/>
        <horizontal/>
      </border>
    </dxf>
    <dxf>
      <font>
        <strike/>
        <color rgb="FFC00000"/>
      </font>
      <fill>
        <patternFill>
          <bgColor theme="0"/>
        </patternFill>
      </fill>
    </dxf>
    <dxf>
      <font>
        <b val="0"/>
        <i/>
        <strike/>
        <color rgb="FFC00000"/>
      </font>
      <border>
        <left style="thin">
          <color theme="5"/>
        </left>
        <right style="thin">
          <color theme="5"/>
        </right>
        <top style="thin">
          <color theme="5"/>
        </top>
        <bottom style="thin">
          <color theme="5"/>
        </bottom>
        <vertical/>
        <horizontal/>
      </border>
    </dxf>
    <dxf>
      <font>
        <strike/>
        <color rgb="FFC00000"/>
      </font>
      <border>
        <left style="thin">
          <color rgb="FFC00000"/>
        </left>
        <right style="thin">
          <color rgb="FFC00000"/>
        </right>
        <top style="thin">
          <color rgb="FFC00000"/>
        </top>
        <bottom style="thin">
          <color rgb="FFC00000"/>
        </bottom>
        <vertical/>
        <horizontal/>
      </border>
    </dxf>
    <dxf>
      <font>
        <strike/>
        <color rgb="FFC00000"/>
      </font>
      <border>
        <left style="thin">
          <color rgb="FFC00000"/>
        </left>
        <right style="thin">
          <color rgb="FFC00000"/>
        </right>
        <top style="thin">
          <color rgb="FFC00000"/>
        </top>
        <bottom style="thin">
          <color rgb="FFC00000"/>
        </bottom>
        <vertical/>
        <horizontal/>
      </border>
    </dxf>
    <dxf>
      <font>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b val="0"/>
        <i val="0"/>
        <strike val="0"/>
        <color theme="1"/>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b val="0"/>
        <i/>
        <strike/>
        <color rgb="FFC00000"/>
      </font>
      <border>
        <left style="thin">
          <color rgb="FFC00000"/>
        </left>
        <right style="thin">
          <color rgb="FFC00000"/>
        </right>
        <top style="thin">
          <color rgb="FFC00000"/>
        </top>
        <bottom style="thin">
          <color rgb="FFC00000"/>
        </bottom>
        <vertical/>
        <horizontal/>
      </border>
    </dxf>
    <dxf>
      <font>
        <b val="0"/>
        <i val="0"/>
        <strike val="0"/>
        <color theme="1"/>
      </font>
      <border>
        <left style="thin">
          <color rgb="FFC00000"/>
        </left>
        <right style="thin">
          <color rgb="FFC00000"/>
        </right>
        <top style="thin">
          <color rgb="FFC00000"/>
        </top>
        <bottom style="thin">
          <color rgb="FFC00000"/>
        </bottom>
        <vertical/>
        <horizontal/>
      </border>
    </dxf>
    <dxf>
      <font>
        <b val="0"/>
        <i val="0"/>
        <strike val="0"/>
        <color theme="1"/>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val="0"/>
        <strike val="0"/>
        <color theme="1"/>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border>
    </dxf>
    <dxf>
      <font>
        <strike/>
        <color rgb="FFC00000"/>
      </font>
      <fill>
        <patternFill>
          <bgColor theme="0"/>
        </patternFill>
      </fill>
    </dxf>
    <dxf>
      <font>
        <b val="0"/>
        <i/>
        <strike/>
        <color rgb="FFC00000"/>
      </font>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b val="0"/>
        <i/>
        <strike/>
        <color rgb="FFC00000"/>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b val="0"/>
        <i/>
        <strike/>
        <color rgb="FFC00000"/>
      </font>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tint="-0.14996795556505021"/>
      </font>
    </dxf>
    <dxf>
      <font>
        <strike/>
        <color rgb="FFC00000"/>
      </font>
      <fill>
        <patternFill>
          <bgColor theme="0"/>
        </patternFill>
      </fill>
    </dxf>
    <dxf>
      <font>
        <strike/>
        <color rgb="FFC00000"/>
      </font>
      <fill>
        <patternFill>
          <bgColor theme="0"/>
        </patternFill>
      </fill>
    </dxf>
    <dxf>
      <font>
        <strike/>
        <color rgb="FFC00000"/>
      </font>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rgb="FFC00000"/>
      </font>
      <fill>
        <patternFill>
          <bgColor theme="0"/>
        </patternFill>
      </fill>
    </dxf>
    <dxf>
      <border>
        <left style="thin">
          <color rgb="FFC00000"/>
        </left>
        <right style="thin">
          <color rgb="FFC00000"/>
        </right>
        <top style="thin">
          <color rgb="FFC00000"/>
        </top>
        <bottom style="thin">
          <color rgb="FFC00000"/>
        </bottom>
        <vertical/>
        <horizontal/>
      </border>
    </dxf>
    <dxf>
      <font>
        <strike/>
        <color rgb="FFC00000"/>
      </font>
      <fill>
        <patternFill>
          <bgColor theme="0"/>
        </patternFill>
      </fill>
    </dxf>
    <dxf>
      <font>
        <strike/>
        <color theme="0" tint="-0.14996795556505021"/>
      </font>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0"/>
        </patternFill>
      </fill>
      <border>
        <left style="thin">
          <color auto="1"/>
        </left>
        <right style="thin">
          <color auto="1"/>
        </right>
        <top style="thin">
          <color auto="1"/>
        </top>
        <bottom style="thin">
          <color auto="1"/>
        </bottom>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5" tint="0.79998168889431442"/>
        </patternFill>
      </fill>
    </dxf>
    <dxf>
      <border>
        <left style="thin">
          <color rgb="FFC00000"/>
        </left>
        <right style="thin">
          <color rgb="FFC00000"/>
        </right>
        <top style="thin">
          <color rgb="FFC00000"/>
        </top>
        <bottom style="thin">
          <color rgb="FFC00000"/>
        </bottom>
        <vertical/>
        <horizontal/>
      </border>
    </dxf>
    <dxf>
      <font>
        <color theme="0"/>
      </font>
    </dxf>
    <dxf>
      <font>
        <b/>
        <i val="0"/>
      </font>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strike/>
        <color theme="0" tint="-0.14996795556505021"/>
      </font>
    </dxf>
    <dxf>
      <font>
        <strike/>
        <color theme="0" tint="-0.14996795556505021"/>
      </font>
    </dxf>
    <dxf>
      <font>
        <strike/>
        <color theme="0" tint="-0.14996795556505021"/>
      </font>
    </dxf>
    <dxf>
      <numFmt numFmtId="167" formatCode="#,##0.00;;;@"/>
    </dxf>
    <dxf>
      <numFmt numFmtId="167" formatCode="#,##0.00;;;@"/>
    </dxf>
    <dxf>
      <numFmt numFmtId="167" formatCode="#,##0.00;;;@"/>
    </dxf>
    <dxf>
      <numFmt numFmtId="167" formatCode="#,##0.00;;;@"/>
    </dxf>
    <dxf>
      <numFmt numFmtId="0" formatCode="General"/>
    </dxf>
    <dxf>
      <border outline="0">
        <top style="thin">
          <color theme="4" tint="0.39997558519241921"/>
        </top>
      </border>
    </dxf>
    <dxf>
      <border outline="0">
        <bottom style="thin">
          <color theme="4" tint="0.39997558519241921"/>
        </bottom>
      </border>
    </dxf>
    <dxf>
      <fill>
        <patternFill patternType="solid">
          <fgColor theme="4" tint="0.79998168889431442"/>
          <bgColor theme="4" tint="-0.249977111117893"/>
        </patternFill>
      </fill>
    </dxf>
    <dxf>
      <numFmt numFmtId="0" formatCode="General"/>
    </dxf>
    <dxf>
      <numFmt numFmtId="167" formatCode="#,##0.00;;;@"/>
    </dxf>
  </dxfs>
  <tableStyles count="0" defaultTableStyle="TableStyleMedium2" defaultPivotStyle="PivotStyleLight16"/>
  <colors>
    <mruColors>
      <color rgb="FFEAF0F6"/>
      <color rgb="FFC8D7EA"/>
      <color rgb="FFFFFF99"/>
      <color rgb="FFFF9966"/>
      <color rgb="FFFFFFCC"/>
      <color rgb="FFFFCC99"/>
      <color rgb="FFE7EEF5"/>
      <color rgb="FFF9EBEB"/>
      <color rgb="FFFCF6F6"/>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I$13" lockText="1" noThreeD="1"/>
</file>

<file path=xl/ctrlProps/ctrlProp10.xml><?xml version="1.0" encoding="utf-8"?>
<formControlPr xmlns="http://schemas.microsoft.com/office/spreadsheetml/2009/9/main" objectType="CheckBox" fmlaLink="$I$16" lockText="1" noThreeD="1"/>
</file>

<file path=xl/ctrlProps/ctrlProp100.xml><?xml version="1.0" encoding="utf-8"?>
<formControlPr xmlns="http://schemas.microsoft.com/office/spreadsheetml/2009/9/main" objectType="CheckBox" fmlaLink="$L$170" lockText="1" noThreeD="1"/>
</file>

<file path=xl/ctrlProps/ctrlProp101.xml><?xml version="1.0" encoding="utf-8"?>
<formControlPr xmlns="http://schemas.microsoft.com/office/spreadsheetml/2009/9/main" objectType="CheckBox" fmlaLink="$L$173" lockText="1" noThreeD="1"/>
</file>

<file path=xl/ctrlProps/ctrlProp102.xml><?xml version="1.0" encoding="utf-8"?>
<formControlPr xmlns="http://schemas.microsoft.com/office/spreadsheetml/2009/9/main" objectType="CheckBox" fmlaLink="$L$176" lockText="1" noThreeD="1"/>
</file>

<file path=xl/ctrlProps/ctrlProp103.xml><?xml version="1.0" encoding="utf-8"?>
<formControlPr xmlns="http://schemas.microsoft.com/office/spreadsheetml/2009/9/main" objectType="CheckBox" fmlaLink="$L$178" lockText="1" noThreeD="1"/>
</file>

<file path=xl/ctrlProps/ctrlProp104.xml><?xml version="1.0" encoding="utf-8"?>
<formControlPr xmlns="http://schemas.microsoft.com/office/spreadsheetml/2009/9/main" objectType="CheckBox" fmlaLink="$L$167" lockText="1" noThreeD="1"/>
</file>

<file path=xl/ctrlProps/ctrlProp105.xml><?xml version="1.0" encoding="utf-8"?>
<formControlPr xmlns="http://schemas.microsoft.com/office/spreadsheetml/2009/9/main" objectType="CheckBox" fmlaLink="$L$127" lockText="1" noThreeD="1"/>
</file>

<file path=xl/ctrlProps/ctrlProp106.xml><?xml version="1.0" encoding="utf-8"?>
<formControlPr xmlns="http://schemas.microsoft.com/office/spreadsheetml/2009/9/main" objectType="CheckBox" checked="Checked" fmlaLink="$L$193" lockText="1" noThreeD="1"/>
</file>

<file path=xl/ctrlProps/ctrlProp107.xml><?xml version="1.0" encoding="utf-8"?>
<formControlPr xmlns="http://schemas.microsoft.com/office/spreadsheetml/2009/9/main" objectType="CheckBox" checked="Checked" fmlaLink="$L$19" lockText="1" noThreeD="1"/>
</file>

<file path=xl/ctrlProps/ctrlProp108.xml><?xml version="1.0" encoding="utf-8"?>
<formControlPr xmlns="http://schemas.microsoft.com/office/spreadsheetml/2009/9/main" objectType="CheckBox" fmlaLink="$M$45" lockText="1" noThreeD="1"/>
</file>

<file path=xl/ctrlProps/ctrlProp109.xml><?xml version="1.0" encoding="utf-8"?>
<formControlPr xmlns="http://schemas.microsoft.com/office/spreadsheetml/2009/9/main" objectType="CheckBox" checked="Checked" fmlaLink="$M$46" lockText="1" noThreeD="1"/>
</file>

<file path=xl/ctrlProps/ctrlProp11.xml><?xml version="1.0" encoding="utf-8"?>
<formControlPr xmlns="http://schemas.microsoft.com/office/spreadsheetml/2009/9/main" objectType="CheckBox" checked="Checked" fmlaLink="$K$12" lockText="1" noThreeD="1"/>
</file>

<file path=xl/ctrlProps/ctrlProp110.xml><?xml version="1.0" encoding="utf-8"?>
<formControlPr xmlns="http://schemas.microsoft.com/office/spreadsheetml/2009/9/main" objectType="CheckBox" fmlaLink="$M$66" lockText="1" noThreeD="1"/>
</file>

<file path=xl/ctrlProps/ctrlProp111.xml><?xml version="1.0" encoding="utf-8"?>
<formControlPr xmlns="http://schemas.microsoft.com/office/spreadsheetml/2009/9/main" objectType="CheckBox" checked="Checked" fmlaLink="$M$67" lockText="1" noThreeD="1"/>
</file>

<file path=xl/ctrlProps/ctrlProp112.xml><?xml version="1.0" encoding="utf-8"?>
<formControlPr xmlns="http://schemas.microsoft.com/office/spreadsheetml/2009/9/main" objectType="CheckBox" fmlaLink="$M$161" lockText="1" noThreeD="1"/>
</file>

<file path=xl/ctrlProps/ctrlProp113.xml><?xml version="1.0" encoding="utf-8"?>
<formControlPr xmlns="http://schemas.microsoft.com/office/spreadsheetml/2009/9/main" objectType="CheckBox" fmlaLink="$M$162" lockText="1" noThreeD="1"/>
</file>

<file path=xl/ctrlProps/ctrlProp114.xml><?xml version="1.0" encoding="utf-8"?>
<formControlPr xmlns="http://schemas.microsoft.com/office/spreadsheetml/2009/9/main" objectType="CheckBox" fmlaLink="$L$32" lockText="1" noThreeD="1"/>
</file>

<file path=xl/ctrlProps/ctrlProp115.xml><?xml version="1.0" encoding="utf-8"?>
<formControlPr xmlns="http://schemas.microsoft.com/office/spreadsheetml/2009/9/main" objectType="CheckBox" fmlaLink="$L$34" lockText="1" noThreeD="1"/>
</file>

<file path=xl/ctrlProps/ctrlProp116.xml><?xml version="1.0" encoding="utf-8"?>
<formControlPr xmlns="http://schemas.microsoft.com/office/spreadsheetml/2009/9/main" objectType="CheckBox" fmlaLink="$L$36" lockText="1" noThreeD="1"/>
</file>

<file path=xl/ctrlProps/ctrlProp117.xml><?xml version="1.0" encoding="utf-8"?>
<formControlPr xmlns="http://schemas.microsoft.com/office/spreadsheetml/2009/9/main" objectType="CheckBox" fmlaLink="$L$38" lockText="1" noThreeD="1"/>
</file>

<file path=xl/ctrlProps/ctrlProp118.xml><?xml version="1.0" encoding="utf-8"?>
<formControlPr xmlns="http://schemas.microsoft.com/office/spreadsheetml/2009/9/main" objectType="CheckBox" fmlaLink="$L$40" lockText="1" noThreeD="1"/>
</file>

<file path=xl/ctrlProps/ctrlProp119.xml><?xml version="1.0" encoding="utf-8"?>
<formControlPr xmlns="http://schemas.microsoft.com/office/spreadsheetml/2009/9/main" objectType="CheckBox" fmlaLink="$L$42" lockText="1" noThreeD="1"/>
</file>

<file path=xl/ctrlProps/ctrlProp12.xml><?xml version="1.0" encoding="utf-8"?>
<formControlPr xmlns="http://schemas.microsoft.com/office/spreadsheetml/2009/9/main" objectType="CheckBox" fmlaLink="$K$15" lockText="1" noThreeD="1"/>
</file>

<file path=xl/ctrlProps/ctrlProp120.xml><?xml version="1.0" encoding="utf-8"?>
<formControlPr xmlns="http://schemas.microsoft.com/office/spreadsheetml/2009/9/main" objectType="CheckBox" fmlaLink="$L$44" lockText="1" noThreeD="1"/>
</file>

<file path=xl/ctrlProps/ctrlProp121.xml><?xml version="1.0" encoding="utf-8"?>
<formControlPr xmlns="http://schemas.microsoft.com/office/spreadsheetml/2009/9/main" objectType="CheckBox" fmlaLink="$L$46" lockText="1" noThreeD="1"/>
</file>

<file path=xl/ctrlProps/ctrlProp122.xml><?xml version="1.0" encoding="utf-8"?>
<formControlPr xmlns="http://schemas.microsoft.com/office/spreadsheetml/2009/9/main" objectType="CheckBox" fmlaLink="$L$48" lockText="1" noThreeD="1"/>
</file>

<file path=xl/ctrlProps/ctrlProp123.xml><?xml version="1.0" encoding="utf-8"?>
<formControlPr xmlns="http://schemas.microsoft.com/office/spreadsheetml/2009/9/main" objectType="CheckBox" fmlaLink="$L$58" lockText="1" noThreeD="1"/>
</file>

<file path=xl/ctrlProps/ctrlProp124.xml><?xml version="1.0" encoding="utf-8"?>
<formControlPr xmlns="http://schemas.microsoft.com/office/spreadsheetml/2009/9/main" objectType="CheckBox" fmlaLink="$L$60" lockText="1" noThreeD="1"/>
</file>

<file path=xl/ctrlProps/ctrlProp125.xml><?xml version="1.0" encoding="utf-8"?>
<formControlPr xmlns="http://schemas.microsoft.com/office/spreadsheetml/2009/9/main" objectType="CheckBox" fmlaLink="$L$62" lockText="1" noThreeD="1"/>
</file>

<file path=xl/ctrlProps/ctrlProp126.xml><?xml version="1.0" encoding="utf-8"?>
<formControlPr xmlns="http://schemas.microsoft.com/office/spreadsheetml/2009/9/main" objectType="CheckBox" fmlaLink="$L$68" lockText="1" noThreeD="1"/>
</file>

<file path=xl/ctrlProps/ctrlProp127.xml><?xml version="1.0" encoding="utf-8"?>
<formControlPr xmlns="http://schemas.microsoft.com/office/spreadsheetml/2009/9/main" objectType="CheckBox" fmlaLink="$L$80" lockText="1" noThreeD="1"/>
</file>

<file path=xl/ctrlProps/ctrlProp128.xml><?xml version="1.0" encoding="utf-8"?>
<formControlPr xmlns="http://schemas.microsoft.com/office/spreadsheetml/2009/9/main" objectType="CheckBox" fmlaLink="$L$82" lockText="1" noThreeD="1"/>
</file>

<file path=xl/ctrlProps/ctrlProp129.xml><?xml version="1.0" encoding="utf-8"?>
<formControlPr xmlns="http://schemas.microsoft.com/office/spreadsheetml/2009/9/main" objectType="CheckBox" fmlaLink="$L$91" lockText="1" noThreeD="1"/>
</file>

<file path=xl/ctrlProps/ctrlProp13.xml><?xml version="1.0" encoding="utf-8"?>
<formControlPr xmlns="http://schemas.microsoft.com/office/spreadsheetml/2009/9/main" objectType="CheckBox" fmlaLink="$L$16" lockText="1" noThreeD="1"/>
</file>

<file path=xl/ctrlProps/ctrlProp130.xml><?xml version="1.0" encoding="utf-8"?>
<formControlPr xmlns="http://schemas.microsoft.com/office/spreadsheetml/2009/9/main" objectType="CheckBox" fmlaLink="$L$93" lockText="1" noThreeD="1"/>
</file>

<file path=xl/ctrlProps/ctrlProp131.xml><?xml version="1.0" encoding="utf-8"?>
<formControlPr xmlns="http://schemas.microsoft.com/office/spreadsheetml/2009/9/main" objectType="CheckBox" fmlaLink="$L$95" lockText="1" noThreeD="1"/>
</file>

<file path=xl/ctrlProps/ctrlProp132.xml><?xml version="1.0" encoding="utf-8"?>
<formControlPr xmlns="http://schemas.microsoft.com/office/spreadsheetml/2009/9/main" objectType="CheckBox" fmlaLink="$L$97" lockText="1" noThreeD="1"/>
</file>

<file path=xl/ctrlProps/ctrlProp133.xml><?xml version="1.0" encoding="utf-8"?>
<formControlPr xmlns="http://schemas.microsoft.com/office/spreadsheetml/2009/9/main" objectType="CheckBox" fmlaLink="$L$108" lockText="1" noThreeD="1"/>
</file>

<file path=xl/ctrlProps/ctrlProp134.xml><?xml version="1.0" encoding="utf-8"?>
<formControlPr xmlns="http://schemas.microsoft.com/office/spreadsheetml/2009/9/main" objectType="CheckBox" fmlaLink="$L$110" lockText="1" noThreeD="1"/>
</file>

<file path=xl/ctrlProps/ctrlProp135.xml><?xml version="1.0" encoding="utf-8"?>
<formControlPr xmlns="http://schemas.microsoft.com/office/spreadsheetml/2009/9/main" objectType="CheckBox" fmlaLink="$L$112" lockText="1" noThreeD="1"/>
</file>

<file path=xl/ctrlProps/ctrlProp136.xml><?xml version="1.0" encoding="utf-8"?>
<formControlPr xmlns="http://schemas.microsoft.com/office/spreadsheetml/2009/9/main" objectType="CheckBox" fmlaLink="$L$114" lockText="1" noThreeD="1"/>
</file>

<file path=xl/ctrlProps/ctrlProp137.xml><?xml version="1.0" encoding="utf-8"?>
<formControlPr xmlns="http://schemas.microsoft.com/office/spreadsheetml/2009/9/main" objectType="CheckBox" fmlaLink="$L$116" lockText="1" noThreeD="1"/>
</file>

<file path=xl/ctrlProps/ctrlProp138.xml><?xml version="1.0" encoding="utf-8"?>
<formControlPr xmlns="http://schemas.microsoft.com/office/spreadsheetml/2009/9/main" objectType="CheckBox" fmlaLink="$L$118" lockText="1" noThreeD="1"/>
</file>

<file path=xl/ctrlProps/ctrlProp139.xml><?xml version="1.0" encoding="utf-8"?>
<formControlPr xmlns="http://schemas.microsoft.com/office/spreadsheetml/2009/9/main" objectType="CheckBox" fmlaLink="$L$126" lockText="1" noThreeD="1"/>
</file>

<file path=xl/ctrlProps/ctrlProp14.xml><?xml version="1.0" encoding="utf-8"?>
<formControlPr xmlns="http://schemas.microsoft.com/office/spreadsheetml/2009/9/main" objectType="CheckBox" fmlaLink="$L$19" lockText="1" noThreeD="1"/>
</file>

<file path=xl/ctrlProps/ctrlProp140.xml><?xml version="1.0" encoding="utf-8"?>
<formControlPr xmlns="http://schemas.microsoft.com/office/spreadsheetml/2009/9/main" objectType="CheckBox" fmlaLink="$L$124" lockText="1" noThreeD="1"/>
</file>

<file path=xl/ctrlProps/ctrlProp141.xml><?xml version="1.0" encoding="utf-8"?>
<formControlPr xmlns="http://schemas.microsoft.com/office/spreadsheetml/2009/9/main" objectType="CheckBox" fmlaLink="$L$129" lockText="1" noThreeD="1"/>
</file>

<file path=xl/ctrlProps/ctrlProp142.xml><?xml version="1.0" encoding="utf-8"?>
<formControlPr xmlns="http://schemas.microsoft.com/office/spreadsheetml/2009/9/main" objectType="CheckBox" fmlaLink="$L$132" lockText="1" noThreeD="1"/>
</file>

<file path=xl/ctrlProps/ctrlProp143.xml><?xml version="1.0" encoding="utf-8"?>
<formControlPr xmlns="http://schemas.microsoft.com/office/spreadsheetml/2009/9/main" objectType="CheckBox" fmlaLink="$L$135" lockText="1" noThreeD="1"/>
</file>

<file path=xl/ctrlProps/ctrlProp144.xml><?xml version="1.0" encoding="utf-8"?>
<formControlPr xmlns="http://schemas.microsoft.com/office/spreadsheetml/2009/9/main" objectType="CheckBox" fmlaLink="$L$137" lockText="1" noThreeD="1"/>
</file>

<file path=xl/ctrlProps/ctrlProp145.xml><?xml version="1.0" encoding="utf-8"?>
<formControlPr xmlns="http://schemas.microsoft.com/office/spreadsheetml/2009/9/main" objectType="CheckBox" fmlaLink="$L$140" lockText="1" noThreeD="1"/>
</file>

<file path=xl/ctrlProps/ctrlProp146.xml><?xml version="1.0" encoding="utf-8"?>
<formControlPr xmlns="http://schemas.microsoft.com/office/spreadsheetml/2009/9/main" objectType="CheckBox" fmlaLink="$L$142" lockText="1" noThreeD="1"/>
</file>

<file path=xl/ctrlProps/ctrlProp147.xml><?xml version="1.0" encoding="utf-8"?>
<formControlPr xmlns="http://schemas.microsoft.com/office/spreadsheetml/2009/9/main" objectType="CheckBox" fmlaLink="$L$151" lockText="1" noThreeD="1"/>
</file>

<file path=xl/ctrlProps/ctrlProp148.xml><?xml version="1.0" encoding="utf-8"?>
<formControlPr xmlns="http://schemas.microsoft.com/office/spreadsheetml/2009/9/main" objectType="CheckBox" fmlaLink="$L$153" lockText="1" noThreeD="1"/>
</file>

<file path=xl/ctrlProps/ctrlProp149.xml><?xml version="1.0" encoding="utf-8"?>
<formControlPr xmlns="http://schemas.microsoft.com/office/spreadsheetml/2009/9/main" objectType="CheckBox" fmlaLink="$L$155" lockText="1" noThreeD="1"/>
</file>

<file path=xl/ctrlProps/ctrlProp15.xml><?xml version="1.0" encoding="utf-8"?>
<formControlPr xmlns="http://schemas.microsoft.com/office/spreadsheetml/2009/9/main" objectType="CheckBox" fmlaLink="$L$22" lockText="1" noThreeD="1"/>
</file>

<file path=xl/ctrlProps/ctrlProp150.xml><?xml version="1.0" encoding="utf-8"?>
<formControlPr xmlns="http://schemas.microsoft.com/office/spreadsheetml/2009/9/main" objectType="CheckBox" fmlaLink="$L$157" lockText="1" noThreeD="1"/>
</file>

<file path=xl/ctrlProps/ctrlProp151.xml><?xml version="1.0" encoding="utf-8"?>
<formControlPr xmlns="http://schemas.microsoft.com/office/spreadsheetml/2009/9/main" objectType="CheckBox" fmlaLink="$L$171" lockText="1" noThreeD="1"/>
</file>

<file path=xl/ctrlProps/ctrlProp152.xml><?xml version="1.0" encoding="utf-8"?>
<formControlPr xmlns="http://schemas.microsoft.com/office/spreadsheetml/2009/9/main" objectType="CheckBox" fmlaLink="$L$177" lockText="1" noThreeD="1"/>
</file>

<file path=xl/ctrlProps/ctrlProp153.xml><?xml version="1.0" encoding="utf-8"?>
<formControlPr xmlns="http://schemas.microsoft.com/office/spreadsheetml/2009/9/main" objectType="CheckBox" fmlaLink="$L$180" lockText="1" noThreeD="1"/>
</file>

<file path=xl/ctrlProps/ctrlProp154.xml><?xml version="1.0" encoding="utf-8"?>
<formControlPr xmlns="http://schemas.microsoft.com/office/spreadsheetml/2009/9/main" objectType="CheckBox" fmlaLink="$L$183" lockText="1" noThreeD="1"/>
</file>

<file path=xl/ctrlProps/ctrlProp155.xml><?xml version="1.0" encoding="utf-8"?>
<formControlPr xmlns="http://schemas.microsoft.com/office/spreadsheetml/2009/9/main" objectType="CheckBox" fmlaLink="$L$185" lockText="1" noThreeD="1"/>
</file>

<file path=xl/ctrlProps/ctrlProp156.xml><?xml version="1.0" encoding="utf-8"?>
<formControlPr xmlns="http://schemas.microsoft.com/office/spreadsheetml/2009/9/main" objectType="CheckBox" fmlaLink="$L$194" lockText="1" noThreeD="1"/>
</file>

<file path=xl/ctrlProps/ctrlProp157.xml><?xml version="1.0" encoding="utf-8"?>
<formControlPr xmlns="http://schemas.microsoft.com/office/spreadsheetml/2009/9/main" objectType="CheckBox" fmlaLink="$L$196" lockText="1" noThreeD="1"/>
</file>

<file path=xl/ctrlProps/ctrlProp158.xml><?xml version="1.0" encoding="utf-8"?>
<formControlPr xmlns="http://schemas.microsoft.com/office/spreadsheetml/2009/9/main" objectType="CheckBox" fmlaLink="$L$198" lockText="1" noThreeD="1"/>
</file>

<file path=xl/ctrlProps/ctrlProp159.xml><?xml version="1.0" encoding="utf-8"?>
<formControlPr xmlns="http://schemas.microsoft.com/office/spreadsheetml/2009/9/main" objectType="CheckBox" fmlaLink="$L$77" lockText="1" noThreeD="1"/>
</file>

<file path=xl/ctrlProps/ctrlProp16.xml><?xml version="1.0" encoding="utf-8"?>
<formControlPr xmlns="http://schemas.microsoft.com/office/spreadsheetml/2009/9/main" objectType="CheckBox" fmlaLink="$L$28" lockText="1" noThreeD="1"/>
</file>

<file path=xl/ctrlProps/ctrlProp160.xml><?xml version="1.0" encoding="utf-8"?>
<formControlPr xmlns="http://schemas.microsoft.com/office/spreadsheetml/2009/9/main" objectType="CheckBox" fmlaLink="$L$56" lockText="1" noThreeD="1"/>
</file>

<file path=xl/ctrlProps/ctrlProp161.xml><?xml version="1.0" encoding="utf-8"?>
<formControlPr xmlns="http://schemas.microsoft.com/office/spreadsheetml/2009/9/main" objectType="CheckBox" fmlaLink="$L$13" lockText="1" noThreeD="1"/>
</file>

<file path=xl/ctrlProps/ctrlProp162.xml><?xml version="1.0" encoding="utf-8"?>
<formControlPr xmlns="http://schemas.microsoft.com/office/spreadsheetml/2009/9/main" objectType="CheckBox" fmlaLink="$L$14" lockText="1" noThreeD="1"/>
</file>

<file path=xl/ctrlProps/ctrlProp163.xml><?xml version="1.0" encoding="utf-8"?>
<formControlPr xmlns="http://schemas.microsoft.com/office/spreadsheetml/2009/9/main" objectType="CheckBox" fmlaLink="$L$15" lockText="1" noThreeD="1"/>
</file>

<file path=xl/ctrlProps/ctrlProp164.xml><?xml version="1.0" encoding="utf-8"?>
<formControlPr xmlns="http://schemas.microsoft.com/office/spreadsheetml/2009/9/main" objectType="CheckBox" fmlaLink="$L$66" lockText="1" noThreeD="1"/>
</file>

<file path=xl/ctrlProps/ctrlProp165.xml><?xml version="1.0" encoding="utf-8"?>
<formControlPr xmlns="http://schemas.microsoft.com/office/spreadsheetml/2009/9/main" objectType="CheckBox" fmlaLink="$L$64" lockText="1" noThreeD="1"/>
</file>

<file path=xl/ctrlProps/ctrlProp166.xml><?xml version="1.0" encoding="utf-8"?>
<formControlPr xmlns="http://schemas.microsoft.com/office/spreadsheetml/2009/9/main" objectType="CheckBox" fmlaLink="$L$174" lockText="1" noThreeD="1"/>
</file>

<file path=xl/ctrlProps/ctrlProp167.xml><?xml version="1.0" encoding="utf-8"?>
<formControlPr xmlns="http://schemas.microsoft.com/office/spreadsheetml/2009/9/main" objectType="CheckBox" fmlaLink="$L$21" lockText="1" noThreeD="1"/>
</file>

<file path=xl/ctrlProps/ctrlProp168.xml><?xml version="1.0" encoding="utf-8"?>
<formControlPr xmlns="http://schemas.microsoft.com/office/spreadsheetml/2009/9/main" objectType="CheckBox" fmlaLink="$L$27" lockText="1" noThreeD="1"/>
</file>

<file path=xl/ctrlProps/ctrlProp169.xml><?xml version="1.0" encoding="utf-8"?>
<formControlPr xmlns="http://schemas.microsoft.com/office/spreadsheetml/2009/9/main" objectType="CheckBox" fmlaLink="$L$25" lockText="1" noThreeD="1"/>
</file>

<file path=xl/ctrlProps/ctrlProp17.xml><?xml version="1.0" encoding="utf-8"?>
<formControlPr xmlns="http://schemas.microsoft.com/office/spreadsheetml/2009/9/main" objectType="CheckBox" fmlaLink="$L$31" lockText="1" noThreeD="1"/>
</file>

<file path=xl/ctrlProps/ctrlProp170.xml><?xml version="1.0" encoding="utf-8"?>
<formControlPr xmlns="http://schemas.microsoft.com/office/spreadsheetml/2009/9/main" objectType="CheckBox" fmlaLink="$L$23" lockText="1" noThreeD="1"/>
</file>

<file path=xl/ctrlProps/ctrlProp171.xml><?xml version="1.0" encoding="utf-8"?>
<formControlPr xmlns="http://schemas.microsoft.com/office/spreadsheetml/2009/9/main" objectType="CheckBox" fmlaLink="$L$99" lockText="1" noThreeD="1"/>
</file>

<file path=xl/ctrlProps/ctrlProp172.xml><?xml version="1.0" encoding="utf-8"?>
<formControlPr xmlns="http://schemas.microsoft.com/office/spreadsheetml/2009/9/main" objectType="CheckBox" fmlaLink="$L$101" lockText="1" noThreeD="1"/>
</file>

<file path=xl/ctrlProps/ctrlProp173.xml><?xml version="1.0" encoding="utf-8"?>
<formControlPr xmlns="http://schemas.microsoft.com/office/spreadsheetml/2009/9/main" objectType="CheckBox" fmlaLink="$L$159" lockText="1" noThreeD="1"/>
</file>

<file path=xl/ctrlProps/ctrlProp174.xml><?xml version="1.0" encoding="utf-8"?>
<formControlPr xmlns="http://schemas.microsoft.com/office/spreadsheetml/2009/9/main" objectType="CheckBox" fmlaLink="$L$163" lockText="1" noThreeD="1"/>
</file>

<file path=xl/ctrlProps/ctrlProp175.xml><?xml version="1.0" encoding="utf-8"?>
<formControlPr xmlns="http://schemas.microsoft.com/office/spreadsheetml/2009/9/main" objectType="CheckBox" fmlaLink="$L$165" lockText="1" noThreeD="1"/>
</file>

<file path=xl/ctrlProps/ctrlProp176.xml><?xml version="1.0" encoding="utf-8"?>
<formControlPr xmlns="http://schemas.microsoft.com/office/spreadsheetml/2009/9/main" objectType="CheckBox" fmlaLink="$L$167" lockText="1" noThreeD="1"/>
</file>

<file path=xl/ctrlProps/ctrlProp177.xml><?xml version="1.0" encoding="utf-8"?>
<formControlPr xmlns="http://schemas.microsoft.com/office/spreadsheetml/2009/9/main" objectType="CheckBox" fmlaLink="$L$169" lockText="1" noThreeD="1"/>
</file>

<file path=xl/ctrlProps/ctrlProp178.xml><?xml version="1.0" encoding="utf-8"?>
<formControlPr xmlns="http://schemas.microsoft.com/office/spreadsheetml/2009/9/main" objectType="CheckBox" fmlaLink="$L$161" lockText="1" noThreeD="1"/>
</file>

<file path=xl/ctrlProps/ctrlProp179.xml><?xml version="1.0" encoding="utf-8"?>
<formControlPr xmlns="http://schemas.microsoft.com/office/spreadsheetml/2009/9/main" objectType="CheckBox" checked="Checked" fmlaLink="$L$86" lockText="1" noThreeD="1"/>
</file>

<file path=xl/ctrlProps/ctrlProp18.xml><?xml version="1.0" encoding="utf-8"?>
<formControlPr xmlns="http://schemas.microsoft.com/office/spreadsheetml/2009/9/main" objectType="CheckBox" fmlaLink="$L$34" lockText="1" noThreeD="1"/>
</file>

<file path=xl/ctrlProps/ctrlProp180.xml><?xml version="1.0" encoding="utf-8"?>
<formControlPr xmlns="http://schemas.microsoft.com/office/spreadsheetml/2009/9/main" objectType="CheckBox" checked="Checked" fmlaLink="$L$86" lockText="1" noThreeD="1"/>
</file>

<file path=xl/ctrlProps/ctrlProp181.xml><?xml version="1.0" encoding="utf-8"?>
<formControlPr xmlns="http://schemas.microsoft.com/office/spreadsheetml/2009/9/main" objectType="CheckBox" checked="Checked" fmlaLink="$L$86" lockText="1" noThreeD="1"/>
</file>

<file path=xl/ctrlProps/ctrlProp182.xml><?xml version="1.0" encoding="utf-8"?>
<formControlPr xmlns="http://schemas.microsoft.com/office/spreadsheetml/2009/9/main" objectType="CheckBox" checked="Checked" fmlaLink="$L$86" lockText="1" noThreeD="1"/>
</file>

<file path=xl/ctrlProps/ctrlProp183.xml><?xml version="1.0" encoding="utf-8"?>
<formControlPr xmlns="http://schemas.microsoft.com/office/spreadsheetml/2009/9/main" objectType="CheckBox" checked="Checked" fmlaLink="$L$86" lockText="1" noThreeD="1"/>
</file>

<file path=xl/ctrlProps/ctrlProp184.xml><?xml version="1.0" encoding="utf-8"?>
<formControlPr xmlns="http://schemas.microsoft.com/office/spreadsheetml/2009/9/main" objectType="CheckBox" fmlaLink="$L$19" lockText="1" noThreeD="1"/>
</file>

<file path=xl/ctrlProps/ctrlProp185.xml><?xml version="1.0" encoding="utf-8"?>
<formControlPr xmlns="http://schemas.microsoft.com/office/spreadsheetml/2009/9/main" objectType="CheckBox" fmlaLink="$M$16" lockText="1" noThreeD="1"/>
</file>

<file path=xl/ctrlProps/ctrlProp186.xml><?xml version="1.0" encoding="utf-8"?>
<formControlPr xmlns="http://schemas.microsoft.com/office/spreadsheetml/2009/9/main" objectType="CheckBox" fmlaLink="$M$14" lockText="1" noThreeD="1"/>
</file>

<file path=xl/ctrlProps/ctrlProp187.xml><?xml version="1.0" encoding="utf-8"?>
<formControlPr xmlns="http://schemas.microsoft.com/office/spreadsheetml/2009/9/main" objectType="CheckBox" fmlaLink="$M$18" lockText="1" noThreeD="1"/>
</file>

<file path=xl/ctrlProps/ctrlProp188.xml><?xml version="1.0" encoding="utf-8"?>
<formControlPr xmlns="http://schemas.microsoft.com/office/spreadsheetml/2009/9/main" objectType="CheckBox" fmlaLink="$M$23" lockText="1" noThreeD="1"/>
</file>

<file path=xl/ctrlProps/ctrlProp189.xml><?xml version="1.0" encoding="utf-8"?>
<formControlPr xmlns="http://schemas.microsoft.com/office/spreadsheetml/2009/9/main" objectType="CheckBox" fmlaLink="$M$25" lockText="1" noThreeD="1"/>
</file>

<file path=xl/ctrlProps/ctrlProp19.xml><?xml version="1.0" encoding="utf-8"?>
<formControlPr xmlns="http://schemas.microsoft.com/office/spreadsheetml/2009/9/main" objectType="CheckBox" fmlaLink="$L$43" lockText="1" noThreeD="1"/>
</file>

<file path=xl/ctrlProps/ctrlProp190.xml><?xml version="1.0" encoding="utf-8"?>
<formControlPr xmlns="http://schemas.microsoft.com/office/spreadsheetml/2009/9/main" objectType="CheckBox" fmlaLink="$M$27" lockText="1" noThreeD="1"/>
</file>

<file path=xl/ctrlProps/ctrlProp191.xml><?xml version="1.0" encoding="utf-8"?>
<formControlPr xmlns="http://schemas.microsoft.com/office/spreadsheetml/2009/9/main" objectType="CheckBox" fmlaLink="$M$32" lockText="1" noThreeD="1"/>
</file>

<file path=xl/ctrlProps/ctrlProp192.xml><?xml version="1.0" encoding="utf-8"?>
<formControlPr xmlns="http://schemas.microsoft.com/office/spreadsheetml/2009/9/main" objectType="CheckBox" fmlaLink="$M$34" lockText="1" noThreeD="1"/>
</file>

<file path=xl/ctrlProps/ctrlProp193.xml><?xml version="1.0" encoding="utf-8"?>
<formControlPr xmlns="http://schemas.microsoft.com/office/spreadsheetml/2009/9/main" objectType="CheckBox" fmlaLink="$M$36" lockText="1" noThreeD="1"/>
</file>

<file path=xl/ctrlProps/ctrlProp194.xml><?xml version="1.0" encoding="utf-8"?>
<formControlPr xmlns="http://schemas.microsoft.com/office/spreadsheetml/2009/9/main" objectType="CheckBox" fmlaLink="$M$41" lockText="1" noThreeD="1"/>
</file>

<file path=xl/ctrlProps/ctrlProp195.xml><?xml version="1.0" encoding="utf-8"?>
<formControlPr xmlns="http://schemas.microsoft.com/office/spreadsheetml/2009/9/main" objectType="CheckBox" fmlaLink="$M$43" lockText="1" noThreeD="1"/>
</file>

<file path=xl/ctrlProps/ctrlProp196.xml><?xml version="1.0" encoding="utf-8"?>
<formControlPr xmlns="http://schemas.microsoft.com/office/spreadsheetml/2009/9/main" objectType="CheckBox" fmlaLink="$M$45" lockText="1" noThreeD="1"/>
</file>

<file path=xl/ctrlProps/ctrlProp197.xml><?xml version="1.0" encoding="utf-8"?>
<formControlPr xmlns="http://schemas.microsoft.com/office/spreadsheetml/2009/9/main" objectType="CheckBox" fmlaLink="$M$50" lockText="1" noThreeD="1"/>
</file>

<file path=xl/ctrlProps/ctrlProp198.xml><?xml version="1.0" encoding="utf-8"?>
<formControlPr xmlns="http://schemas.microsoft.com/office/spreadsheetml/2009/9/main" objectType="CheckBox" fmlaLink="$M$52" lockText="1" noThreeD="1"/>
</file>

<file path=xl/ctrlProps/ctrlProp199.xml><?xml version="1.0" encoding="utf-8"?>
<formControlPr xmlns="http://schemas.microsoft.com/office/spreadsheetml/2009/9/main" objectType="CheckBox" fmlaLink="$M$54" lockText="1" noThreeD="1"/>
</file>

<file path=xl/ctrlProps/ctrlProp2.xml><?xml version="1.0" encoding="utf-8"?>
<formControlPr xmlns="http://schemas.microsoft.com/office/spreadsheetml/2009/9/main" objectType="CheckBox" checked="Checked" fmlaLink="$I$14" lockText="1" noThreeD="1"/>
</file>

<file path=xl/ctrlProps/ctrlProp20.xml><?xml version="1.0" encoding="utf-8"?>
<formControlPr xmlns="http://schemas.microsoft.com/office/spreadsheetml/2009/9/main" objectType="CheckBox" fmlaLink="$L$46" lockText="1" noThreeD="1"/>
</file>

<file path=xl/ctrlProps/ctrlProp200.xml><?xml version="1.0" encoding="utf-8"?>
<formControlPr xmlns="http://schemas.microsoft.com/office/spreadsheetml/2009/9/main" objectType="CheckBox" fmlaLink="$M$59" lockText="1" noThreeD="1"/>
</file>

<file path=xl/ctrlProps/ctrlProp201.xml><?xml version="1.0" encoding="utf-8"?>
<formControlPr xmlns="http://schemas.microsoft.com/office/spreadsheetml/2009/9/main" objectType="CheckBox" fmlaLink="$M$61" lockText="1" noThreeD="1"/>
</file>

<file path=xl/ctrlProps/ctrlProp202.xml><?xml version="1.0" encoding="utf-8"?>
<formControlPr xmlns="http://schemas.microsoft.com/office/spreadsheetml/2009/9/main" objectType="CheckBox" fmlaLink="$M$63" lockText="1" noThreeD="1"/>
</file>

<file path=xl/ctrlProps/ctrlProp203.xml><?xml version="1.0" encoding="utf-8"?>
<formControlPr xmlns="http://schemas.microsoft.com/office/spreadsheetml/2009/9/main" objectType="CheckBox" fmlaLink="$M$68" lockText="1" noThreeD="1"/>
</file>

<file path=xl/ctrlProps/ctrlProp204.xml><?xml version="1.0" encoding="utf-8"?>
<formControlPr xmlns="http://schemas.microsoft.com/office/spreadsheetml/2009/9/main" objectType="CheckBox" fmlaLink="$M$70" lockText="1" noThreeD="1"/>
</file>

<file path=xl/ctrlProps/ctrlProp205.xml><?xml version="1.0" encoding="utf-8"?>
<formControlPr xmlns="http://schemas.microsoft.com/office/spreadsheetml/2009/9/main" objectType="CheckBox" fmlaLink="$M$72" lockText="1" noThreeD="1"/>
</file>

<file path=xl/ctrlProps/ctrlProp206.xml><?xml version="1.0" encoding="utf-8"?>
<formControlPr xmlns="http://schemas.microsoft.com/office/spreadsheetml/2009/9/main" objectType="CheckBox" fmlaLink="$M$77" lockText="1" noThreeD="1"/>
</file>

<file path=xl/ctrlProps/ctrlProp207.xml><?xml version="1.0" encoding="utf-8"?>
<formControlPr xmlns="http://schemas.microsoft.com/office/spreadsheetml/2009/9/main" objectType="CheckBox" fmlaLink="$M$79" lockText="1" noThreeD="1"/>
</file>

<file path=xl/ctrlProps/ctrlProp208.xml><?xml version="1.0" encoding="utf-8"?>
<formControlPr xmlns="http://schemas.microsoft.com/office/spreadsheetml/2009/9/main" objectType="CheckBox" fmlaLink="$M$81" lockText="1" noThreeD="1"/>
</file>

<file path=xl/ctrlProps/ctrlProp209.xml><?xml version="1.0" encoding="utf-8"?>
<formControlPr xmlns="http://schemas.microsoft.com/office/spreadsheetml/2009/9/main" objectType="CheckBox" fmlaLink="$M$86" lockText="1" noThreeD="1"/>
</file>

<file path=xl/ctrlProps/ctrlProp21.xml><?xml version="1.0" encoding="utf-8"?>
<formControlPr xmlns="http://schemas.microsoft.com/office/spreadsheetml/2009/9/main" objectType="CheckBox" fmlaLink="$L$55" lockText="1" noThreeD="1"/>
</file>

<file path=xl/ctrlProps/ctrlProp210.xml><?xml version="1.0" encoding="utf-8"?>
<formControlPr xmlns="http://schemas.microsoft.com/office/spreadsheetml/2009/9/main" objectType="CheckBox" fmlaLink="$M$88" lockText="1" noThreeD="1"/>
</file>

<file path=xl/ctrlProps/ctrlProp211.xml><?xml version="1.0" encoding="utf-8"?>
<formControlPr xmlns="http://schemas.microsoft.com/office/spreadsheetml/2009/9/main" objectType="CheckBox" checked="Checked" fmlaLink="$M$63" lockText="1" noThreeD="1"/>
</file>

<file path=xl/ctrlProps/ctrlProp212.xml><?xml version="1.0" encoding="utf-8"?>
<formControlPr xmlns="http://schemas.microsoft.com/office/spreadsheetml/2009/9/main" objectType="CheckBox" fmlaLink="$M$61" lockText="1" noThreeD="1"/>
</file>

<file path=xl/ctrlProps/ctrlProp213.xml><?xml version="1.0" encoding="utf-8"?>
<formControlPr xmlns="http://schemas.microsoft.com/office/spreadsheetml/2009/9/main" objectType="CheckBox" fmlaLink="$M$81" lockText="1" noThreeD="1"/>
</file>

<file path=xl/ctrlProps/ctrlProp214.xml><?xml version="1.0" encoding="utf-8"?>
<formControlPr xmlns="http://schemas.microsoft.com/office/spreadsheetml/2009/9/main" objectType="CheckBox" fmlaLink="$M$101" lockText="1" noThreeD="1"/>
</file>

<file path=xl/ctrlProps/ctrlProp215.xml><?xml version="1.0" encoding="utf-8"?>
<formControlPr xmlns="http://schemas.microsoft.com/office/spreadsheetml/2009/9/main" objectType="CheckBox" fmlaLink="$M$116" lockText="1" noThreeD="1"/>
</file>

<file path=xl/ctrlProps/ctrlProp216.xml><?xml version="1.0" encoding="utf-8"?>
<formControlPr xmlns="http://schemas.microsoft.com/office/spreadsheetml/2009/9/main" objectType="CheckBox" fmlaLink="$M$118" lockText="1" noThreeD="1"/>
</file>

<file path=xl/ctrlProps/ctrlProp217.xml><?xml version="1.0" encoding="utf-8"?>
<formControlPr xmlns="http://schemas.microsoft.com/office/spreadsheetml/2009/9/main" objectType="CheckBox" fmlaLink="$M$126" lockText="1" noThreeD="1"/>
</file>

<file path=xl/ctrlProps/ctrlProp218.xml><?xml version="1.0" encoding="utf-8"?>
<formControlPr xmlns="http://schemas.microsoft.com/office/spreadsheetml/2009/9/main" objectType="CheckBox" fmlaLink="$M$128" lockText="1" noThreeD="1"/>
</file>

<file path=xl/ctrlProps/ctrlProp219.xml><?xml version="1.0" encoding="utf-8"?>
<formControlPr xmlns="http://schemas.microsoft.com/office/spreadsheetml/2009/9/main" objectType="CheckBox" fmlaLink="$M$130" lockText="1" noThreeD="1"/>
</file>

<file path=xl/ctrlProps/ctrlProp22.xml><?xml version="1.0" encoding="utf-8"?>
<formControlPr xmlns="http://schemas.microsoft.com/office/spreadsheetml/2009/9/main" objectType="CheckBox" fmlaLink="$L$58" lockText="1" noThreeD="1"/>
</file>

<file path=xl/ctrlProps/ctrlProp220.xml><?xml version="1.0" encoding="utf-8"?>
<formControlPr xmlns="http://schemas.microsoft.com/office/spreadsheetml/2009/9/main" objectType="CheckBox" fmlaLink="$M$135" lockText="1" noThreeD="1"/>
</file>

<file path=xl/ctrlProps/ctrlProp221.xml><?xml version="1.0" encoding="utf-8"?>
<formControlPr xmlns="http://schemas.microsoft.com/office/spreadsheetml/2009/9/main" objectType="CheckBox" fmlaLink="$M$139" lockText="1" noThreeD="1"/>
</file>

<file path=xl/ctrlProps/ctrlProp222.xml><?xml version="1.0" encoding="utf-8"?>
<formControlPr xmlns="http://schemas.microsoft.com/office/spreadsheetml/2009/9/main" objectType="CheckBox" fmlaLink="$M$141" lockText="1" noThreeD="1"/>
</file>

<file path=xl/ctrlProps/ctrlProp223.xml><?xml version="1.0" encoding="utf-8"?>
<formControlPr xmlns="http://schemas.microsoft.com/office/spreadsheetml/2009/9/main" objectType="CheckBox" fmlaLink="$M$168" lockText="1" noThreeD="1"/>
</file>

<file path=xl/ctrlProps/ctrlProp224.xml><?xml version="1.0" encoding="utf-8"?>
<formControlPr xmlns="http://schemas.microsoft.com/office/spreadsheetml/2009/9/main" objectType="CheckBox" fmlaLink="$M$170" lockText="1" noThreeD="1"/>
</file>

<file path=xl/ctrlProps/ctrlProp225.xml><?xml version="1.0" encoding="utf-8"?>
<formControlPr xmlns="http://schemas.microsoft.com/office/spreadsheetml/2009/9/main" objectType="CheckBox" fmlaLink="$M$148" lockText="1" noThreeD="1"/>
</file>

<file path=xl/ctrlProps/ctrlProp226.xml><?xml version="1.0" encoding="utf-8"?>
<formControlPr xmlns="http://schemas.microsoft.com/office/spreadsheetml/2009/9/main" objectType="CheckBox" fmlaLink="$M$146" lockText="1" noThreeD="1"/>
</file>

<file path=xl/ctrlProps/ctrlProp227.xml><?xml version="1.0" encoding="utf-8"?>
<formControlPr xmlns="http://schemas.microsoft.com/office/spreadsheetml/2009/9/main" objectType="CheckBox" fmlaLink="$M$150" lockText="1" noThreeD="1"/>
</file>

<file path=xl/ctrlProps/ctrlProp228.xml><?xml version="1.0" encoding="utf-8"?>
<formControlPr xmlns="http://schemas.microsoft.com/office/spreadsheetml/2009/9/main" objectType="CheckBox" fmlaLink="$M$152" lockText="1" noThreeD="1"/>
</file>

<file path=xl/ctrlProps/ctrlProp229.xml><?xml version="1.0" encoding="utf-8"?>
<formControlPr xmlns="http://schemas.microsoft.com/office/spreadsheetml/2009/9/main" objectType="CheckBox" fmlaLink="$M$154" lockText="1" noThreeD="1"/>
</file>

<file path=xl/ctrlProps/ctrlProp23.xml><?xml version="1.0" encoding="utf-8"?>
<formControlPr xmlns="http://schemas.microsoft.com/office/spreadsheetml/2009/9/main" objectType="CheckBox" fmlaLink="$L$64" lockText="1" noThreeD="1"/>
</file>

<file path=xl/ctrlProps/ctrlProp230.xml><?xml version="1.0" encoding="utf-8"?>
<formControlPr xmlns="http://schemas.microsoft.com/office/spreadsheetml/2009/9/main" objectType="CheckBox" fmlaLink="$M$110" lockText="1" noThreeD="1"/>
</file>

<file path=xl/ctrlProps/ctrlProp231.xml><?xml version="1.0" encoding="utf-8"?>
<formControlPr xmlns="http://schemas.microsoft.com/office/spreadsheetml/2009/9/main" objectType="CheckBox" checked="Checked" fmlaLink="$M$74" lockText="1" noThreeD="1"/>
</file>

<file path=xl/ctrlProps/ctrlProp232.xml><?xml version="1.0" encoding="utf-8"?>
<formControlPr xmlns="http://schemas.microsoft.com/office/spreadsheetml/2009/9/main" objectType="CheckBox" fmlaLink="$M$50" lockText="1" noThreeD="1"/>
</file>

<file path=xl/ctrlProps/ctrlProp233.xml><?xml version="1.0" encoding="utf-8"?>
<formControlPr xmlns="http://schemas.microsoft.com/office/spreadsheetml/2009/9/main" objectType="CheckBox" fmlaLink="$M$44" lockText="1" noThreeD="1"/>
</file>

<file path=xl/ctrlProps/ctrlProp234.xml><?xml version="1.0" encoding="utf-8"?>
<formControlPr xmlns="http://schemas.microsoft.com/office/spreadsheetml/2009/9/main" objectType="CheckBox" fmlaLink="$M$55" lockText="1" noThreeD="1"/>
</file>

<file path=xl/ctrlProps/ctrlProp235.xml><?xml version="1.0" encoding="utf-8"?>
<formControlPr xmlns="http://schemas.microsoft.com/office/spreadsheetml/2009/9/main" objectType="CheckBox" fmlaLink="$M$68" lockText="1" noThreeD="1"/>
</file>

<file path=xl/ctrlProps/ctrlProp236.xml><?xml version="1.0" encoding="utf-8"?>
<formControlPr xmlns="http://schemas.microsoft.com/office/spreadsheetml/2009/9/main" objectType="CheckBox" checked="Checked" fmlaLink="$M$76" lockText="1" noThreeD="1"/>
</file>

<file path=xl/ctrlProps/ctrlProp237.xml><?xml version="1.0" encoding="utf-8"?>
<formControlPr xmlns="http://schemas.microsoft.com/office/spreadsheetml/2009/9/main" objectType="CheckBox" fmlaLink="$M$99" lockText="1" noThreeD="1"/>
</file>

<file path=xl/ctrlProps/ctrlProp238.xml><?xml version="1.0" encoding="utf-8"?>
<formControlPr xmlns="http://schemas.microsoft.com/office/spreadsheetml/2009/9/main" objectType="CheckBox" fmlaLink="$M$99" lockText="1" noThreeD="1"/>
</file>

<file path=xl/ctrlProps/ctrlProp239.xml><?xml version="1.0" encoding="utf-8"?>
<formControlPr xmlns="http://schemas.microsoft.com/office/spreadsheetml/2009/9/main" objectType="CheckBox" fmlaLink="$M$156" lockText="1" noThreeD="1"/>
</file>

<file path=xl/ctrlProps/ctrlProp24.xml><?xml version="1.0" encoding="utf-8"?>
<formControlPr xmlns="http://schemas.microsoft.com/office/spreadsheetml/2009/9/main" objectType="CheckBox" fmlaLink="$L$67" lockText="1" noThreeD="1"/>
</file>

<file path=xl/ctrlProps/ctrlProp240.xml><?xml version="1.0" encoding="utf-8"?>
<formControlPr xmlns="http://schemas.microsoft.com/office/spreadsheetml/2009/9/main" objectType="CheckBox" fmlaLink="$M$158" lockText="1" noThreeD="1"/>
</file>

<file path=xl/ctrlProps/ctrlProp241.xml><?xml version="1.0" encoding="utf-8"?>
<formControlPr xmlns="http://schemas.microsoft.com/office/spreadsheetml/2009/9/main" objectType="CheckBox" fmlaLink="$M$160" lockText="1" noThreeD="1"/>
</file>

<file path=xl/ctrlProps/ctrlProp242.xml><?xml version="1.0" encoding="utf-8"?>
<formControlPr xmlns="http://schemas.microsoft.com/office/spreadsheetml/2009/9/main" objectType="CheckBox" fmlaLink="$M$172" lockText="1" noThreeD="1"/>
</file>

<file path=xl/ctrlProps/ctrlProp243.xml><?xml version="1.0" encoding="utf-8"?>
<formControlPr xmlns="http://schemas.microsoft.com/office/spreadsheetml/2009/9/main" objectType="CheckBox" fmlaLink="$M$178" lockText="1" noThreeD="1"/>
</file>

<file path=xl/ctrlProps/ctrlProp244.xml><?xml version="1.0" encoding="utf-8"?>
<formControlPr xmlns="http://schemas.microsoft.com/office/spreadsheetml/2009/9/main" objectType="CheckBox" fmlaLink="$M$180" lockText="1" noThreeD="1"/>
</file>

<file path=xl/ctrlProps/ctrlProp245.xml><?xml version="1.0" encoding="utf-8"?>
<formControlPr xmlns="http://schemas.microsoft.com/office/spreadsheetml/2009/9/main" objectType="CheckBox" fmlaLink="$M$182" lockText="1" noThreeD="1"/>
</file>

<file path=xl/ctrlProps/ctrlProp246.xml><?xml version="1.0" encoding="utf-8"?>
<formControlPr xmlns="http://schemas.microsoft.com/office/spreadsheetml/2009/9/main" objectType="CheckBox" fmlaLink="$M$44" lockText="1" noThreeD="1"/>
</file>

<file path=xl/ctrlProps/ctrlProp247.xml><?xml version="1.0" encoding="utf-8"?>
<formControlPr xmlns="http://schemas.microsoft.com/office/spreadsheetml/2009/9/main" objectType="CheckBox" fmlaLink="$M$44" lockText="1" noThreeD="1"/>
</file>

<file path=xl/ctrlProps/ctrlProp248.xml><?xml version="1.0" encoding="utf-8"?>
<formControlPr xmlns="http://schemas.microsoft.com/office/spreadsheetml/2009/9/main" objectType="CheckBox" fmlaLink="$M$50" lockText="1" noThreeD="1"/>
</file>

<file path=xl/ctrlProps/ctrlProp249.xml><?xml version="1.0" encoding="utf-8"?>
<formControlPr xmlns="http://schemas.microsoft.com/office/spreadsheetml/2009/9/main" objectType="CheckBox" fmlaLink="$M$61" lockText="1" noThreeD="1"/>
</file>

<file path=xl/ctrlProps/ctrlProp25.xml><?xml version="1.0" encoding="utf-8"?>
<formControlPr xmlns="http://schemas.microsoft.com/office/spreadsheetml/2009/9/main" objectType="CheckBox" fmlaLink="$L$70" lockText="1" noThreeD="1"/>
</file>

<file path=xl/ctrlProps/ctrlProp250.xml><?xml version="1.0" encoding="utf-8"?>
<formControlPr xmlns="http://schemas.microsoft.com/office/spreadsheetml/2009/9/main" objectType="CheckBox" checked="Checked" fmlaLink="$M$63" lockText="1" noThreeD="1"/>
</file>

<file path=xl/ctrlProps/ctrlProp251.xml><?xml version="1.0" encoding="utf-8"?>
<formControlPr xmlns="http://schemas.microsoft.com/office/spreadsheetml/2009/9/main" objectType="CheckBox" fmlaLink="$M$68" lockText="1" noThreeD="1"/>
</file>

<file path=xl/ctrlProps/ctrlProp252.xml><?xml version="1.0" encoding="utf-8"?>
<formControlPr xmlns="http://schemas.microsoft.com/office/spreadsheetml/2009/9/main" objectType="CheckBox" fmlaLink="$M$61" lockText="1" noThreeD="1"/>
</file>

<file path=xl/ctrlProps/ctrlProp253.xml><?xml version="1.0" encoding="utf-8"?>
<formControlPr xmlns="http://schemas.microsoft.com/office/spreadsheetml/2009/9/main" objectType="CheckBox" fmlaLink="$M$99" lockText="1" noThreeD="1"/>
</file>

<file path=xl/ctrlProps/ctrlProp254.xml><?xml version="1.0" encoding="utf-8"?>
<formControlPr xmlns="http://schemas.microsoft.com/office/spreadsheetml/2009/9/main" objectType="CheckBox" fmlaLink="$M$156" lockText="1" noThreeD="1"/>
</file>

<file path=xl/ctrlProps/ctrlProp255.xml><?xml version="1.0" encoding="utf-8"?>
<formControlPr xmlns="http://schemas.microsoft.com/office/spreadsheetml/2009/9/main" objectType="CheckBox" fmlaLink="$M$178" lockText="1" noThreeD="1"/>
</file>

<file path=xl/ctrlProps/ctrlProp256.xml><?xml version="1.0" encoding="utf-8"?>
<formControlPr xmlns="http://schemas.microsoft.com/office/spreadsheetml/2009/9/main" objectType="CheckBox" fmlaLink="$M$178" lockText="1" noThreeD="1"/>
</file>

<file path=xl/ctrlProps/ctrlProp257.xml><?xml version="1.0" encoding="utf-8"?>
<formControlPr xmlns="http://schemas.microsoft.com/office/spreadsheetml/2009/9/main" objectType="CheckBox" fmlaLink="$M$180" lockText="1" noThreeD="1"/>
</file>

<file path=xl/ctrlProps/ctrlProp258.xml><?xml version="1.0" encoding="utf-8"?>
<formControlPr xmlns="http://schemas.microsoft.com/office/spreadsheetml/2009/9/main" objectType="CheckBox" fmlaLink="$M$168" lockText="1" noThreeD="1"/>
</file>

<file path=xl/ctrlProps/ctrlProp259.xml><?xml version="1.0" encoding="utf-8"?>
<formControlPr xmlns="http://schemas.microsoft.com/office/spreadsheetml/2009/9/main" objectType="CheckBox" checked="Checked" fmlaLink="$M$57" lockText="1" noThreeD="1"/>
</file>

<file path=xl/ctrlProps/ctrlProp26.xml><?xml version="1.0" encoding="utf-8"?>
<formControlPr xmlns="http://schemas.microsoft.com/office/spreadsheetml/2009/9/main" objectType="CheckBox" fmlaLink="$L$76" lockText="1" noThreeD="1"/>
</file>

<file path=xl/ctrlProps/ctrlProp260.xml><?xml version="1.0" encoding="utf-8"?>
<formControlPr xmlns="http://schemas.microsoft.com/office/spreadsheetml/2009/9/main" objectType="CheckBox" fmlaLink="$M$72" lockText="1" noThreeD="1"/>
</file>

<file path=xl/ctrlProps/ctrlProp261.xml><?xml version="1.0" encoding="utf-8"?>
<formControlPr xmlns="http://schemas.microsoft.com/office/spreadsheetml/2009/9/main" objectType="CheckBox" fmlaLink="$M$70" lockText="1" noThreeD="1"/>
</file>

<file path=xl/ctrlProps/ctrlProp262.xml><?xml version="1.0" encoding="utf-8"?>
<formControlPr xmlns="http://schemas.microsoft.com/office/spreadsheetml/2009/9/main" objectType="CheckBox" fmlaLink="$M$97" lockText="1" noThreeD="1"/>
</file>

<file path=xl/ctrlProps/ctrlProp263.xml><?xml version="1.0" encoding="utf-8"?>
<formControlPr xmlns="http://schemas.microsoft.com/office/spreadsheetml/2009/9/main" objectType="CheckBox" fmlaLink="$M$99" lockText="1" noThreeD="1"/>
</file>

<file path=xl/ctrlProps/ctrlProp264.xml><?xml version="1.0" encoding="utf-8"?>
<formControlPr xmlns="http://schemas.microsoft.com/office/spreadsheetml/2009/9/main" objectType="CheckBox" fmlaLink="$M$99" lockText="1" noThreeD="1"/>
</file>

<file path=xl/ctrlProps/ctrlProp265.xml><?xml version="1.0" encoding="utf-8"?>
<formControlPr xmlns="http://schemas.microsoft.com/office/spreadsheetml/2009/9/main" objectType="CheckBox" fmlaLink="$M$68" lockText="1" noThreeD="1"/>
</file>

<file path=xl/ctrlProps/ctrlProp266.xml><?xml version="1.0" encoding="utf-8"?>
<formControlPr xmlns="http://schemas.microsoft.com/office/spreadsheetml/2009/9/main" objectType="CheckBox" fmlaLink="$M$61" lockText="1" noThreeD="1"/>
</file>

<file path=xl/ctrlProps/ctrlProp267.xml><?xml version="1.0" encoding="utf-8"?>
<formControlPr xmlns="http://schemas.microsoft.com/office/spreadsheetml/2009/9/main" objectType="CheckBox" fmlaLink="$M$95" lockText="1" noThreeD="1"/>
</file>

<file path=xl/ctrlProps/ctrlProp268.xml><?xml version="1.0" encoding="utf-8"?>
<formControlPr xmlns="http://schemas.microsoft.com/office/spreadsheetml/2009/9/main" objectType="CheckBox" fmlaLink="$M$99" lockText="1" noThreeD="1"/>
</file>

<file path=xl/ctrlProps/ctrlProp269.xml><?xml version="1.0" encoding="utf-8"?>
<formControlPr xmlns="http://schemas.microsoft.com/office/spreadsheetml/2009/9/main" objectType="CheckBox" fmlaLink="$M$99" lockText="1" noThreeD="1"/>
</file>

<file path=xl/ctrlProps/ctrlProp27.xml><?xml version="1.0" encoding="utf-8"?>
<formControlPr xmlns="http://schemas.microsoft.com/office/spreadsheetml/2009/9/main" objectType="CheckBox" fmlaLink="$L$79" lockText="1" noThreeD="1"/>
</file>

<file path=xl/ctrlProps/ctrlProp270.xml><?xml version="1.0" encoding="utf-8"?>
<formControlPr xmlns="http://schemas.microsoft.com/office/spreadsheetml/2009/9/main" objectType="CheckBox" fmlaLink="$M$68" lockText="1" noThreeD="1"/>
</file>

<file path=xl/ctrlProps/ctrlProp271.xml><?xml version="1.0" encoding="utf-8"?>
<formControlPr xmlns="http://schemas.microsoft.com/office/spreadsheetml/2009/9/main" objectType="CheckBox" fmlaLink="$M$61" lockText="1" noThreeD="1"/>
</file>

<file path=xl/ctrlProps/ctrlProp272.xml><?xml version="1.0" encoding="utf-8"?>
<formControlPr xmlns="http://schemas.microsoft.com/office/spreadsheetml/2009/9/main" objectType="CheckBox" fmlaLink="$M$93" lockText="1" noThreeD="1"/>
</file>

<file path=xl/ctrlProps/ctrlProp273.xml><?xml version="1.0" encoding="utf-8"?>
<formControlPr xmlns="http://schemas.microsoft.com/office/spreadsheetml/2009/9/main" objectType="CheckBox" fmlaLink="$M$91" lockText="1" noThreeD="1"/>
</file>

<file path=xl/ctrlProps/ctrlProp274.xml><?xml version="1.0" encoding="utf-8"?>
<formControlPr xmlns="http://schemas.microsoft.com/office/spreadsheetml/2009/9/main" objectType="CheckBox" fmlaLink="$M$99" lockText="1" noThreeD="1"/>
</file>

<file path=xl/ctrlProps/ctrlProp275.xml><?xml version="1.0" encoding="utf-8"?>
<formControlPr xmlns="http://schemas.microsoft.com/office/spreadsheetml/2009/9/main" objectType="CheckBox" fmlaLink="$M$99" lockText="1" noThreeD="1"/>
</file>

<file path=xl/ctrlProps/ctrlProp276.xml><?xml version="1.0" encoding="utf-8"?>
<formControlPr xmlns="http://schemas.microsoft.com/office/spreadsheetml/2009/9/main" objectType="CheckBox" fmlaLink="$M$68" lockText="1" noThreeD="1"/>
</file>

<file path=xl/ctrlProps/ctrlProp277.xml><?xml version="1.0" encoding="utf-8"?>
<formControlPr xmlns="http://schemas.microsoft.com/office/spreadsheetml/2009/9/main" objectType="CheckBox" fmlaLink="$M$61" lockText="1" noThreeD="1"/>
</file>

<file path=xl/ctrlProps/ctrlProp278.xml><?xml version="1.0" encoding="utf-8"?>
<formControlPr xmlns="http://schemas.microsoft.com/office/spreadsheetml/2009/9/main" objectType="CheckBox" fmlaLink="$M$89" lockText="1" noThreeD="1"/>
</file>

<file path=xl/ctrlProps/ctrlProp279.xml><?xml version="1.0" encoding="utf-8"?>
<formControlPr xmlns="http://schemas.microsoft.com/office/spreadsheetml/2009/9/main" objectType="CheckBox" fmlaLink="$M$99" lockText="1" noThreeD="1"/>
</file>

<file path=xl/ctrlProps/ctrlProp28.xml><?xml version="1.0" encoding="utf-8"?>
<formControlPr xmlns="http://schemas.microsoft.com/office/spreadsheetml/2009/9/main" objectType="CheckBox" fmlaLink="$L$82" lockText="1" noThreeD="1"/>
</file>

<file path=xl/ctrlProps/ctrlProp280.xml><?xml version="1.0" encoding="utf-8"?>
<formControlPr xmlns="http://schemas.microsoft.com/office/spreadsheetml/2009/9/main" objectType="CheckBox" fmlaLink="$M$99" lockText="1" noThreeD="1"/>
</file>

<file path=xl/ctrlProps/ctrlProp281.xml><?xml version="1.0" encoding="utf-8"?>
<formControlPr xmlns="http://schemas.microsoft.com/office/spreadsheetml/2009/9/main" objectType="CheckBox" fmlaLink="$M$68" lockText="1" noThreeD="1"/>
</file>

<file path=xl/ctrlProps/ctrlProp282.xml><?xml version="1.0" encoding="utf-8"?>
<formControlPr xmlns="http://schemas.microsoft.com/office/spreadsheetml/2009/9/main" objectType="CheckBox" fmlaLink="$M$61" lockText="1" noThreeD="1"/>
</file>

<file path=xl/ctrlProps/ctrlProp283.xml><?xml version="1.0" encoding="utf-8"?>
<formControlPr xmlns="http://schemas.microsoft.com/office/spreadsheetml/2009/9/main" objectType="CheckBox" fmlaLink="$M$87" lockText="1" noThreeD="1"/>
</file>

<file path=xl/ctrlProps/ctrlProp284.xml><?xml version="1.0" encoding="utf-8"?>
<formControlPr xmlns="http://schemas.microsoft.com/office/spreadsheetml/2009/9/main" objectType="CheckBox" fmlaLink="$M$85" lockText="1" noThreeD="1"/>
</file>

<file path=xl/ctrlProps/ctrlProp285.xml><?xml version="1.0" encoding="utf-8"?>
<formControlPr xmlns="http://schemas.microsoft.com/office/spreadsheetml/2009/9/main" objectType="CheckBox" fmlaLink="$M$99" lockText="1" noThreeD="1"/>
</file>

<file path=xl/ctrlProps/ctrlProp286.xml><?xml version="1.0" encoding="utf-8"?>
<formControlPr xmlns="http://schemas.microsoft.com/office/spreadsheetml/2009/9/main" objectType="CheckBox" fmlaLink="$M$99" lockText="1" noThreeD="1"/>
</file>

<file path=xl/ctrlProps/ctrlProp287.xml><?xml version="1.0" encoding="utf-8"?>
<formControlPr xmlns="http://schemas.microsoft.com/office/spreadsheetml/2009/9/main" objectType="CheckBox" fmlaLink="$M$68" lockText="1" noThreeD="1"/>
</file>

<file path=xl/ctrlProps/ctrlProp288.xml><?xml version="1.0" encoding="utf-8"?>
<formControlPr xmlns="http://schemas.microsoft.com/office/spreadsheetml/2009/9/main" objectType="CheckBox" fmlaLink="$M$61" lockText="1" noThreeD="1"/>
</file>

<file path=xl/ctrlProps/ctrlProp289.xml><?xml version="1.0" encoding="utf-8"?>
<formControlPr xmlns="http://schemas.microsoft.com/office/spreadsheetml/2009/9/main" objectType="CheckBox" fmlaLink="$M$83" lockText="1" noThreeD="1"/>
</file>

<file path=xl/ctrlProps/ctrlProp29.xml><?xml version="1.0" encoding="utf-8"?>
<formControlPr xmlns="http://schemas.microsoft.com/office/spreadsheetml/2009/9/main" objectType="CheckBox" fmlaLink="$L$88" lockText="1" noThreeD="1"/>
</file>

<file path=xl/ctrlProps/ctrlProp290.xml><?xml version="1.0" encoding="utf-8"?>
<formControlPr xmlns="http://schemas.microsoft.com/office/spreadsheetml/2009/9/main" objectType="CheckBox" fmlaLink="$M$114" lockText="1" noThreeD="1"/>
</file>

<file path=xl/ctrlProps/ctrlProp291.xml><?xml version="1.0" encoding="utf-8"?>
<formControlPr xmlns="http://schemas.microsoft.com/office/spreadsheetml/2009/9/main" objectType="CheckBox" fmlaLink="$M$112" lockText="1" noThreeD="1"/>
</file>

<file path=xl/ctrlProps/ctrlProp292.xml><?xml version="1.0" encoding="utf-8"?>
<formControlPr xmlns="http://schemas.microsoft.com/office/spreadsheetml/2009/9/main" objectType="CheckBox" fmlaLink="$M$137" lockText="1" noThreeD="1"/>
</file>

<file path=xl/ctrlProps/ctrlProp293.xml><?xml version="1.0" encoding="utf-8"?>
<formControlPr xmlns="http://schemas.microsoft.com/office/spreadsheetml/2009/9/main" objectType="CheckBox" fmlaLink="$M$178" lockText="1" noThreeD="1"/>
</file>

<file path=xl/ctrlProps/ctrlProp294.xml><?xml version="1.0" encoding="utf-8"?>
<formControlPr xmlns="http://schemas.microsoft.com/office/spreadsheetml/2009/9/main" objectType="CheckBox" fmlaLink="$M$174" lockText="1" noThreeD="1"/>
</file>

<file path=xl/ctrlProps/ctrlProp295.xml><?xml version="1.0" encoding="utf-8"?>
<formControlPr xmlns="http://schemas.microsoft.com/office/spreadsheetml/2009/9/main" objectType="CheckBox" fmlaLink="$M$176" lockText="1" noThreeD="1"/>
</file>

<file path=xl/ctrlProps/ctrlProp296.xml><?xml version="1.0" encoding="utf-8"?>
<formControlPr xmlns="http://schemas.microsoft.com/office/spreadsheetml/2009/9/main" objectType="CheckBox" checked="Checked" fmlaLink="$M$14" lockText="1" noThreeD="1"/>
</file>

<file path=xl/ctrlProps/ctrlProp297.xml><?xml version="1.0" encoding="utf-8"?>
<formControlPr xmlns="http://schemas.microsoft.com/office/spreadsheetml/2009/9/main" objectType="CheckBox" fmlaLink="$M$59"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fmlaLink="$I$16" lockText="1" noThreeD="1"/>
</file>

<file path=xl/ctrlProps/ctrlProp30.xml><?xml version="1.0" encoding="utf-8"?>
<formControlPr xmlns="http://schemas.microsoft.com/office/spreadsheetml/2009/9/main" objectType="CheckBox" fmlaLink="$L$91"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L$94"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L$100"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fmlaLink="$L$103"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L$106"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fmlaLink="$L$112"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L$115"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fmlaLink="$L$118"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L$52"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L$40"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I$17" lockText="1" noThreeD="1"/>
</file>

<file path=xl/ctrlProps/ctrlProp40.xml><?xml version="1.0" encoding="utf-8"?>
<formControlPr xmlns="http://schemas.microsoft.com/office/spreadsheetml/2009/9/main" objectType="CheckBox" fmlaLink="$L$13"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fmlaLink="$L$21"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checked="Checked"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fmlaLink="$L$25"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fmlaLink="$L$27"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fmlaLink="$L$32"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checked="Checked" fmlaLink="$L$34"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fmlaLink="$L$36"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fmlaLink="$L$38"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fmlaLink="$L$40"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fmlaLink="$L$42"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fmlaLink="$I$19" lockText="1" noThreeD="1"/>
</file>

<file path=xl/ctrlProps/ctrlProp50.xml><?xml version="1.0" encoding="utf-8"?>
<formControlPr xmlns="http://schemas.microsoft.com/office/spreadsheetml/2009/9/main" objectType="CheckBox" checked="Checked" fmlaLink="$L$44"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fmlaLink="$L$48"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fmlaLink="$L$50"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checked="Checked" fmlaLink="$L$59"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fmlaLink="$L$61"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checked="Checked" fmlaLink="$L$63"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fmlaLink="$M$48" lockText="1" noThreeD="1"/>
</file>

<file path=xl/ctrlProps/ctrlProp554.xml><?xml version="1.0" encoding="utf-8"?>
<formControlPr xmlns="http://schemas.microsoft.com/office/spreadsheetml/2009/9/main" objectType="CheckBox" fmlaLink="$M$63" lockText="1" noThreeD="1"/>
</file>

<file path=xl/ctrlProps/ctrlProp555.xml><?xml version="1.0" encoding="utf-8"?>
<formControlPr xmlns="http://schemas.microsoft.com/office/spreadsheetml/2009/9/main" objectType="CheckBox" fmlaLink="$M$67" lockText="1" noThreeD="1"/>
</file>

<file path=xl/ctrlProps/ctrlProp556.xml><?xml version="1.0" encoding="utf-8"?>
<formControlPr xmlns="http://schemas.microsoft.com/office/spreadsheetml/2009/9/main" objectType="CheckBox" fmlaLink="$M$74" lockText="1" noThreeD="1"/>
</file>

<file path=xl/ctrlProps/ctrlProp557.xml><?xml version="1.0" encoding="utf-8"?>
<formControlPr xmlns="http://schemas.microsoft.com/office/spreadsheetml/2009/9/main" objectType="CheckBox" fmlaLink="$M$76" lockText="1" noThreeD="1"/>
</file>

<file path=xl/ctrlProps/ctrlProp558.xml><?xml version="1.0" encoding="utf-8"?>
<formControlPr xmlns="http://schemas.microsoft.com/office/spreadsheetml/2009/9/main" objectType="CheckBox" fmlaLink="$M$78" lockText="1" noThreeD="1"/>
</file>

<file path=xl/ctrlProps/ctrlProp559.xml><?xml version="1.0" encoding="utf-8"?>
<formControlPr xmlns="http://schemas.microsoft.com/office/spreadsheetml/2009/9/main" objectType="CheckBox" fmlaLink="$M$80" lockText="1" noThreeD="1"/>
</file>

<file path=xl/ctrlProps/ctrlProp56.xml><?xml version="1.0" encoding="utf-8"?>
<formControlPr xmlns="http://schemas.microsoft.com/office/spreadsheetml/2009/9/main" objectType="CheckBox" checked="Checked" fmlaLink="$L$71" lockText="1" noThreeD="1"/>
</file>

<file path=xl/ctrlProps/ctrlProp560.xml><?xml version="1.0" encoding="utf-8"?>
<formControlPr xmlns="http://schemas.microsoft.com/office/spreadsheetml/2009/9/main" objectType="CheckBox" fmlaLink="$M$82" lockText="1" noThreeD="1"/>
</file>

<file path=xl/ctrlProps/ctrlProp561.xml><?xml version="1.0" encoding="utf-8"?>
<formControlPr xmlns="http://schemas.microsoft.com/office/spreadsheetml/2009/9/main" objectType="CheckBox" fmlaLink="$M$106" lockText="1" noThreeD="1"/>
</file>

<file path=xl/ctrlProps/ctrlProp562.xml><?xml version="1.0" encoding="utf-8"?>
<formControlPr xmlns="http://schemas.microsoft.com/office/spreadsheetml/2009/9/main" objectType="CheckBox" fmlaLink="$M$89" lockText="1" noThreeD="1"/>
</file>

<file path=xl/ctrlProps/ctrlProp563.xml><?xml version="1.0" encoding="utf-8"?>
<formControlPr xmlns="http://schemas.microsoft.com/office/spreadsheetml/2009/9/main" objectType="CheckBox" fmlaLink="$M$87" lockText="1" noThreeD="1"/>
</file>

<file path=xl/ctrlProps/ctrlProp564.xml><?xml version="1.0" encoding="utf-8"?>
<formControlPr xmlns="http://schemas.microsoft.com/office/spreadsheetml/2009/9/main" objectType="CheckBox" fmlaLink="$M$91" lockText="1" noThreeD="1"/>
</file>

<file path=xl/ctrlProps/ctrlProp565.xml><?xml version="1.0" encoding="utf-8"?>
<formControlPr xmlns="http://schemas.microsoft.com/office/spreadsheetml/2009/9/main" objectType="CheckBox" fmlaLink="$M$93" lockText="1" noThreeD="1"/>
</file>

<file path=xl/ctrlProps/ctrlProp566.xml><?xml version="1.0" encoding="utf-8"?>
<formControlPr xmlns="http://schemas.microsoft.com/office/spreadsheetml/2009/9/main" objectType="CheckBox" fmlaLink="$M$72" lockText="1" noThreeD="1"/>
</file>

<file path=xl/ctrlProps/ctrlProp567.xml><?xml version="1.0" encoding="utf-8"?>
<formControlPr xmlns="http://schemas.microsoft.com/office/spreadsheetml/2009/9/main" objectType="CheckBox" fmlaLink="$M$59" lockText="1" noThreeD="1"/>
</file>

<file path=xl/ctrlProps/ctrlProp568.xml><?xml version="1.0" encoding="utf-8"?>
<formControlPr xmlns="http://schemas.microsoft.com/office/spreadsheetml/2009/9/main" objectType="CheckBox" fmlaLink="$M$53" lockText="1" noThreeD="1"/>
</file>

<file path=xl/ctrlProps/ctrlProp569.xml><?xml version="1.0" encoding="utf-8"?>
<formControlPr xmlns="http://schemas.microsoft.com/office/spreadsheetml/2009/9/main" objectType="CheckBox" fmlaLink="$M$61" lockText="1" noThreeD="1"/>
</file>

<file path=xl/ctrlProps/ctrlProp57.xml><?xml version="1.0" encoding="utf-8"?>
<formControlPr xmlns="http://schemas.microsoft.com/office/spreadsheetml/2009/9/main" objectType="CheckBox" checked="Checked" fmlaLink="$L$81" lockText="1" noThreeD="1"/>
</file>

<file path=xl/ctrlProps/ctrlProp570.xml><?xml version="1.0" encoding="utf-8"?>
<formControlPr xmlns="http://schemas.microsoft.com/office/spreadsheetml/2009/9/main" objectType="CheckBox" fmlaLink="$M$65" lockText="1" noThreeD="1"/>
</file>

<file path=xl/ctrlProps/ctrlProp571.xml><?xml version="1.0" encoding="utf-8"?>
<formControlPr xmlns="http://schemas.microsoft.com/office/spreadsheetml/2009/9/main" objectType="CheckBox" fmlaLink="$M$65" lockText="1" noThreeD="1"/>
</file>

<file path=xl/ctrlProps/ctrlProp572.xml><?xml version="1.0" encoding="utf-8"?>
<formControlPr xmlns="http://schemas.microsoft.com/office/spreadsheetml/2009/9/main" objectType="CheckBox" fmlaLink="$M$95" lockText="1" noThreeD="1"/>
</file>

<file path=xl/ctrlProps/ctrlProp573.xml><?xml version="1.0" encoding="utf-8"?>
<formControlPr xmlns="http://schemas.microsoft.com/office/spreadsheetml/2009/9/main" objectType="CheckBox" fmlaLink="$M$97" lockText="1" noThreeD="1"/>
</file>

<file path=xl/ctrlProps/ctrlProp574.xml><?xml version="1.0" encoding="utf-8"?>
<formControlPr xmlns="http://schemas.microsoft.com/office/spreadsheetml/2009/9/main" objectType="CheckBox" fmlaLink="$M$101" lockText="1" noThreeD="1"/>
</file>

<file path=xl/ctrlProps/ctrlProp575.xml><?xml version="1.0" encoding="utf-8"?>
<formControlPr xmlns="http://schemas.microsoft.com/office/spreadsheetml/2009/9/main" objectType="CheckBox" fmlaLink="$M$130" lockText="1" noThreeD="1"/>
</file>

<file path=xl/ctrlProps/ctrlProp576.xml><?xml version="1.0" encoding="utf-8"?>
<formControlPr xmlns="http://schemas.microsoft.com/office/spreadsheetml/2009/9/main" objectType="CheckBox" fmlaLink="$M$132" lockText="1" noThreeD="1"/>
</file>

<file path=xl/ctrlProps/ctrlProp577.xml><?xml version="1.0" encoding="utf-8"?>
<formControlPr xmlns="http://schemas.microsoft.com/office/spreadsheetml/2009/9/main" objectType="CheckBox" fmlaLink="$M$134" lockText="1" noThreeD="1"/>
</file>

<file path=xl/ctrlProps/ctrlProp578.xml><?xml version="1.0" encoding="utf-8"?>
<formControlPr xmlns="http://schemas.microsoft.com/office/spreadsheetml/2009/9/main" objectType="CheckBox" fmlaLink="$M$136" lockText="1" noThreeD="1"/>
</file>

<file path=xl/ctrlProps/ctrlProp579.xml><?xml version="1.0" encoding="utf-8"?>
<formControlPr xmlns="http://schemas.microsoft.com/office/spreadsheetml/2009/9/main" objectType="CheckBox" fmlaLink="$M$44" lockText="1" noThreeD="1"/>
</file>

<file path=xl/ctrlProps/ctrlProp58.xml><?xml version="1.0" encoding="utf-8"?>
<formControlPr xmlns="http://schemas.microsoft.com/office/spreadsheetml/2009/9/main" objectType="CheckBox" checked="Checked" fmlaLink="$L$83" lockText="1" noThreeD="1"/>
</file>

<file path=xl/ctrlProps/ctrlProp580.xml><?xml version="1.0" encoding="utf-8"?>
<formControlPr xmlns="http://schemas.microsoft.com/office/spreadsheetml/2009/9/main" objectType="CheckBox" fmlaLink="$M$48" lockText="1" noThreeD="1"/>
</file>

<file path=xl/ctrlProps/ctrlProp581.xml><?xml version="1.0" encoding="utf-8"?>
<formControlPr xmlns="http://schemas.microsoft.com/office/spreadsheetml/2009/9/main" objectType="CheckBox" fmlaLink="$M$53" lockText="1" noThreeD="1"/>
</file>

<file path=xl/ctrlProps/ctrlProp582.xml><?xml version="1.0" encoding="utf-8"?>
<formControlPr xmlns="http://schemas.microsoft.com/office/spreadsheetml/2009/9/main" objectType="CheckBox" fmlaLink="$M$44" lockText="1" noThreeD="1"/>
</file>

<file path=xl/ctrlProps/ctrlProp583.xml><?xml version="1.0" encoding="utf-8"?>
<formControlPr xmlns="http://schemas.microsoft.com/office/spreadsheetml/2009/9/main" objectType="CheckBox" fmlaLink="$M$65" lockText="1" noThreeD="1"/>
</file>

<file path=xl/ctrlProps/ctrlProp584.xml><?xml version="1.0" encoding="utf-8"?>
<formControlPr xmlns="http://schemas.microsoft.com/office/spreadsheetml/2009/9/main" objectType="CheckBox" fmlaLink="$M$106" lockText="1" noThreeD="1"/>
</file>

<file path=xl/ctrlProps/ctrlProp585.xml><?xml version="1.0" encoding="utf-8"?>
<formControlPr xmlns="http://schemas.microsoft.com/office/spreadsheetml/2009/9/main" objectType="CheckBox" fmlaLink="$M$99" lockText="1" noThreeD="1"/>
</file>

<file path=xl/ctrlProps/ctrlProp586.xml><?xml version="1.0" encoding="utf-8"?>
<formControlPr xmlns="http://schemas.microsoft.com/office/spreadsheetml/2009/9/main" objectType="CheckBox" fmlaLink="$M$46" lockText="1" noThreeD="1"/>
</file>

<file path=xl/ctrlProps/ctrlProp587.xml><?xml version="1.0" encoding="utf-8"?>
<formControlPr xmlns="http://schemas.microsoft.com/office/spreadsheetml/2009/9/main" objectType="CheckBox" fmlaLink="$M$28" lockText="1" noThreeD="1"/>
</file>

<file path=xl/ctrlProps/ctrlProp588.xml><?xml version="1.0" encoding="utf-8"?>
<formControlPr xmlns="http://schemas.microsoft.com/office/spreadsheetml/2009/9/main" objectType="CheckBox" fmlaLink="$M$32" lockText="1" noThreeD="1"/>
</file>

<file path=xl/ctrlProps/ctrlProp589.xml><?xml version="1.0" encoding="utf-8"?>
<formControlPr xmlns="http://schemas.microsoft.com/office/spreadsheetml/2009/9/main" objectType="CheckBox" fmlaLink="$M$30" lockText="1" noThreeD="1"/>
</file>

<file path=xl/ctrlProps/ctrlProp59.xml><?xml version="1.0" encoding="utf-8"?>
<formControlPr xmlns="http://schemas.microsoft.com/office/spreadsheetml/2009/9/main" objectType="CheckBox" checked="Checked" fmlaLink="$L$88" lockText="1" noThreeD="1"/>
</file>

<file path=xl/ctrlProps/ctrlProp590.xml><?xml version="1.0" encoding="utf-8"?>
<formControlPr xmlns="http://schemas.microsoft.com/office/spreadsheetml/2009/9/main" objectType="CheckBox" fmlaLink="$M$34" lockText="1" noThreeD="1"/>
</file>

<file path=xl/ctrlProps/ctrlProp591.xml><?xml version="1.0" encoding="utf-8"?>
<formControlPr xmlns="http://schemas.microsoft.com/office/spreadsheetml/2009/9/main" objectType="CheckBox" fmlaLink="$M$36" lockText="1" noThreeD="1"/>
</file>

<file path=xl/ctrlProps/ctrlProp592.xml><?xml version="1.0" encoding="utf-8"?>
<formControlPr xmlns="http://schemas.microsoft.com/office/spreadsheetml/2009/9/main" objectType="CheckBox" fmlaLink="$M$38" lockText="1" noThreeD="1"/>
</file>

<file path=xl/ctrlProps/ctrlProp593.xml><?xml version="1.0" encoding="utf-8"?>
<formControlPr xmlns="http://schemas.microsoft.com/office/spreadsheetml/2009/9/main" objectType="CheckBox" fmlaLink="$M$44" lockText="1" noThreeD="1"/>
</file>

<file path=xl/ctrlProps/ctrlProp594.xml><?xml version="1.0" encoding="utf-8"?>
<formControlPr xmlns="http://schemas.microsoft.com/office/spreadsheetml/2009/9/main" objectType="CheckBox" fmlaLink="$M$108" lockText="1" noThreeD="1"/>
</file>

<file path=xl/ctrlProps/ctrlProp595.xml><?xml version="1.0" encoding="utf-8"?>
<formControlPr xmlns="http://schemas.microsoft.com/office/spreadsheetml/2009/9/main" objectType="CheckBox" fmlaLink="$M$110" lockText="1" noThreeD="1"/>
</file>

<file path=xl/ctrlProps/ctrlProp596.xml><?xml version="1.0" encoding="utf-8"?>
<formControlPr xmlns="http://schemas.microsoft.com/office/spreadsheetml/2009/9/main" objectType="CheckBox" fmlaLink="$M$116"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fmlaLink="$M$18" lockText="1" noThreeD="1"/>
</file>

<file path=xl/ctrlProps/ctrlProp6.xml><?xml version="1.0" encoding="utf-8"?>
<formControlPr xmlns="http://schemas.microsoft.com/office/spreadsheetml/2009/9/main" objectType="CheckBox" fmlaLink="$I$20" lockText="1" noThreeD="1"/>
</file>

<file path=xl/ctrlProps/ctrlProp60.xml><?xml version="1.0" encoding="utf-8"?>
<formControlPr xmlns="http://schemas.microsoft.com/office/spreadsheetml/2009/9/main" objectType="CheckBox" checked="Checked" fmlaLink="$L$90" lockText="1" noThreeD="1"/>
</file>

<file path=xl/ctrlProps/ctrlProp600.xml><?xml version="1.0" encoding="utf-8"?>
<formControlPr xmlns="http://schemas.microsoft.com/office/spreadsheetml/2009/9/main" objectType="CheckBox" fmlaLink="$M$16" lockText="1" noThreeD="1"/>
</file>

<file path=xl/ctrlProps/ctrlProp601.xml><?xml version="1.0" encoding="utf-8"?>
<formControlPr xmlns="http://schemas.microsoft.com/office/spreadsheetml/2009/9/main" objectType="CheckBox" fmlaLink="$M$20" lockText="1" noThreeD="1"/>
</file>

<file path=xl/ctrlProps/ctrlProp602.xml><?xml version="1.0" encoding="utf-8"?>
<formControlPr xmlns="http://schemas.microsoft.com/office/spreadsheetml/2009/9/main" objectType="CheckBox" fmlaLink="$M$22" lockText="1" noThreeD="1"/>
</file>

<file path=xl/ctrlProps/ctrlProp603.xml><?xml version="1.0" encoding="utf-8"?>
<formControlPr xmlns="http://schemas.microsoft.com/office/spreadsheetml/2009/9/main" objectType="CheckBox" fmlaLink="$M$24" lockText="1" noThreeD="1"/>
</file>

<file path=xl/ctrlProps/ctrlProp604.xml><?xml version="1.0" encoding="utf-8"?>
<formControlPr xmlns="http://schemas.microsoft.com/office/spreadsheetml/2009/9/main" objectType="CheckBox" fmlaLink="$M$26"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fmlaLink="$L$92"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fmlaLink="$L$94"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fmlaLink="$M$120" lockText="1" noThreeD="1"/>
</file>

<file path=xl/ctrlProps/ctrlProp623.xml><?xml version="1.0" encoding="utf-8"?>
<formControlPr xmlns="http://schemas.microsoft.com/office/spreadsheetml/2009/9/main" objectType="CheckBox" fmlaLink="$M$14" lockText="1" noThreeD="1"/>
</file>

<file path=xl/ctrlProps/ctrlProp624.xml><?xml version="1.0" encoding="utf-8"?>
<formControlPr xmlns="http://schemas.microsoft.com/office/spreadsheetml/2009/9/main" objectType="CheckBox" checked="Checked" fmlaLink="$M$70" lockText="1" noThreeD="1"/>
</file>

<file path=xl/ctrlProps/ctrlProp625.xml><?xml version="1.0" encoding="utf-8"?>
<formControlPr xmlns="http://schemas.microsoft.com/office/spreadsheetml/2009/9/main" objectType="CheckBox" checked="Checked" fmlaLink="$M$68" lockText="1" noThreeD="1"/>
</file>

<file path=xl/ctrlProps/ctrlProp626.xml><?xml version="1.0" encoding="utf-8"?>
<formControlPr xmlns="http://schemas.microsoft.com/office/spreadsheetml/2009/9/main" objectType="CheckBox" checked="Checked" fmlaLink="$M$68" lockText="1" noThreeD="1"/>
</file>

<file path=xl/ctrlProps/ctrlProp627.xml><?xml version="1.0" encoding="utf-8"?>
<formControlPr xmlns="http://schemas.microsoft.com/office/spreadsheetml/2009/9/main" objectType="CheckBox" checked="Checked" fmlaLink="$M$68" lockText="1" noThreeD="1"/>
</file>

<file path=xl/ctrlProps/ctrlProp628.xml><?xml version="1.0" encoding="utf-8"?>
<formControlPr xmlns="http://schemas.microsoft.com/office/spreadsheetml/2009/9/main" objectType="CheckBox" checked="Checked" fmlaLink="$M$70" lockText="1" noThreeD="1"/>
</file>

<file path=xl/ctrlProps/ctrlProp629.xml><?xml version="1.0" encoding="utf-8"?>
<formControlPr xmlns="http://schemas.microsoft.com/office/spreadsheetml/2009/9/main" objectType="CheckBox" checked="Checked" fmlaLink="$M$68" lockText="1" noThreeD="1"/>
</file>

<file path=xl/ctrlProps/ctrlProp63.xml><?xml version="1.0" encoding="utf-8"?>
<formControlPr xmlns="http://schemas.microsoft.com/office/spreadsheetml/2009/9/main" objectType="CheckBox" fmlaLink="$L$103" lockText="1" noThreeD="1"/>
</file>

<file path=xl/ctrlProps/ctrlProp630.xml><?xml version="1.0" encoding="utf-8"?>
<formControlPr xmlns="http://schemas.microsoft.com/office/spreadsheetml/2009/9/main" objectType="CheckBox" checked="Checked" fmlaLink="$M$61" lockText="1" noThreeD="1"/>
</file>

<file path=xl/ctrlProps/ctrlProp631.xml><?xml version="1.0" encoding="utf-8"?>
<formControlPr xmlns="http://schemas.microsoft.com/office/spreadsheetml/2009/9/main" objectType="CheckBox" checked="Checked" fmlaLink="$M$70" lockText="1" noThreeD="1"/>
</file>

<file path=xl/ctrlProps/ctrlProp632.xml><?xml version="1.0" encoding="utf-8"?>
<formControlPr xmlns="http://schemas.microsoft.com/office/spreadsheetml/2009/9/main" objectType="CheckBox" checked="Checked" fmlaLink="$M$68" lockText="1" noThreeD="1"/>
</file>

<file path=xl/ctrlProps/ctrlProp633.xml><?xml version="1.0" encoding="utf-8"?>
<formControlPr xmlns="http://schemas.microsoft.com/office/spreadsheetml/2009/9/main" objectType="CheckBox" fmlaLink="$M$75" lockText="1" noThreeD="1"/>
</file>

<file path=xl/ctrlProps/ctrlProp634.xml><?xml version="1.0" encoding="utf-8"?>
<formControlPr xmlns="http://schemas.microsoft.com/office/spreadsheetml/2009/9/main" objectType="CheckBox" checked="Checked" fmlaLink="$M$68" lockText="1" noThreeD="1"/>
</file>

<file path=xl/ctrlProps/ctrlProp635.xml><?xml version="1.0" encoding="utf-8"?>
<formControlPr xmlns="http://schemas.microsoft.com/office/spreadsheetml/2009/9/main" objectType="CheckBox" fmlaLink="$M$79" lockText="1" noThreeD="1"/>
</file>

<file path=xl/ctrlProps/ctrlProp636.xml><?xml version="1.0" encoding="utf-8"?>
<formControlPr xmlns="http://schemas.microsoft.com/office/spreadsheetml/2009/9/main" objectType="CheckBox" checked="Checked" fmlaLink="$M$68" lockText="1" noThreeD="1"/>
</file>

<file path=xl/ctrlProps/ctrlProp637.xml><?xml version="1.0" encoding="utf-8"?>
<formControlPr xmlns="http://schemas.microsoft.com/office/spreadsheetml/2009/9/main" objectType="CheckBox" checked="Checked" fmlaLink="$M$73" lockText="1" noThreeD="1"/>
</file>

<file path=xl/ctrlProps/ctrlProp638.xml><?xml version="1.0" encoding="utf-8"?>
<formControlPr xmlns="http://schemas.microsoft.com/office/spreadsheetml/2009/9/main" objectType="CheckBox" checked="Checked" fmlaLink="$M$68" lockText="1" noThreeD="1"/>
</file>

<file path=xl/ctrlProps/ctrlProp639.xml><?xml version="1.0" encoding="utf-8"?>
<formControlPr xmlns="http://schemas.microsoft.com/office/spreadsheetml/2009/9/main" objectType="CheckBox" checked="Checked" fmlaLink="$M$95" lockText="1" noThreeD="1"/>
</file>

<file path=xl/ctrlProps/ctrlProp64.xml><?xml version="1.0" encoding="utf-8"?>
<formControlPr xmlns="http://schemas.microsoft.com/office/spreadsheetml/2009/9/main" objectType="CheckBox" fmlaLink="$L$105" lockText="1" noThreeD="1"/>
</file>

<file path=xl/ctrlProps/ctrlProp640.xml><?xml version="1.0" encoding="utf-8"?>
<formControlPr xmlns="http://schemas.microsoft.com/office/spreadsheetml/2009/9/main" objectType="CheckBox" checked="Checked" fmlaLink="$M$68" lockText="1" noThreeD="1"/>
</file>

<file path=xl/ctrlProps/ctrlProp641.xml><?xml version="1.0" encoding="utf-8"?>
<formControlPr xmlns="http://schemas.microsoft.com/office/spreadsheetml/2009/9/main" objectType="CheckBox" checked="Checked" fmlaLink="$M$97" lockText="1" noThreeD="1"/>
</file>

<file path=xl/ctrlProps/ctrlProp642.xml><?xml version="1.0" encoding="utf-8"?>
<formControlPr xmlns="http://schemas.microsoft.com/office/spreadsheetml/2009/9/main" objectType="CheckBox" checked="Checked" fmlaLink="$M$68" lockText="1" noThreeD="1"/>
</file>

<file path=xl/ctrlProps/ctrlProp643.xml><?xml version="1.0" encoding="utf-8"?>
<formControlPr xmlns="http://schemas.microsoft.com/office/spreadsheetml/2009/9/main" objectType="CheckBox" fmlaLink="$M$99" lockText="1" noThreeD="1"/>
</file>

<file path=xl/ctrlProps/ctrlProp644.xml><?xml version="1.0" encoding="utf-8"?>
<formControlPr xmlns="http://schemas.microsoft.com/office/spreadsheetml/2009/9/main" objectType="CheckBox" checked="Checked" fmlaLink="$M$70" lockText="1" noThreeD="1"/>
</file>

<file path=xl/ctrlProps/ctrlProp645.xml><?xml version="1.0" encoding="utf-8"?>
<formControlPr xmlns="http://schemas.microsoft.com/office/spreadsheetml/2009/9/main" objectType="CheckBox" checked="Checked" fmlaLink="$M$68" lockText="1" noThreeD="1"/>
</file>

<file path=xl/ctrlProps/ctrlProp646.xml><?xml version="1.0" encoding="utf-8"?>
<formControlPr xmlns="http://schemas.microsoft.com/office/spreadsheetml/2009/9/main" objectType="CheckBox" fmlaLink="$M$77" lockText="1" noThreeD="1"/>
</file>

<file path=xl/ctrlProps/ctrlProp647.xml><?xml version="1.0" encoding="utf-8"?>
<formControlPr xmlns="http://schemas.microsoft.com/office/spreadsheetml/2009/9/main" objectType="CheckBox" checked="Checked" fmlaLink="$M$68" lockText="1" noThreeD="1"/>
</file>

<file path=xl/ctrlProps/ctrlProp648.xml><?xml version="1.0" encoding="utf-8"?>
<formControlPr xmlns="http://schemas.microsoft.com/office/spreadsheetml/2009/9/main" objectType="CheckBox" fmlaLink="$M$103" lockText="1" noThreeD="1"/>
</file>

<file path=xl/ctrlProps/ctrlProp649.xml><?xml version="1.0" encoding="utf-8"?>
<formControlPr xmlns="http://schemas.microsoft.com/office/spreadsheetml/2009/9/main" objectType="CheckBox" checked="Checked" fmlaLink="$M$68" lockText="1" noThreeD="1"/>
</file>

<file path=xl/ctrlProps/ctrlProp65.xml><?xml version="1.0" encoding="utf-8"?>
<formControlPr xmlns="http://schemas.microsoft.com/office/spreadsheetml/2009/9/main" objectType="CheckBox" fmlaLink="$L$107" lockText="1" noThreeD="1"/>
</file>

<file path=xl/ctrlProps/ctrlProp650.xml><?xml version="1.0" encoding="utf-8"?>
<formControlPr xmlns="http://schemas.microsoft.com/office/spreadsheetml/2009/9/main" objectType="CheckBox" fmlaLink="$M$101" lockText="1" noThreeD="1"/>
</file>

<file path=xl/ctrlProps/ctrlProp651.xml><?xml version="1.0" encoding="utf-8"?>
<formControlPr xmlns="http://schemas.microsoft.com/office/spreadsheetml/2009/9/main" objectType="CheckBox" fmlaLink="$M$135" lockText="1" noThreeD="1"/>
</file>

<file path=xl/ctrlProps/ctrlProp652.xml><?xml version="1.0" encoding="utf-8"?>
<formControlPr xmlns="http://schemas.microsoft.com/office/spreadsheetml/2009/9/main" objectType="CheckBox" fmlaLink="$M$133" lockText="1" noThreeD="1"/>
</file>

<file path=xl/ctrlProps/ctrlProp653.xml><?xml version="1.0" encoding="utf-8"?>
<formControlPr xmlns="http://schemas.microsoft.com/office/spreadsheetml/2009/9/main" objectType="CheckBox" fmlaLink="$M$137" lockText="1" noThreeD="1"/>
</file>

<file path=xl/ctrlProps/ctrlProp654.xml><?xml version="1.0" encoding="utf-8"?>
<formControlPr xmlns="http://schemas.microsoft.com/office/spreadsheetml/2009/9/main" objectType="CheckBox" fmlaLink="$L$75" lockText="1" noThreeD="1"/>
</file>

<file path=xl/ctrlProps/ctrlProp655.xml><?xml version="1.0" encoding="utf-8"?>
<formControlPr xmlns="http://schemas.microsoft.com/office/spreadsheetml/2009/9/main" objectType="CheckBox" checked="Checked" fmlaLink="$L$74" lockText="1" noThreeD="1"/>
</file>

<file path=xl/ctrlProps/ctrlProp656.xml><?xml version="1.0" encoding="utf-8"?>
<formControlPr xmlns="http://schemas.microsoft.com/office/spreadsheetml/2009/9/main" objectType="CheckBox" fmlaLink="$L$27" lockText="1" noThreeD="1"/>
</file>

<file path=xl/ctrlProps/ctrlProp657.xml><?xml version="1.0" encoding="utf-8"?>
<formControlPr xmlns="http://schemas.microsoft.com/office/spreadsheetml/2009/9/main" objectType="CheckBox" fmlaLink="$L$61" lockText="1" noThreeD="1"/>
</file>

<file path=xl/ctrlProps/ctrlProp658.xml><?xml version="1.0" encoding="utf-8"?>
<formControlPr xmlns="http://schemas.microsoft.com/office/spreadsheetml/2009/9/main" objectType="CheckBox" fmlaLink="$L$52" lockText="1" noThreeD="1"/>
</file>

<file path=xl/ctrlProps/ctrlProp659.xml><?xml version="1.0" encoding="utf-8"?>
<formControlPr xmlns="http://schemas.microsoft.com/office/spreadsheetml/2009/9/main" objectType="CheckBox" fmlaLink="L32" lockText="1" noThreeD="1"/>
</file>

<file path=xl/ctrlProps/ctrlProp66.xml><?xml version="1.0" encoding="utf-8"?>
<formControlPr xmlns="http://schemas.microsoft.com/office/spreadsheetml/2009/9/main" objectType="CheckBox" fmlaLink="$L$109" lockText="1" noThreeD="1"/>
</file>

<file path=xl/ctrlProps/ctrlProp660.xml><?xml version="1.0" encoding="utf-8"?>
<formControlPr xmlns="http://schemas.microsoft.com/office/spreadsheetml/2009/9/main" objectType="CheckBox" checked="Checked" fmlaLink="L102" lockText="1" noThreeD="1"/>
</file>

<file path=xl/ctrlProps/ctrlProp661.xml><?xml version="1.0" encoding="utf-8"?>
<formControlPr xmlns="http://schemas.microsoft.com/office/spreadsheetml/2009/9/main" objectType="CheckBox" checked="Checked" fmlaLink="L103" lockText="1" noThreeD="1"/>
</file>

<file path=xl/ctrlProps/ctrlProp662.xml><?xml version="1.0" encoding="utf-8"?>
<formControlPr xmlns="http://schemas.microsoft.com/office/spreadsheetml/2009/9/main" objectType="CheckBox" checked="Checked" fmlaLink="L104" lockText="1" noThreeD="1"/>
</file>

<file path=xl/ctrlProps/ctrlProp663.xml><?xml version="1.0" encoding="utf-8"?>
<formControlPr xmlns="http://schemas.microsoft.com/office/spreadsheetml/2009/9/main" objectType="CheckBox" fmlaLink="L91" lockText="1" noThreeD="1"/>
</file>

<file path=xl/ctrlProps/ctrlProp664.xml><?xml version="1.0" encoding="utf-8"?>
<formControlPr xmlns="http://schemas.microsoft.com/office/spreadsheetml/2009/9/main" objectType="CheckBox" fmlaLink="L92" lockText="1" noThreeD="1"/>
</file>

<file path=xl/ctrlProps/ctrlProp665.xml><?xml version="1.0" encoding="utf-8"?>
<formControlPr xmlns="http://schemas.microsoft.com/office/spreadsheetml/2009/9/main" objectType="CheckBox" fmlaLink="$L$88" lockText="1" noThreeD="1"/>
</file>

<file path=xl/ctrlProps/ctrlProp666.xml><?xml version="1.0" encoding="utf-8"?>
<formControlPr xmlns="http://schemas.microsoft.com/office/spreadsheetml/2009/9/main" objectType="CheckBox" checked="Checked" fmlaLink="$L$17" lockText="1" noThreeD="1"/>
</file>

<file path=xl/ctrlProps/ctrlProp667.xml><?xml version="1.0" encoding="utf-8"?>
<formControlPr xmlns="http://schemas.microsoft.com/office/spreadsheetml/2009/9/main" objectType="CheckBox" checked="Checked" fmlaLink="$L$129" lockText="1" noThreeD="1"/>
</file>

<file path=xl/ctrlProps/ctrlProp668.xml><?xml version="1.0" encoding="utf-8"?>
<formControlPr xmlns="http://schemas.microsoft.com/office/spreadsheetml/2009/9/main" objectType="CheckBox" fmlaLink="$L$18" lockText="1" noThreeD="1"/>
</file>

<file path=xl/ctrlProps/ctrlProp669.xml><?xml version="1.0" encoding="utf-8"?>
<formControlPr xmlns="http://schemas.microsoft.com/office/spreadsheetml/2009/9/main" objectType="CheckBox" checked="Checked" fmlaLink="$L$50" lockText="1" noThreeD="1"/>
</file>

<file path=xl/ctrlProps/ctrlProp67.xml><?xml version="1.0" encoding="utf-8"?>
<formControlPr xmlns="http://schemas.microsoft.com/office/spreadsheetml/2009/9/main" objectType="CheckBox" fmlaLink="$L$111" lockText="1" noThreeD="1"/>
</file>

<file path=xl/ctrlProps/ctrlProp670.xml><?xml version="1.0" encoding="utf-8"?>
<formControlPr xmlns="http://schemas.microsoft.com/office/spreadsheetml/2009/9/main" objectType="CheckBox" fmlaLink="$L$73" lockText="1" noThreeD="1"/>
</file>

<file path=xl/ctrlProps/ctrlProp671.xml><?xml version="1.0" encoding="utf-8"?>
<formControlPr xmlns="http://schemas.microsoft.com/office/spreadsheetml/2009/9/main" objectType="CheckBox" fmlaLink="L111" lockText="1" noThreeD="1"/>
</file>

<file path=xl/ctrlProps/ctrlProp672.xml><?xml version="1.0" encoding="utf-8"?>
<formControlPr xmlns="http://schemas.microsoft.com/office/spreadsheetml/2009/9/main" objectType="CheckBox" fmlaLink="L110" lockText="1" noThreeD="1"/>
</file>

<file path=xl/ctrlProps/ctrlProp673.xml><?xml version="1.0" encoding="utf-8"?>
<formControlPr xmlns="http://schemas.microsoft.com/office/spreadsheetml/2009/9/main" objectType="CheckBox" fmlaLink="$L$76" lockText="1" noThreeD="1"/>
</file>

<file path=xl/ctrlProps/ctrlProp674.xml><?xml version="1.0" encoding="utf-8"?>
<formControlPr xmlns="http://schemas.microsoft.com/office/spreadsheetml/2009/9/main" objectType="CheckBox" fmlaLink="$L$55" lockText="1" noThreeD="1"/>
</file>

<file path=xl/ctrlProps/ctrlProp675.xml><?xml version="1.0" encoding="utf-8"?>
<formControlPr xmlns="http://schemas.microsoft.com/office/spreadsheetml/2009/9/main" objectType="CheckBox" fmlaLink="L89" lockText="1" noThreeD="1"/>
</file>

<file path=xl/ctrlProps/ctrlProp676.xml><?xml version="1.0" encoding="utf-8"?>
<formControlPr xmlns="http://schemas.microsoft.com/office/spreadsheetml/2009/9/main" objectType="CheckBox" checked="Checked" fmlaLink="$K$18" lockText="1" noThreeD="1"/>
</file>

<file path=xl/ctrlProps/ctrlProp677.xml><?xml version="1.0" encoding="utf-8"?>
<formControlPr xmlns="http://schemas.microsoft.com/office/spreadsheetml/2009/9/main" objectType="CheckBox" checked="Checked" fmlaLink="$K$19" lockText="1" noThreeD="1"/>
</file>

<file path=xl/ctrlProps/ctrlProp678.xml><?xml version="1.0" encoding="utf-8"?>
<formControlPr xmlns="http://schemas.microsoft.com/office/spreadsheetml/2009/9/main" objectType="CheckBox" checked="Checked" fmlaLink="$K$20" lockText="1" noThreeD="1"/>
</file>

<file path=xl/ctrlProps/ctrlProp679.xml><?xml version="1.0" encoding="utf-8"?>
<formControlPr xmlns="http://schemas.microsoft.com/office/spreadsheetml/2009/9/main" objectType="CheckBox" fmlaLink="$K$21" lockText="1" noThreeD="1"/>
</file>

<file path=xl/ctrlProps/ctrlProp68.xml><?xml version="1.0" encoding="utf-8"?>
<formControlPr xmlns="http://schemas.microsoft.com/office/spreadsheetml/2009/9/main" objectType="CheckBox" fmlaLink="$L$113" lockText="1" noThreeD="1"/>
</file>

<file path=xl/ctrlProps/ctrlProp680.xml><?xml version="1.0" encoding="utf-8"?>
<formControlPr xmlns="http://schemas.microsoft.com/office/spreadsheetml/2009/9/main" objectType="CheckBox" fmlaLink="$K$22" lockText="1" noThreeD="1"/>
</file>

<file path=xl/ctrlProps/ctrlProp681.xml><?xml version="1.0" encoding="utf-8"?>
<formControlPr xmlns="http://schemas.microsoft.com/office/spreadsheetml/2009/9/main" objectType="CheckBox" fmlaLink="$K$23" lockText="1" noThreeD="1"/>
</file>

<file path=xl/ctrlProps/ctrlProp682.xml><?xml version="1.0" encoding="utf-8"?>
<formControlPr xmlns="http://schemas.microsoft.com/office/spreadsheetml/2009/9/main" objectType="CheckBox" fmlaLink="$K$24" lockText="1" noThreeD="1"/>
</file>

<file path=xl/ctrlProps/ctrlProp683.xml><?xml version="1.0" encoding="utf-8"?>
<formControlPr xmlns="http://schemas.microsoft.com/office/spreadsheetml/2009/9/main" objectType="CheckBox" fmlaLink="$K$25" lockText="1" noThreeD="1"/>
</file>

<file path=xl/ctrlProps/ctrlProp684.xml><?xml version="1.0" encoding="utf-8"?>
<formControlPr xmlns="http://schemas.microsoft.com/office/spreadsheetml/2009/9/main" objectType="CheckBox" fmlaLink="$K$26" lockText="1" noThreeD="1"/>
</file>

<file path=xl/ctrlProps/ctrlProp685.xml><?xml version="1.0" encoding="utf-8"?>
<formControlPr xmlns="http://schemas.microsoft.com/office/spreadsheetml/2009/9/main" objectType="CheckBox" fmlaLink="$K$27" lockText="1" noThreeD="1"/>
</file>

<file path=xl/ctrlProps/ctrlProp686.xml><?xml version="1.0" encoding="utf-8"?>
<formControlPr xmlns="http://schemas.microsoft.com/office/spreadsheetml/2009/9/main" objectType="CheckBox" fmlaLink="$K$28" lockText="1" noThreeD="1"/>
</file>

<file path=xl/ctrlProps/ctrlProp69.xml><?xml version="1.0" encoding="utf-8"?>
<formControlPr xmlns="http://schemas.microsoft.com/office/spreadsheetml/2009/9/main" objectType="CheckBox" fmlaLink="$L$121" lockText="1" noThreeD="1"/>
</file>

<file path=xl/ctrlProps/ctrlProp7.xml><?xml version="1.0" encoding="utf-8"?>
<formControlPr xmlns="http://schemas.microsoft.com/office/spreadsheetml/2009/9/main" objectType="CheckBox" checked="Checked" fmlaLink="$I$12" lockText="1" noThreeD="1"/>
</file>

<file path=xl/ctrlProps/ctrlProp70.xml><?xml version="1.0" encoding="utf-8"?>
<formControlPr xmlns="http://schemas.microsoft.com/office/spreadsheetml/2009/9/main" objectType="CheckBox" fmlaLink="$L$124" lockText="1" noThreeD="1"/>
</file>

<file path=xl/ctrlProps/ctrlProp71.xml><?xml version="1.0" encoding="utf-8"?>
<formControlPr xmlns="http://schemas.microsoft.com/office/spreadsheetml/2009/9/main" objectType="CheckBox" fmlaLink="$L$119" lockText="1" noThreeD="1"/>
</file>

<file path=xl/ctrlProps/ctrlProp72.xml><?xml version="1.0" encoding="utf-8"?>
<formControlPr xmlns="http://schemas.microsoft.com/office/spreadsheetml/2009/9/main" objectType="CheckBox" fmlaLink="$L$130" lockText="1" noThreeD="1"/>
</file>

<file path=xl/ctrlProps/ctrlProp73.xml><?xml version="1.0" encoding="utf-8"?>
<formControlPr xmlns="http://schemas.microsoft.com/office/spreadsheetml/2009/9/main" objectType="CheckBox" fmlaLink="$L$132" lockText="1" noThreeD="1"/>
</file>

<file path=xl/ctrlProps/ctrlProp74.xml><?xml version="1.0" encoding="utf-8"?>
<formControlPr xmlns="http://schemas.microsoft.com/office/spreadsheetml/2009/9/main" objectType="CheckBox" fmlaLink="$L$135" lockText="1" noThreeD="1"/>
</file>

<file path=xl/ctrlProps/ctrlProp75.xml><?xml version="1.0" encoding="utf-8"?>
<formControlPr xmlns="http://schemas.microsoft.com/office/spreadsheetml/2009/9/main" objectType="CheckBox" fmlaLink="$L$137" lockText="1" noThreeD="1"/>
</file>

<file path=xl/ctrlProps/ctrlProp76.xml><?xml version="1.0" encoding="utf-8"?>
<formControlPr xmlns="http://schemas.microsoft.com/office/spreadsheetml/2009/9/main" objectType="CheckBox" fmlaLink="$L$142" lockText="1" noThreeD="1"/>
</file>

<file path=xl/ctrlProps/ctrlProp77.xml><?xml version="1.0" encoding="utf-8"?>
<formControlPr xmlns="http://schemas.microsoft.com/office/spreadsheetml/2009/9/main" objectType="CheckBox" fmlaLink="$L$144" lockText="1" noThreeD="1"/>
</file>

<file path=xl/ctrlProps/ctrlProp78.xml><?xml version="1.0" encoding="utf-8"?>
<formControlPr xmlns="http://schemas.microsoft.com/office/spreadsheetml/2009/9/main" objectType="CheckBox" fmlaLink="$L$146" lockText="1" noThreeD="1"/>
</file>

<file path=xl/ctrlProps/ctrlProp79.xml><?xml version="1.0" encoding="utf-8"?>
<formControlPr xmlns="http://schemas.microsoft.com/office/spreadsheetml/2009/9/main" objectType="CheckBox" fmlaLink="$L$148" lockText="1" noThreeD="1"/>
</file>

<file path=xl/ctrlProps/ctrlProp8.xml><?xml version="1.0" encoding="utf-8"?>
<formControlPr xmlns="http://schemas.microsoft.com/office/spreadsheetml/2009/9/main" objectType="CheckBox" fmlaLink="$I$13" lockText="1" noThreeD="1"/>
</file>

<file path=xl/ctrlProps/ctrlProp80.xml><?xml version="1.0" encoding="utf-8"?>
<formControlPr xmlns="http://schemas.microsoft.com/office/spreadsheetml/2009/9/main" objectType="CheckBox" fmlaLink="$L$150" lockText="1" noThreeD="1"/>
</file>

<file path=xl/ctrlProps/ctrlProp81.xml><?xml version="1.0" encoding="utf-8"?>
<formControlPr xmlns="http://schemas.microsoft.com/office/spreadsheetml/2009/9/main" objectType="CheckBox" fmlaLink="$L$154" lockText="1" noThreeD="1"/>
</file>

<file path=xl/ctrlProps/ctrlProp82.xml><?xml version="1.0" encoding="utf-8"?>
<formControlPr xmlns="http://schemas.microsoft.com/office/spreadsheetml/2009/9/main" objectType="CheckBox" fmlaLink="$L$156" lockText="1" noThreeD="1"/>
</file>

<file path=xl/ctrlProps/ctrlProp83.xml><?xml version="1.0" encoding="utf-8"?>
<formControlPr xmlns="http://schemas.microsoft.com/office/spreadsheetml/2009/9/main" objectType="CheckBox" fmlaLink="$L$158" lockText="1" noThreeD="1"/>
</file>

<file path=xl/ctrlProps/ctrlProp84.xml><?xml version="1.0" encoding="utf-8"?>
<formControlPr xmlns="http://schemas.microsoft.com/office/spreadsheetml/2009/9/main" objectType="CheckBox" fmlaLink="$L$160" lockText="1" noThreeD="1"/>
</file>

<file path=xl/ctrlProps/ctrlProp85.xml><?xml version="1.0" encoding="utf-8"?>
<formControlPr xmlns="http://schemas.microsoft.com/office/spreadsheetml/2009/9/main" objectType="CheckBox" fmlaLink="$L$185" lockText="1" noThreeD="1"/>
</file>

<file path=xl/ctrlProps/ctrlProp86.xml><?xml version="1.0" encoding="utf-8"?>
<formControlPr xmlns="http://schemas.microsoft.com/office/spreadsheetml/2009/9/main" objectType="CheckBox" fmlaLink="$L$187" lockText="1" noThreeD="1"/>
</file>

<file path=xl/ctrlProps/ctrlProp87.xml><?xml version="1.0" encoding="utf-8"?>
<formControlPr xmlns="http://schemas.microsoft.com/office/spreadsheetml/2009/9/main" objectType="CheckBox" fmlaLink="$L$189" lockText="1" noThreeD="1"/>
</file>

<file path=xl/ctrlProps/ctrlProp88.xml><?xml version="1.0" encoding="utf-8"?>
<formControlPr xmlns="http://schemas.microsoft.com/office/spreadsheetml/2009/9/main" objectType="CheckBox" checked="Checked" fmlaLink="$L$78" lockText="1" noThreeD="1"/>
</file>

<file path=xl/ctrlProps/ctrlProp89.xml><?xml version="1.0" encoding="utf-8"?>
<formControlPr xmlns="http://schemas.microsoft.com/office/spreadsheetml/2009/9/main" objectType="CheckBox" checked="Checked" fmlaLink="$L$57" lockText="1" noThreeD="1"/>
</file>

<file path=xl/ctrlProps/ctrlProp9.xml><?xml version="1.0" encoding="utf-8"?>
<formControlPr xmlns="http://schemas.microsoft.com/office/spreadsheetml/2009/9/main" objectType="CheckBox" fmlaLink="$I$11" lockText="1" noThreeD="1"/>
</file>

<file path=xl/ctrlProps/ctrlProp90.xml><?xml version="1.0" encoding="utf-8"?>
<formControlPr xmlns="http://schemas.microsoft.com/office/spreadsheetml/2009/9/main" objectType="CheckBox" checked="Checked" fmlaLink="$L$23" lockText="1" noThreeD="1"/>
</file>

<file path=xl/ctrlProps/ctrlProp91.xml><?xml version="1.0" encoding="utf-8"?>
<formControlPr xmlns="http://schemas.microsoft.com/office/spreadsheetml/2009/9/main" objectType="CheckBox" fmlaLink="$L$13" lockText="1" noThreeD="1"/>
</file>

<file path=xl/ctrlProps/ctrlProp92.xml><?xml version="1.0" encoding="utf-8"?>
<formControlPr xmlns="http://schemas.microsoft.com/office/spreadsheetml/2009/9/main" objectType="CheckBox" fmlaLink="$L$14" lockText="1" noThreeD="1"/>
</file>

<file path=xl/ctrlProps/ctrlProp93.xml><?xml version="1.0" encoding="utf-8"?>
<formControlPr xmlns="http://schemas.microsoft.com/office/spreadsheetml/2009/9/main" objectType="CheckBox" fmlaLink="$L$15" lockText="1" noThreeD="1"/>
</file>

<file path=xl/ctrlProps/ctrlProp94.xml><?xml version="1.0" encoding="utf-8"?>
<formControlPr xmlns="http://schemas.microsoft.com/office/spreadsheetml/2009/9/main" objectType="CheckBox" fmlaLink="$L$152" lockText="1" noThreeD="1"/>
</file>

<file path=xl/ctrlProps/ctrlProp95.xml><?xml version="1.0" encoding="utf-8"?>
<formControlPr xmlns="http://schemas.microsoft.com/office/spreadsheetml/2009/9/main" objectType="CheckBox" checked="Checked" fmlaLink="$L$65" lockText="1" noThreeD="1"/>
</file>

<file path=xl/ctrlProps/ctrlProp96.xml><?xml version="1.0" encoding="utf-8"?>
<formControlPr xmlns="http://schemas.microsoft.com/office/spreadsheetml/2009/9/main" objectType="CheckBox" checked="Checked" fmlaLink="$L$69" lockText="1" noThreeD="1"/>
</file>

<file path=xl/ctrlProps/ctrlProp97.xml><?xml version="1.0" encoding="utf-8"?>
<formControlPr xmlns="http://schemas.microsoft.com/office/spreadsheetml/2009/9/main" objectType="CheckBox" checked="Checked" fmlaLink="$L$96" lockText="1" noThreeD="1"/>
</file>

<file path=xl/ctrlProps/ctrlProp98.xml><?xml version="1.0" encoding="utf-8"?>
<formControlPr xmlns="http://schemas.microsoft.com/office/spreadsheetml/2009/9/main" objectType="CheckBox" checked="Checked" fmlaLink="$L$98" lockText="1" noThreeD="1"/>
</file>

<file path=xl/ctrlProps/ctrlProp99.xml><?xml version="1.0" encoding="utf-8"?>
<formControlPr xmlns="http://schemas.microsoft.com/office/spreadsheetml/2009/9/main" objectType="CheckBox" fmlaLink="$L$16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12</xdr:row>
          <xdr:rowOff>0</xdr:rowOff>
        </xdr:from>
        <xdr:to>
          <xdr:col>3</xdr:col>
          <xdr:colOff>0</xdr:colOff>
          <xdr:row>13</xdr:row>
          <xdr:rowOff>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0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0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0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0</xdr:colOff>
          <xdr:row>17</xdr:row>
          <xdr:rowOff>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0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0</xdr:colOff>
          <xdr:row>19</xdr:row>
          <xdr:rowOff>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0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0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70</xdr:row>
          <xdr:rowOff>0</xdr:rowOff>
        </xdr:to>
        <xdr:sp macro="" textlink="">
          <xdr:nvSpPr>
            <xdr:cNvPr id="74753" name="Kontrollkästchen 5" hidden="1">
              <a:extLst>
                <a:ext uri="{63B3BB69-23CF-44E3-9099-C40C66FF867C}">
                  <a14:compatExt spid="_x0000_s74753"/>
                </a:ext>
                <a:ext uri="{FF2B5EF4-FFF2-40B4-BE49-F238E27FC236}">
                  <a16:creationId xmlns:a16="http://schemas.microsoft.com/office/drawing/2014/main" id="{00000000-0008-0000-09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0</xdr:colOff>
          <xdr:row>68</xdr:row>
          <xdr:rowOff>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09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0</xdr:colOff>
          <xdr:row>68</xdr:row>
          <xdr:rowOff>0</xdr:rowOff>
        </xdr:to>
        <xdr:sp macro="" textlink="">
          <xdr:nvSpPr>
            <xdr:cNvPr id="74755" name="Kontrollkästchen 2" hidden="1">
              <a:extLst>
                <a:ext uri="{63B3BB69-23CF-44E3-9099-C40C66FF867C}">
                  <a14:compatExt spid="_x0000_s74755"/>
                </a:ext>
                <a:ext uri="{FF2B5EF4-FFF2-40B4-BE49-F238E27FC236}">
                  <a16:creationId xmlns:a16="http://schemas.microsoft.com/office/drawing/2014/main" id="{00000000-0008-0000-0900-00000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70</xdr:row>
          <xdr:rowOff>0</xdr:rowOff>
        </xdr:to>
        <xdr:sp macro="" textlink="">
          <xdr:nvSpPr>
            <xdr:cNvPr id="74756" name="Check Box 4" hidden="1">
              <a:extLst>
                <a:ext uri="{63B3BB69-23CF-44E3-9099-C40C66FF867C}">
                  <a14:compatExt spid="_x0000_s74756"/>
                </a:ext>
                <a:ext uri="{FF2B5EF4-FFF2-40B4-BE49-F238E27FC236}">
                  <a16:creationId xmlns:a16="http://schemas.microsoft.com/office/drawing/2014/main" id="{00000000-0008-0000-0900-00000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70</xdr:row>
          <xdr:rowOff>0</xdr:rowOff>
        </xdr:to>
        <xdr:sp macro="" textlink="">
          <xdr:nvSpPr>
            <xdr:cNvPr id="74757" name="Check Box 5" hidden="1">
              <a:extLst>
                <a:ext uri="{63B3BB69-23CF-44E3-9099-C40C66FF867C}">
                  <a14:compatExt spid="_x0000_s74757"/>
                </a:ext>
                <a:ext uri="{FF2B5EF4-FFF2-40B4-BE49-F238E27FC236}">
                  <a16:creationId xmlns:a16="http://schemas.microsoft.com/office/drawing/2014/main" id="{00000000-0008-0000-0900-00000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0</xdr:colOff>
          <xdr:row>61</xdr:row>
          <xdr:rowOff>0</xdr:rowOff>
        </xdr:to>
        <xdr:sp macro="" textlink="">
          <xdr:nvSpPr>
            <xdr:cNvPr id="74758" name="Check Box 6" hidden="1">
              <a:extLst>
                <a:ext uri="{63B3BB69-23CF-44E3-9099-C40C66FF867C}">
                  <a14:compatExt spid="_x0000_s74758"/>
                </a:ext>
                <a:ext uri="{FF2B5EF4-FFF2-40B4-BE49-F238E27FC236}">
                  <a16:creationId xmlns:a16="http://schemas.microsoft.com/office/drawing/2014/main" id="{00000000-0008-0000-0900-00000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0</xdr:colOff>
          <xdr:row>61</xdr:row>
          <xdr:rowOff>0</xdr:rowOff>
        </xdr:to>
        <xdr:sp macro="" textlink="">
          <xdr:nvSpPr>
            <xdr:cNvPr id="74759" name="Check Box 7" hidden="1">
              <a:extLst>
                <a:ext uri="{63B3BB69-23CF-44E3-9099-C40C66FF867C}">
                  <a14:compatExt spid="_x0000_s74759"/>
                </a:ext>
                <a:ext uri="{FF2B5EF4-FFF2-40B4-BE49-F238E27FC236}">
                  <a16:creationId xmlns:a16="http://schemas.microsoft.com/office/drawing/2014/main" id="{00000000-0008-0000-0900-00000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0</xdr:colOff>
          <xdr:row>79</xdr:row>
          <xdr:rowOff>0</xdr:rowOff>
        </xdr:to>
        <xdr:sp macro="" textlink="">
          <xdr:nvSpPr>
            <xdr:cNvPr id="74760" name="Check Box 8" hidden="1">
              <a:extLst>
                <a:ext uri="{63B3BB69-23CF-44E3-9099-C40C66FF867C}">
                  <a14:compatExt spid="_x0000_s74760"/>
                </a:ext>
                <a:ext uri="{FF2B5EF4-FFF2-40B4-BE49-F238E27FC236}">
                  <a16:creationId xmlns:a16="http://schemas.microsoft.com/office/drawing/2014/main" id="{00000000-0008-0000-0900-00000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0</xdr:colOff>
          <xdr:row>75</xdr:row>
          <xdr:rowOff>0</xdr:rowOff>
        </xdr:to>
        <xdr:sp macro="" textlink="">
          <xdr:nvSpPr>
            <xdr:cNvPr id="74761" name="Check Box 9" hidden="1">
              <a:extLst>
                <a:ext uri="{63B3BB69-23CF-44E3-9099-C40C66FF867C}">
                  <a14:compatExt spid="_x0000_s74761"/>
                </a:ext>
                <a:ext uri="{FF2B5EF4-FFF2-40B4-BE49-F238E27FC236}">
                  <a16:creationId xmlns:a16="http://schemas.microsoft.com/office/drawing/2014/main" id="{00000000-0008-0000-0900-00000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0</xdr:colOff>
          <xdr:row>75</xdr:row>
          <xdr:rowOff>0</xdr:rowOff>
        </xdr:to>
        <xdr:sp macro="" textlink="">
          <xdr:nvSpPr>
            <xdr:cNvPr id="74762" name="Check Box 10" hidden="1">
              <a:extLst>
                <a:ext uri="{63B3BB69-23CF-44E3-9099-C40C66FF867C}">
                  <a14:compatExt spid="_x0000_s74762"/>
                </a:ext>
                <a:ext uri="{FF2B5EF4-FFF2-40B4-BE49-F238E27FC236}">
                  <a16:creationId xmlns:a16="http://schemas.microsoft.com/office/drawing/2014/main" id="{00000000-0008-0000-0900-00000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0</xdr:colOff>
          <xdr:row>79</xdr:row>
          <xdr:rowOff>0</xdr:rowOff>
        </xdr:to>
        <xdr:sp macro="" textlink="">
          <xdr:nvSpPr>
            <xdr:cNvPr id="74763" name="Check Box 11" hidden="1">
              <a:extLst>
                <a:ext uri="{63B3BB69-23CF-44E3-9099-C40C66FF867C}">
                  <a14:compatExt spid="_x0000_s74763"/>
                </a:ext>
                <a:ext uri="{FF2B5EF4-FFF2-40B4-BE49-F238E27FC236}">
                  <a16:creationId xmlns:a16="http://schemas.microsoft.com/office/drawing/2014/main" id="{00000000-0008-0000-0900-00000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0</xdr:colOff>
          <xdr:row>79</xdr:row>
          <xdr:rowOff>0</xdr:rowOff>
        </xdr:to>
        <xdr:sp macro="" textlink="">
          <xdr:nvSpPr>
            <xdr:cNvPr id="74764" name="Check Box 12" hidden="1">
              <a:extLst>
                <a:ext uri="{63B3BB69-23CF-44E3-9099-C40C66FF867C}">
                  <a14:compatExt spid="_x0000_s74764"/>
                </a:ext>
                <a:ext uri="{FF2B5EF4-FFF2-40B4-BE49-F238E27FC236}">
                  <a16:creationId xmlns:a16="http://schemas.microsoft.com/office/drawing/2014/main" id="{00000000-0008-0000-0900-00000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0</xdr:colOff>
          <xdr:row>73</xdr:row>
          <xdr:rowOff>0</xdr:rowOff>
        </xdr:to>
        <xdr:sp macro="" textlink="">
          <xdr:nvSpPr>
            <xdr:cNvPr id="74765" name="Check Box 13" hidden="1">
              <a:extLst>
                <a:ext uri="{63B3BB69-23CF-44E3-9099-C40C66FF867C}">
                  <a14:compatExt spid="_x0000_s74765"/>
                </a:ext>
                <a:ext uri="{FF2B5EF4-FFF2-40B4-BE49-F238E27FC236}">
                  <a16:creationId xmlns:a16="http://schemas.microsoft.com/office/drawing/2014/main" id="{00000000-0008-0000-0900-00000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0</xdr:colOff>
          <xdr:row>73</xdr:row>
          <xdr:rowOff>0</xdr:rowOff>
        </xdr:to>
        <xdr:sp macro="" textlink="">
          <xdr:nvSpPr>
            <xdr:cNvPr id="74766" name="Check Box 14" hidden="1">
              <a:extLst>
                <a:ext uri="{63B3BB69-23CF-44E3-9099-C40C66FF867C}">
                  <a14:compatExt spid="_x0000_s74766"/>
                </a:ext>
                <a:ext uri="{FF2B5EF4-FFF2-40B4-BE49-F238E27FC236}">
                  <a16:creationId xmlns:a16="http://schemas.microsoft.com/office/drawing/2014/main" id="{00000000-0008-0000-0900-00000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74767" name="Check Box 15" hidden="1">
              <a:extLst>
                <a:ext uri="{63B3BB69-23CF-44E3-9099-C40C66FF867C}">
                  <a14:compatExt spid="_x0000_s74767"/>
                </a:ext>
                <a:ext uri="{FF2B5EF4-FFF2-40B4-BE49-F238E27FC236}">
                  <a16:creationId xmlns:a16="http://schemas.microsoft.com/office/drawing/2014/main" id="{00000000-0008-0000-0900-00000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9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0</xdr:colOff>
          <xdr:row>97</xdr:row>
          <xdr:rowOff>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9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0</xdr:colOff>
          <xdr:row>97</xdr:row>
          <xdr:rowOff>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9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9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9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0</xdr:colOff>
          <xdr:row>77</xdr:row>
          <xdr:rowOff>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9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0</xdr:colOff>
          <xdr:row>77</xdr:row>
          <xdr:rowOff>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9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0</xdr:colOff>
          <xdr:row>77</xdr:row>
          <xdr:rowOff>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9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0</xdr:colOff>
          <xdr:row>103</xdr:row>
          <xdr:rowOff>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9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0</xdr:colOff>
          <xdr:row>103</xdr:row>
          <xdr:rowOff>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9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0</xdr:colOff>
          <xdr:row>101</xdr:row>
          <xdr:rowOff>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9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0</xdr:colOff>
          <xdr:row>101</xdr:row>
          <xdr:rowOff>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9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134</xdr:row>
          <xdr:rowOff>0</xdr:rowOff>
        </xdr:from>
        <xdr:to>
          <xdr:col>2</xdr:col>
          <xdr:colOff>0</xdr:colOff>
          <xdr:row>135</xdr:row>
          <xdr:rowOff>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9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132</xdr:row>
          <xdr:rowOff>0</xdr:rowOff>
        </xdr:from>
        <xdr:to>
          <xdr:col>2</xdr:col>
          <xdr:colOff>0</xdr:colOff>
          <xdr:row>133</xdr:row>
          <xdr:rowOff>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9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136</xdr:row>
          <xdr:rowOff>0</xdr:rowOff>
        </xdr:from>
        <xdr:to>
          <xdr:col>2</xdr:col>
          <xdr:colOff>0</xdr:colOff>
          <xdr:row>137</xdr:row>
          <xdr:rowOff>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9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74</xdr:row>
          <xdr:rowOff>0</xdr:rowOff>
        </xdr:from>
        <xdr:to>
          <xdr:col>3</xdr:col>
          <xdr:colOff>0</xdr:colOff>
          <xdr:row>75</xdr:row>
          <xdr:rowOff>7620</xdr:rowOff>
        </xdr:to>
        <xdr:sp macro="" textlink="">
          <xdr:nvSpPr>
            <xdr:cNvPr id="28678" name="Check Box 6" descr="3 Fahrstreifen" hidden="1">
              <a:extLst>
                <a:ext uri="{63B3BB69-23CF-44E3-9099-C40C66FF867C}">
                  <a14:compatExt spid="_x0000_s28678"/>
                </a:ext>
                <a:ext uri="{FF2B5EF4-FFF2-40B4-BE49-F238E27FC236}">
                  <a16:creationId xmlns:a16="http://schemas.microsoft.com/office/drawing/2014/main" id="{00000000-0008-0000-0A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73</xdr:row>
          <xdr:rowOff>0</xdr:rowOff>
        </xdr:from>
        <xdr:to>
          <xdr:col>3</xdr:col>
          <xdr:colOff>0</xdr:colOff>
          <xdr:row>74</xdr:row>
          <xdr:rowOff>7620</xdr:rowOff>
        </xdr:to>
        <xdr:sp macro="" textlink="">
          <xdr:nvSpPr>
            <xdr:cNvPr id="28679" name="Check Box 7" descr="3 Fahrstreifen" hidden="1">
              <a:extLst>
                <a:ext uri="{63B3BB69-23CF-44E3-9099-C40C66FF867C}">
                  <a14:compatExt spid="_x0000_s28679"/>
                </a:ext>
                <a:ext uri="{FF2B5EF4-FFF2-40B4-BE49-F238E27FC236}">
                  <a16:creationId xmlns:a16="http://schemas.microsoft.com/office/drawing/2014/main" id="{00000000-0008-0000-0A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0</xdr:rowOff>
        </xdr:from>
        <xdr:to>
          <xdr:col>3</xdr:col>
          <xdr:colOff>0</xdr:colOff>
          <xdr:row>27</xdr:row>
          <xdr:rowOff>7620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A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60</xdr:row>
          <xdr:rowOff>0</xdr:rowOff>
        </xdr:from>
        <xdr:to>
          <xdr:col>3</xdr:col>
          <xdr:colOff>0</xdr:colOff>
          <xdr:row>60</xdr:row>
          <xdr:rowOff>190500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A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51</xdr:row>
          <xdr:rowOff>0</xdr:rowOff>
        </xdr:from>
        <xdr:to>
          <xdr:col>3</xdr:col>
          <xdr:colOff>0</xdr:colOff>
          <xdr:row>51</xdr:row>
          <xdr:rowOff>190500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A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0</xdr:colOff>
          <xdr:row>32</xdr:row>
          <xdr:rowOff>7620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A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101</xdr:row>
          <xdr:rowOff>0</xdr:rowOff>
        </xdr:from>
        <xdr:to>
          <xdr:col>3</xdr:col>
          <xdr:colOff>0</xdr:colOff>
          <xdr:row>102</xdr:row>
          <xdr:rowOff>7620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0A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102</xdr:row>
          <xdr:rowOff>0</xdr:rowOff>
        </xdr:from>
        <xdr:to>
          <xdr:col>3</xdr:col>
          <xdr:colOff>0</xdr:colOff>
          <xdr:row>103</xdr:row>
          <xdr:rowOff>22860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0A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103</xdr:row>
          <xdr:rowOff>0</xdr:rowOff>
        </xdr:from>
        <xdr:to>
          <xdr:col>3</xdr:col>
          <xdr:colOff>0</xdr:colOff>
          <xdr:row>104</xdr:row>
          <xdr:rowOff>22860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0A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90</xdr:row>
          <xdr:rowOff>0</xdr:rowOff>
        </xdr:from>
        <xdr:to>
          <xdr:col>4</xdr:col>
          <xdr:colOff>0</xdr:colOff>
          <xdr:row>91</xdr:row>
          <xdr:rowOff>0</xdr:rowOff>
        </xdr:to>
        <xdr:sp macro="" textlink="">
          <xdr:nvSpPr>
            <xdr:cNvPr id="28699" name="Check Box 27" descr="3 Fahrstreifen" hidden="1">
              <a:extLst>
                <a:ext uri="{63B3BB69-23CF-44E3-9099-C40C66FF867C}">
                  <a14:compatExt spid="_x0000_s28699"/>
                </a:ext>
                <a:ext uri="{FF2B5EF4-FFF2-40B4-BE49-F238E27FC236}">
                  <a16:creationId xmlns:a16="http://schemas.microsoft.com/office/drawing/2014/main" id="{00000000-0008-0000-0A00-00001B700000}"/>
                </a:ext>
              </a:extLst>
            </xdr:cNvPr>
            <xdr:cNvSpPr/>
          </xdr:nvSpPr>
          <xdr:spPr bwMode="auto">
            <a:xfrm>
              <a:off x="0" y="0"/>
              <a:ext cx="0" cy="0"/>
            </a:xfrm>
            <a:prstGeom prst="rect">
              <a:avLst/>
            </a:prstGeom>
            <a:noFill/>
            <a:ln>
              <a:noFill/>
            </a:ln>
            <a:extLst>
              <a:ext uri="{909E8E84-426E-40DD-AFC4-6F175D3DCCD1}">
                <a14:hiddenFill>
                  <a:solidFill>
                    <a:srgbClr val="FFFFCC" mc:Ignorable="a14" a14:legacySpreadsheetColorIndex="26"/>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0</xdr:rowOff>
        </xdr:from>
        <xdr:to>
          <xdr:col>4</xdr:col>
          <xdr:colOff>0</xdr:colOff>
          <xdr:row>92</xdr:row>
          <xdr:rowOff>0</xdr:rowOff>
        </xdr:to>
        <xdr:sp macro="" textlink="">
          <xdr:nvSpPr>
            <xdr:cNvPr id="28700" name="Check Box 28" descr="3 Fahrstreifen" hidden="1">
              <a:extLst>
                <a:ext uri="{63B3BB69-23CF-44E3-9099-C40C66FF867C}">
                  <a14:compatExt spid="_x0000_s28700"/>
                </a:ext>
                <a:ext uri="{FF2B5EF4-FFF2-40B4-BE49-F238E27FC236}">
                  <a16:creationId xmlns:a16="http://schemas.microsoft.com/office/drawing/2014/main" id="{00000000-0008-0000-0A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87</xdr:row>
          <xdr:rowOff>0</xdr:rowOff>
        </xdr:from>
        <xdr:to>
          <xdr:col>3</xdr:col>
          <xdr:colOff>0</xdr:colOff>
          <xdr:row>88</xdr:row>
          <xdr:rowOff>0</xdr:rowOff>
        </xdr:to>
        <xdr:sp macro="" textlink="">
          <xdr:nvSpPr>
            <xdr:cNvPr id="28701" name="Check Box 29" hidden="1">
              <a:extLst>
                <a:ext uri="{63B3BB69-23CF-44E3-9099-C40C66FF867C}">
                  <a14:compatExt spid="_x0000_s28701"/>
                </a:ext>
                <a:ext uri="{FF2B5EF4-FFF2-40B4-BE49-F238E27FC236}">
                  <a16:creationId xmlns:a16="http://schemas.microsoft.com/office/drawing/2014/main" id="{00000000-0008-0000-0A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0</xdr:colOff>
          <xdr:row>17</xdr:row>
          <xdr:rowOff>0</xdr:rowOff>
        </xdr:to>
        <xdr:sp macro="" textlink="">
          <xdr:nvSpPr>
            <xdr:cNvPr id="28702" name="Check Box 30" hidden="1">
              <a:extLst>
                <a:ext uri="{63B3BB69-23CF-44E3-9099-C40C66FF867C}">
                  <a14:compatExt spid="_x0000_s28702"/>
                </a:ext>
                <a:ext uri="{FF2B5EF4-FFF2-40B4-BE49-F238E27FC236}">
                  <a16:creationId xmlns:a16="http://schemas.microsoft.com/office/drawing/2014/main" id="{00000000-0008-0000-0A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128</xdr:row>
          <xdr:rowOff>0</xdr:rowOff>
        </xdr:from>
        <xdr:to>
          <xdr:col>2</xdr:col>
          <xdr:colOff>0</xdr:colOff>
          <xdr:row>129</xdr:row>
          <xdr:rowOff>0</xdr:rowOff>
        </xdr:to>
        <xdr:sp macro="" textlink="">
          <xdr:nvSpPr>
            <xdr:cNvPr id="28703" name="Check Box 31" hidden="1">
              <a:extLst>
                <a:ext uri="{63B3BB69-23CF-44E3-9099-C40C66FF867C}">
                  <a14:compatExt spid="_x0000_s28703"/>
                </a:ext>
                <a:ext uri="{FF2B5EF4-FFF2-40B4-BE49-F238E27FC236}">
                  <a16:creationId xmlns:a16="http://schemas.microsoft.com/office/drawing/2014/main" id="{00000000-0008-0000-0A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17</xdr:row>
          <xdr:rowOff>190500</xdr:rowOff>
        </xdr:to>
        <xdr:sp macro="" textlink="">
          <xdr:nvSpPr>
            <xdr:cNvPr id="28704" name="Check Box 32" hidden="1">
              <a:extLst>
                <a:ext uri="{63B3BB69-23CF-44E3-9099-C40C66FF867C}">
                  <a14:compatExt spid="_x0000_s28704"/>
                </a:ext>
                <a:ext uri="{FF2B5EF4-FFF2-40B4-BE49-F238E27FC236}">
                  <a16:creationId xmlns:a16="http://schemas.microsoft.com/office/drawing/2014/main" id="{00000000-0008-0000-0A00-00002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49</xdr:row>
          <xdr:rowOff>0</xdr:rowOff>
        </xdr:from>
        <xdr:to>
          <xdr:col>3</xdr:col>
          <xdr:colOff>0</xdr:colOff>
          <xdr:row>49</xdr:row>
          <xdr:rowOff>190500</xdr:rowOff>
        </xdr:to>
        <xdr:sp macro="" textlink="">
          <xdr:nvSpPr>
            <xdr:cNvPr id="28706" name="Check Box 34" hidden="1">
              <a:extLst>
                <a:ext uri="{63B3BB69-23CF-44E3-9099-C40C66FF867C}">
                  <a14:compatExt spid="_x0000_s28706"/>
                </a:ext>
                <a:ext uri="{FF2B5EF4-FFF2-40B4-BE49-F238E27FC236}">
                  <a16:creationId xmlns:a16="http://schemas.microsoft.com/office/drawing/2014/main" id="{00000000-0008-0000-0A00-00002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72</xdr:row>
          <xdr:rowOff>0</xdr:rowOff>
        </xdr:from>
        <xdr:to>
          <xdr:col>3</xdr:col>
          <xdr:colOff>0</xdr:colOff>
          <xdr:row>73</xdr:row>
          <xdr:rowOff>7620</xdr:rowOff>
        </xdr:to>
        <xdr:sp macro="" textlink="">
          <xdr:nvSpPr>
            <xdr:cNvPr id="28707" name="Check Box 35" descr="3 Fahrstreifen" hidden="1">
              <a:extLst>
                <a:ext uri="{63B3BB69-23CF-44E3-9099-C40C66FF867C}">
                  <a14:compatExt spid="_x0000_s28707"/>
                </a:ext>
                <a:ext uri="{FF2B5EF4-FFF2-40B4-BE49-F238E27FC236}">
                  <a16:creationId xmlns:a16="http://schemas.microsoft.com/office/drawing/2014/main" id="{00000000-0008-0000-0A00-00002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110</xdr:row>
          <xdr:rowOff>0</xdr:rowOff>
        </xdr:from>
        <xdr:to>
          <xdr:col>4</xdr:col>
          <xdr:colOff>0</xdr:colOff>
          <xdr:row>111</xdr:row>
          <xdr:rowOff>22860</xdr:rowOff>
        </xdr:to>
        <xdr:sp macro="" textlink="">
          <xdr:nvSpPr>
            <xdr:cNvPr id="28708" name="Check Box 36" hidden="1">
              <a:extLst>
                <a:ext uri="{63B3BB69-23CF-44E3-9099-C40C66FF867C}">
                  <a14:compatExt spid="_x0000_s28708"/>
                </a:ext>
                <a:ext uri="{FF2B5EF4-FFF2-40B4-BE49-F238E27FC236}">
                  <a16:creationId xmlns:a16="http://schemas.microsoft.com/office/drawing/2014/main" id="{00000000-0008-0000-0A00-00002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109</xdr:row>
          <xdr:rowOff>0</xdr:rowOff>
        </xdr:from>
        <xdr:to>
          <xdr:col>4</xdr:col>
          <xdr:colOff>0</xdr:colOff>
          <xdr:row>110</xdr:row>
          <xdr:rowOff>22860</xdr:rowOff>
        </xdr:to>
        <xdr:sp macro="" textlink="">
          <xdr:nvSpPr>
            <xdr:cNvPr id="28712" name="Check Box 40" hidden="1">
              <a:extLst>
                <a:ext uri="{63B3BB69-23CF-44E3-9099-C40C66FF867C}">
                  <a14:compatExt spid="_x0000_s28712"/>
                </a:ext>
                <a:ext uri="{FF2B5EF4-FFF2-40B4-BE49-F238E27FC236}">
                  <a16:creationId xmlns:a16="http://schemas.microsoft.com/office/drawing/2014/main" id="{00000000-0008-0000-0A00-00002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75</xdr:row>
          <xdr:rowOff>0</xdr:rowOff>
        </xdr:from>
        <xdr:to>
          <xdr:col>3</xdr:col>
          <xdr:colOff>0</xdr:colOff>
          <xdr:row>76</xdr:row>
          <xdr:rowOff>7620</xdr:rowOff>
        </xdr:to>
        <xdr:sp macro="" textlink="">
          <xdr:nvSpPr>
            <xdr:cNvPr id="28713" name="Check Box 41" descr="3 Fahrstreifen" hidden="1">
              <a:extLst>
                <a:ext uri="{63B3BB69-23CF-44E3-9099-C40C66FF867C}">
                  <a14:compatExt spid="_x0000_s28713"/>
                </a:ext>
                <a:ext uri="{FF2B5EF4-FFF2-40B4-BE49-F238E27FC236}">
                  <a16:creationId xmlns:a16="http://schemas.microsoft.com/office/drawing/2014/main" id="{00000000-0008-0000-0A00-00002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54</xdr:row>
          <xdr:rowOff>0</xdr:rowOff>
        </xdr:from>
        <xdr:to>
          <xdr:col>3</xdr:col>
          <xdr:colOff>0</xdr:colOff>
          <xdr:row>54</xdr:row>
          <xdr:rowOff>190500</xdr:rowOff>
        </xdr:to>
        <xdr:sp macro="" textlink="">
          <xdr:nvSpPr>
            <xdr:cNvPr id="28718" name="Check Box 46" hidden="1">
              <a:extLst>
                <a:ext uri="{63B3BB69-23CF-44E3-9099-C40C66FF867C}">
                  <a14:compatExt spid="_x0000_s28718"/>
                </a:ext>
                <a:ext uri="{FF2B5EF4-FFF2-40B4-BE49-F238E27FC236}">
                  <a16:creationId xmlns:a16="http://schemas.microsoft.com/office/drawing/2014/main" id="{00000000-0008-0000-0A00-00002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0</xdr:rowOff>
        </xdr:from>
        <xdr:to>
          <xdr:col>4</xdr:col>
          <xdr:colOff>0</xdr:colOff>
          <xdr:row>89</xdr:row>
          <xdr:rowOff>0</xdr:rowOff>
        </xdr:to>
        <xdr:sp macro="" textlink="">
          <xdr:nvSpPr>
            <xdr:cNvPr id="28719" name="Check Box 47" descr="3 Fahrstreifen" hidden="1">
              <a:extLst>
                <a:ext uri="{63B3BB69-23CF-44E3-9099-C40C66FF867C}">
                  <a14:compatExt spid="_x0000_s28719"/>
                </a:ext>
                <a:ext uri="{FF2B5EF4-FFF2-40B4-BE49-F238E27FC236}">
                  <a16:creationId xmlns:a16="http://schemas.microsoft.com/office/drawing/2014/main" id="{00000000-0008-0000-0A00-00002F700000}"/>
                </a:ext>
              </a:extLst>
            </xdr:cNvPr>
            <xdr:cNvSpPr/>
          </xdr:nvSpPr>
          <xdr:spPr bwMode="auto">
            <a:xfrm>
              <a:off x="0" y="0"/>
              <a:ext cx="0" cy="0"/>
            </a:xfrm>
            <a:prstGeom prst="rect">
              <a:avLst/>
            </a:prstGeom>
            <a:noFill/>
            <a:ln>
              <a:noFill/>
            </a:ln>
            <a:extLst>
              <a:ext uri="{909E8E84-426E-40DD-AFC4-6F175D3DCCD1}">
                <a14:hiddenFill>
                  <a:solidFill>
                    <a:srgbClr val="FFFFCC" mc:Ignorable="a14" a14:legacySpreadsheetColorIndex="26"/>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99060</xdr:colOff>
          <xdr:row>17</xdr:row>
          <xdr:rowOff>0</xdr:rowOff>
        </xdr:from>
        <xdr:to>
          <xdr:col>5</xdr:col>
          <xdr:colOff>312420</xdr:colOff>
          <xdr:row>18</xdr:row>
          <xdr:rowOff>0</xdr:rowOff>
        </xdr:to>
        <xdr:sp macro="" textlink="">
          <xdr:nvSpPr>
            <xdr:cNvPr id="66561" name="Check Box 1" descr="3 Fahrstreifen" hidden="1">
              <a:extLst>
                <a:ext uri="{63B3BB69-23CF-44E3-9099-C40C66FF867C}">
                  <a14:compatExt spid="_x0000_s66561"/>
                </a:ext>
                <a:ext uri="{FF2B5EF4-FFF2-40B4-BE49-F238E27FC236}">
                  <a16:creationId xmlns:a16="http://schemas.microsoft.com/office/drawing/2014/main" id="{00000000-0008-0000-0C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0</xdr:rowOff>
        </xdr:from>
        <xdr:to>
          <xdr:col>5</xdr:col>
          <xdr:colOff>312420</xdr:colOff>
          <xdr:row>19</xdr:row>
          <xdr:rowOff>0</xdr:rowOff>
        </xdr:to>
        <xdr:sp macro="" textlink="">
          <xdr:nvSpPr>
            <xdr:cNvPr id="66562" name="Check Box 2" descr="3 Fahrstreifen" hidden="1">
              <a:extLst>
                <a:ext uri="{63B3BB69-23CF-44E3-9099-C40C66FF867C}">
                  <a14:compatExt spid="_x0000_s66562"/>
                </a:ext>
                <a:ext uri="{FF2B5EF4-FFF2-40B4-BE49-F238E27FC236}">
                  <a16:creationId xmlns:a16="http://schemas.microsoft.com/office/drawing/2014/main" id="{00000000-0008-0000-0C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0</xdr:rowOff>
        </xdr:from>
        <xdr:to>
          <xdr:col>5</xdr:col>
          <xdr:colOff>312420</xdr:colOff>
          <xdr:row>20</xdr:row>
          <xdr:rowOff>0</xdr:rowOff>
        </xdr:to>
        <xdr:sp macro="" textlink="">
          <xdr:nvSpPr>
            <xdr:cNvPr id="66563" name="Check Box 3" descr="3 Fahrstreifen" hidden="1">
              <a:extLst>
                <a:ext uri="{63B3BB69-23CF-44E3-9099-C40C66FF867C}">
                  <a14:compatExt spid="_x0000_s66563"/>
                </a:ext>
                <a:ext uri="{FF2B5EF4-FFF2-40B4-BE49-F238E27FC236}">
                  <a16:creationId xmlns:a16="http://schemas.microsoft.com/office/drawing/2014/main" id="{00000000-0008-0000-0C00-00000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0</xdr:rowOff>
        </xdr:from>
        <xdr:to>
          <xdr:col>5</xdr:col>
          <xdr:colOff>312420</xdr:colOff>
          <xdr:row>21</xdr:row>
          <xdr:rowOff>0</xdr:rowOff>
        </xdr:to>
        <xdr:sp macro="" textlink="">
          <xdr:nvSpPr>
            <xdr:cNvPr id="66564" name="Check Box 4" descr="3 Fahrstreifen" hidden="1">
              <a:extLst>
                <a:ext uri="{63B3BB69-23CF-44E3-9099-C40C66FF867C}">
                  <a14:compatExt spid="_x0000_s66564"/>
                </a:ext>
                <a:ext uri="{FF2B5EF4-FFF2-40B4-BE49-F238E27FC236}">
                  <a16:creationId xmlns:a16="http://schemas.microsoft.com/office/drawing/2014/main" id="{00000000-0008-0000-0C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0</xdr:rowOff>
        </xdr:from>
        <xdr:to>
          <xdr:col>5</xdr:col>
          <xdr:colOff>312420</xdr:colOff>
          <xdr:row>22</xdr:row>
          <xdr:rowOff>0</xdr:rowOff>
        </xdr:to>
        <xdr:sp macro="" textlink="">
          <xdr:nvSpPr>
            <xdr:cNvPr id="66565" name="Check Box 5" descr="3 Fahrstreifen" hidden="1">
              <a:extLst>
                <a:ext uri="{63B3BB69-23CF-44E3-9099-C40C66FF867C}">
                  <a14:compatExt spid="_x0000_s66565"/>
                </a:ext>
                <a:ext uri="{FF2B5EF4-FFF2-40B4-BE49-F238E27FC236}">
                  <a16:creationId xmlns:a16="http://schemas.microsoft.com/office/drawing/2014/main" id="{00000000-0008-0000-0C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0</xdr:rowOff>
        </xdr:from>
        <xdr:to>
          <xdr:col>5</xdr:col>
          <xdr:colOff>312420</xdr:colOff>
          <xdr:row>23</xdr:row>
          <xdr:rowOff>0</xdr:rowOff>
        </xdr:to>
        <xdr:sp macro="" textlink="">
          <xdr:nvSpPr>
            <xdr:cNvPr id="66566" name="Check Box 6" descr="3 Fahrstreifen" hidden="1">
              <a:extLst>
                <a:ext uri="{63B3BB69-23CF-44E3-9099-C40C66FF867C}">
                  <a14:compatExt spid="_x0000_s66566"/>
                </a:ext>
                <a:ext uri="{FF2B5EF4-FFF2-40B4-BE49-F238E27FC236}">
                  <a16:creationId xmlns:a16="http://schemas.microsoft.com/office/drawing/2014/main" id="{00000000-0008-0000-0C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0</xdr:rowOff>
        </xdr:from>
        <xdr:to>
          <xdr:col>5</xdr:col>
          <xdr:colOff>312420</xdr:colOff>
          <xdr:row>24</xdr:row>
          <xdr:rowOff>0</xdr:rowOff>
        </xdr:to>
        <xdr:sp macro="" textlink="">
          <xdr:nvSpPr>
            <xdr:cNvPr id="66567" name="Check Box 7" descr="3 Fahrstreifen" hidden="1">
              <a:extLst>
                <a:ext uri="{63B3BB69-23CF-44E3-9099-C40C66FF867C}">
                  <a14:compatExt spid="_x0000_s66567"/>
                </a:ext>
                <a:ext uri="{FF2B5EF4-FFF2-40B4-BE49-F238E27FC236}">
                  <a16:creationId xmlns:a16="http://schemas.microsoft.com/office/drawing/2014/main" id="{00000000-0008-0000-0C00-00000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0</xdr:rowOff>
        </xdr:from>
        <xdr:to>
          <xdr:col>5</xdr:col>
          <xdr:colOff>312420</xdr:colOff>
          <xdr:row>25</xdr:row>
          <xdr:rowOff>0</xdr:rowOff>
        </xdr:to>
        <xdr:sp macro="" textlink="">
          <xdr:nvSpPr>
            <xdr:cNvPr id="66568" name="Check Box 8" descr="3 Fahrstreifen" hidden="1">
              <a:extLst>
                <a:ext uri="{63B3BB69-23CF-44E3-9099-C40C66FF867C}">
                  <a14:compatExt spid="_x0000_s66568"/>
                </a:ext>
                <a:ext uri="{FF2B5EF4-FFF2-40B4-BE49-F238E27FC236}">
                  <a16:creationId xmlns:a16="http://schemas.microsoft.com/office/drawing/2014/main" id="{00000000-0008-0000-0C00-00000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0</xdr:rowOff>
        </xdr:from>
        <xdr:to>
          <xdr:col>5</xdr:col>
          <xdr:colOff>312420</xdr:colOff>
          <xdr:row>26</xdr:row>
          <xdr:rowOff>0</xdr:rowOff>
        </xdr:to>
        <xdr:sp macro="" textlink="">
          <xdr:nvSpPr>
            <xdr:cNvPr id="66569" name="Check Box 9" descr="3 Fahrstreifen" hidden="1">
              <a:extLst>
                <a:ext uri="{63B3BB69-23CF-44E3-9099-C40C66FF867C}">
                  <a14:compatExt spid="_x0000_s66569"/>
                </a:ext>
                <a:ext uri="{FF2B5EF4-FFF2-40B4-BE49-F238E27FC236}">
                  <a16:creationId xmlns:a16="http://schemas.microsoft.com/office/drawing/2014/main" id="{00000000-0008-0000-0C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0</xdr:rowOff>
        </xdr:from>
        <xdr:to>
          <xdr:col>5</xdr:col>
          <xdr:colOff>312420</xdr:colOff>
          <xdr:row>27</xdr:row>
          <xdr:rowOff>0</xdr:rowOff>
        </xdr:to>
        <xdr:sp macro="" textlink="">
          <xdr:nvSpPr>
            <xdr:cNvPr id="66570" name="Check Box 10" descr="3 Fahrstreifen" hidden="1">
              <a:extLst>
                <a:ext uri="{63B3BB69-23CF-44E3-9099-C40C66FF867C}">
                  <a14:compatExt spid="_x0000_s66570"/>
                </a:ext>
                <a:ext uri="{FF2B5EF4-FFF2-40B4-BE49-F238E27FC236}">
                  <a16:creationId xmlns:a16="http://schemas.microsoft.com/office/drawing/2014/main" id="{00000000-0008-0000-0C00-00000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0</xdr:rowOff>
        </xdr:from>
        <xdr:to>
          <xdr:col>5</xdr:col>
          <xdr:colOff>312420</xdr:colOff>
          <xdr:row>28</xdr:row>
          <xdr:rowOff>0</xdr:rowOff>
        </xdr:to>
        <xdr:sp macro="" textlink="">
          <xdr:nvSpPr>
            <xdr:cNvPr id="66571" name="Check Box 11" descr="3 Fahrstreifen" hidden="1">
              <a:extLst>
                <a:ext uri="{63B3BB69-23CF-44E3-9099-C40C66FF867C}">
                  <a14:compatExt spid="_x0000_s66571"/>
                </a:ext>
                <a:ext uri="{FF2B5EF4-FFF2-40B4-BE49-F238E27FC236}">
                  <a16:creationId xmlns:a16="http://schemas.microsoft.com/office/drawing/2014/main" id="{00000000-0008-0000-0C00-00000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7620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220980</xdr:rowOff>
        </xdr:from>
        <xdr:to>
          <xdr:col>3</xdr:col>
          <xdr:colOff>0</xdr:colOff>
          <xdr:row>13</xdr:row>
          <xdr:rowOff>7620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0</xdr:colOff>
          <xdr:row>11</xdr:row>
          <xdr:rowOff>7620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7620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0</xdr:colOff>
          <xdr:row>12</xdr:row>
          <xdr:rowOff>7620</xdr:rowOff>
        </xdr:to>
        <xdr:sp macro="" textlink="">
          <xdr:nvSpPr>
            <xdr:cNvPr id="20485" name="Check Box 5" descr="3 Fahrstreifen" hidden="1">
              <a:extLst>
                <a:ext uri="{63B3BB69-23CF-44E3-9099-C40C66FF867C}">
                  <a14:compatExt spid="_x0000_s20485"/>
                </a:ext>
                <a:ext uri="{FF2B5EF4-FFF2-40B4-BE49-F238E27FC236}">
                  <a16:creationId xmlns:a16="http://schemas.microsoft.com/office/drawing/2014/main" id="{00000000-0008-0000-02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0</xdr:colOff>
          <xdr:row>15</xdr:row>
          <xdr:rowOff>7620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2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0</xdr:colOff>
          <xdr:row>16</xdr:row>
          <xdr:rowOff>7620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3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0</xdr:colOff>
          <xdr:row>19</xdr:row>
          <xdr:rowOff>7620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3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0</xdr:colOff>
          <xdr:row>22</xdr:row>
          <xdr:rowOff>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3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0</xdr:colOff>
          <xdr:row>27</xdr:row>
          <xdr:rowOff>220980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3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0</xdr:colOff>
          <xdr:row>31</xdr:row>
          <xdr:rowOff>7620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3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0</xdr:colOff>
          <xdr:row>34</xdr:row>
          <xdr:rowOff>7620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3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0</xdr:colOff>
          <xdr:row>43</xdr:row>
          <xdr:rowOff>7620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3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0</xdr:colOff>
          <xdr:row>45</xdr:row>
          <xdr:rowOff>190500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3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0</xdr:colOff>
          <xdr:row>55</xdr:row>
          <xdr:rowOff>7620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3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0</xdr:colOff>
          <xdr:row>58</xdr:row>
          <xdr:rowOff>7620</xdr:rowOff>
        </xdr:to>
        <xdr:sp macro="" textlink="">
          <xdr:nvSpPr>
            <xdr:cNvPr id="53273" name="Check Box 25" descr="3 Fahrstreifen"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0</xdr:colOff>
          <xdr:row>64</xdr:row>
          <xdr:rowOff>7620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0</xdr:colOff>
          <xdr:row>67</xdr:row>
          <xdr:rowOff>7620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70</xdr:row>
          <xdr:rowOff>7620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0</xdr:colOff>
          <xdr:row>76</xdr:row>
          <xdr:rowOff>7620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3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0</xdr:colOff>
          <xdr:row>79</xdr:row>
          <xdr:rowOff>7620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0</xdr:colOff>
          <xdr:row>82</xdr:row>
          <xdr:rowOff>7620</xdr:rowOff>
        </xdr:to>
        <xdr:sp macro="" textlink="">
          <xdr:nvSpPr>
            <xdr:cNvPr id="53282" name="Check Box 34" descr="3 Fahrstreifen"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0</xdr:colOff>
          <xdr:row>88</xdr:row>
          <xdr:rowOff>7620</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03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0</xdr:colOff>
          <xdr:row>91</xdr:row>
          <xdr:rowOff>7620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0</xdr:colOff>
          <xdr:row>94</xdr:row>
          <xdr:rowOff>7620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99</xdr:row>
          <xdr:rowOff>0</xdr:rowOff>
        </xdr:from>
        <xdr:to>
          <xdr:col>2</xdr:col>
          <xdr:colOff>0</xdr:colOff>
          <xdr:row>100</xdr:row>
          <xdr:rowOff>7620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0</xdr:colOff>
          <xdr:row>103</xdr:row>
          <xdr:rowOff>7620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105</xdr:row>
          <xdr:rowOff>0</xdr:rowOff>
        </xdr:from>
        <xdr:to>
          <xdr:col>2</xdr:col>
          <xdr:colOff>0</xdr:colOff>
          <xdr:row>106</xdr:row>
          <xdr:rowOff>7620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111</xdr:row>
          <xdr:rowOff>0</xdr:rowOff>
        </xdr:from>
        <xdr:to>
          <xdr:col>2</xdr:col>
          <xdr:colOff>0</xdr:colOff>
          <xdr:row>112</xdr:row>
          <xdr:rowOff>7620</xdr:rowOff>
        </xdr:to>
        <xdr:sp macro="" textlink="">
          <xdr:nvSpPr>
            <xdr:cNvPr id="53305" name="Check Box 57" hidden="1">
              <a:extLst>
                <a:ext uri="{63B3BB69-23CF-44E3-9099-C40C66FF867C}">
                  <a14:compatExt spid="_x0000_s53305"/>
                </a:ext>
                <a:ext uri="{FF2B5EF4-FFF2-40B4-BE49-F238E27FC236}">
                  <a16:creationId xmlns:a16="http://schemas.microsoft.com/office/drawing/2014/main" id="{00000000-0008-0000-0300-00003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114</xdr:row>
          <xdr:rowOff>0</xdr:rowOff>
        </xdr:from>
        <xdr:to>
          <xdr:col>2</xdr:col>
          <xdr:colOff>0</xdr:colOff>
          <xdr:row>115</xdr:row>
          <xdr:rowOff>7620</xdr:rowOff>
        </xdr:to>
        <xdr:sp macro="" textlink="">
          <xdr:nvSpPr>
            <xdr:cNvPr id="53306" name="Check Box 58" hidden="1">
              <a:extLst>
                <a:ext uri="{63B3BB69-23CF-44E3-9099-C40C66FF867C}">
                  <a14:compatExt spid="_x0000_s53306"/>
                </a:ext>
                <a:ext uri="{FF2B5EF4-FFF2-40B4-BE49-F238E27FC236}">
                  <a16:creationId xmlns:a16="http://schemas.microsoft.com/office/drawing/2014/main" id="{00000000-0008-0000-0300-00003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0</xdr:rowOff>
        </xdr:from>
        <xdr:to>
          <xdr:col>2</xdr:col>
          <xdr:colOff>0</xdr:colOff>
          <xdr:row>118</xdr:row>
          <xdr:rowOff>7620</xdr:rowOff>
        </xdr:to>
        <xdr:sp macro="" textlink="">
          <xdr:nvSpPr>
            <xdr:cNvPr id="53307" name="Check Box 59" hidden="1">
              <a:extLst>
                <a:ext uri="{63B3BB69-23CF-44E3-9099-C40C66FF867C}">
                  <a14:compatExt spid="_x0000_s53307"/>
                </a:ext>
                <a:ext uri="{FF2B5EF4-FFF2-40B4-BE49-F238E27FC236}">
                  <a16:creationId xmlns:a16="http://schemas.microsoft.com/office/drawing/2014/main" id="{00000000-0008-0000-0300-00003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0</xdr:colOff>
          <xdr:row>51</xdr:row>
          <xdr:rowOff>213360</xdr:rowOff>
        </xdr:to>
        <xdr:sp macro="" textlink="">
          <xdr:nvSpPr>
            <xdr:cNvPr id="53309" name="Check Box 61" hidden="1">
              <a:extLst>
                <a:ext uri="{63B3BB69-23CF-44E3-9099-C40C66FF867C}">
                  <a14:compatExt spid="_x0000_s53309"/>
                </a:ext>
                <a:ext uri="{FF2B5EF4-FFF2-40B4-BE49-F238E27FC236}">
                  <a16:creationId xmlns:a16="http://schemas.microsoft.com/office/drawing/2014/main" id="{00000000-0008-0000-0300-00003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0</xdr:colOff>
          <xdr:row>40</xdr:row>
          <xdr:rowOff>7620</xdr:rowOff>
        </xdr:to>
        <xdr:sp macro="" textlink="">
          <xdr:nvSpPr>
            <xdr:cNvPr id="53310" name="Check Box 62" descr="3 Fahrstreifen"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12</xdr:row>
          <xdr:rowOff>0</xdr:rowOff>
        </xdr:from>
        <xdr:to>
          <xdr:col>2</xdr:col>
          <xdr:colOff>7620</xdr:colOff>
          <xdr:row>13</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0</xdr:colOff>
          <xdr:row>20</xdr:row>
          <xdr:rowOff>213360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4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0</xdr:colOff>
          <xdr:row>24</xdr:row>
          <xdr:rowOff>213360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4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0</xdr:colOff>
          <xdr:row>26</xdr:row>
          <xdr:rowOff>213360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4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0</xdr:colOff>
          <xdr:row>31</xdr:row>
          <xdr:rowOff>213360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4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0</xdr:colOff>
          <xdr:row>33</xdr:row>
          <xdr:rowOff>213360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4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0</xdr:colOff>
          <xdr:row>35</xdr:row>
          <xdr:rowOff>213360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4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0</xdr:colOff>
          <xdr:row>37</xdr:row>
          <xdr:rowOff>213360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4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0</xdr:colOff>
          <xdr:row>39</xdr:row>
          <xdr:rowOff>213360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4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0</xdr:colOff>
          <xdr:row>41</xdr:row>
          <xdr:rowOff>213360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4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43</xdr:row>
          <xdr:rowOff>213360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4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47</xdr:row>
          <xdr:rowOff>213360</xdr:rowOff>
        </xdr:to>
        <xdr:sp macro="" textlink="">
          <xdr:nvSpPr>
            <xdr:cNvPr id="10404" name="Check Box 164" descr="3 Fahrstreifen" hidden="1">
              <a:extLst>
                <a:ext uri="{63B3BB69-23CF-44E3-9099-C40C66FF867C}">
                  <a14:compatExt spid="_x0000_s10404"/>
                </a:ext>
                <a:ext uri="{FF2B5EF4-FFF2-40B4-BE49-F238E27FC236}">
                  <a16:creationId xmlns:a16="http://schemas.microsoft.com/office/drawing/2014/main" id="{00000000-0008-0000-04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49</xdr:row>
          <xdr:rowOff>213360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4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0</xdr:colOff>
          <xdr:row>58</xdr:row>
          <xdr:rowOff>213360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4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0</xdr:colOff>
          <xdr:row>60</xdr:row>
          <xdr:rowOff>213360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4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0</xdr:colOff>
          <xdr:row>62</xdr:row>
          <xdr:rowOff>213360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4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0</xdr:colOff>
          <xdr:row>70</xdr:row>
          <xdr:rowOff>213360</xdr:rowOff>
        </xdr:to>
        <xdr:sp macro="" textlink="">
          <xdr:nvSpPr>
            <xdr:cNvPr id="10442" name="Check Box 202" descr="3 Fahrstreifen" hidden="1">
              <a:extLst>
                <a:ext uri="{63B3BB69-23CF-44E3-9099-C40C66FF867C}">
                  <a14:compatExt spid="_x0000_s10442"/>
                </a:ext>
                <a:ext uri="{FF2B5EF4-FFF2-40B4-BE49-F238E27FC236}">
                  <a16:creationId xmlns:a16="http://schemas.microsoft.com/office/drawing/2014/main" id="{00000000-0008-0000-04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0</xdr:colOff>
          <xdr:row>80</xdr:row>
          <xdr:rowOff>213360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4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82</xdr:row>
          <xdr:rowOff>213360</xdr:rowOff>
        </xdr:to>
        <xdr:sp macro="" textlink="">
          <xdr:nvSpPr>
            <xdr:cNvPr id="10463" name="Check Box 223" descr="3 Fahrstreifen" hidden="1">
              <a:extLst>
                <a:ext uri="{63B3BB69-23CF-44E3-9099-C40C66FF867C}">
                  <a14:compatExt spid="_x0000_s10463"/>
                </a:ext>
                <a:ext uri="{FF2B5EF4-FFF2-40B4-BE49-F238E27FC236}">
                  <a16:creationId xmlns:a16="http://schemas.microsoft.com/office/drawing/2014/main" id="{00000000-0008-0000-04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0</xdr:colOff>
          <xdr:row>88</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4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0</xdr:colOff>
          <xdr:row>89</xdr:row>
          <xdr:rowOff>213360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4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0</xdr:colOff>
          <xdr:row>91</xdr:row>
          <xdr:rowOff>213360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4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0</xdr:colOff>
          <xdr:row>93</xdr:row>
          <xdr:rowOff>213360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4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0</xdr:colOff>
          <xdr:row>103</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4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104</xdr:row>
          <xdr:rowOff>0</xdr:rowOff>
        </xdr:from>
        <xdr:to>
          <xdr:col>2</xdr:col>
          <xdr:colOff>0</xdr:colOff>
          <xdr:row>104</xdr:row>
          <xdr:rowOff>213360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4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106</xdr:row>
          <xdr:rowOff>0</xdr:rowOff>
        </xdr:from>
        <xdr:to>
          <xdr:col>2</xdr:col>
          <xdr:colOff>0</xdr:colOff>
          <xdr:row>106</xdr:row>
          <xdr:rowOff>213360</xdr:rowOff>
        </xdr:to>
        <xdr:sp macro="" textlink="">
          <xdr:nvSpPr>
            <xdr:cNvPr id="10476" name="Check Box 236" descr="3 Fahrstreifen" hidden="1">
              <a:extLst>
                <a:ext uri="{63B3BB69-23CF-44E3-9099-C40C66FF867C}">
                  <a14:compatExt spid="_x0000_s10476"/>
                </a:ext>
                <a:ext uri="{FF2B5EF4-FFF2-40B4-BE49-F238E27FC236}">
                  <a16:creationId xmlns:a16="http://schemas.microsoft.com/office/drawing/2014/main" id="{00000000-0008-0000-04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108</xdr:row>
          <xdr:rowOff>0</xdr:rowOff>
        </xdr:from>
        <xdr:to>
          <xdr:col>2</xdr:col>
          <xdr:colOff>0</xdr:colOff>
          <xdr:row>108</xdr:row>
          <xdr:rowOff>213360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4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110</xdr:row>
          <xdr:rowOff>0</xdr:rowOff>
        </xdr:from>
        <xdr:to>
          <xdr:col>2</xdr:col>
          <xdr:colOff>0</xdr:colOff>
          <xdr:row>110</xdr:row>
          <xdr:rowOff>213360</xdr:rowOff>
        </xdr:to>
        <xdr:sp macro="" textlink="">
          <xdr:nvSpPr>
            <xdr:cNvPr id="10478" name="Check Box 238" descr="3 Fahrstreifen" hidden="1">
              <a:extLst>
                <a:ext uri="{63B3BB69-23CF-44E3-9099-C40C66FF867C}">
                  <a14:compatExt spid="_x0000_s10478"/>
                </a:ext>
                <a:ext uri="{FF2B5EF4-FFF2-40B4-BE49-F238E27FC236}">
                  <a16:creationId xmlns:a16="http://schemas.microsoft.com/office/drawing/2014/main" id="{00000000-0008-0000-04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112</xdr:row>
          <xdr:rowOff>0</xdr:rowOff>
        </xdr:from>
        <xdr:to>
          <xdr:col>2</xdr:col>
          <xdr:colOff>0</xdr:colOff>
          <xdr:row>112</xdr:row>
          <xdr:rowOff>213360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4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120</xdr:row>
          <xdr:rowOff>0</xdr:rowOff>
        </xdr:from>
        <xdr:to>
          <xdr:col>2</xdr:col>
          <xdr:colOff>0</xdr:colOff>
          <xdr:row>121</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4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122</xdr:row>
          <xdr:rowOff>213360</xdr:rowOff>
        </xdr:from>
        <xdr:to>
          <xdr:col>2</xdr:col>
          <xdr:colOff>0</xdr:colOff>
          <xdr:row>124</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4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118</xdr:row>
          <xdr:rowOff>0</xdr:rowOff>
        </xdr:from>
        <xdr:to>
          <xdr:col>2</xdr:col>
          <xdr:colOff>0</xdr:colOff>
          <xdr:row>119</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4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128</xdr:row>
          <xdr:rowOff>213360</xdr:rowOff>
        </xdr:from>
        <xdr:to>
          <xdr:col>2</xdr:col>
          <xdr:colOff>0</xdr:colOff>
          <xdr:row>130</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4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131</xdr:row>
          <xdr:rowOff>0</xdr:rowOff>
        </xdr:from>
        <xdr:to>
          <xdr:col>2</xdr:col>
          <xdr:colOff>0</xdr:colOff>
          <xdr:row>131</xdr:row>
          <xdr:rowOff>213360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4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134</xdr:row>
          <xdr:rowOff>0</xdr:rowOff>
        </xdr:from>
        <xdr:to>
          <xdr:col>2</xdr:col>
          <xdr:colOff>0</xdr:colOff>
          <xdr:row>135</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4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136</xdr:row>
          <xdr:rowOff>0</xdr:rowOff>
        </xdr:from>
        <xdr:to>
          <xdr:col>2</xdr:col>
          <xdr:colOff>0</xdr:colOff>
          <xdr:row>136</xdr:row>
          <xdr:rowOff>213360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4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141</xdr:row>
          <xdr:rowOff>0</xdr:rowOff>
        </xdr:from>
        <xdr:to>
          <xdr:col>2</xdr:col>
          <xdr:colOff>0</xdr:colOff>
          <xdr:row>142</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4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143</xdr:row>
          <xdr:rowOff>0</xdr:rowOff>
        </xdr:from>
        <xdr:to>
          <xdr:col>2</xdr:col>
          <xdr:colOff>0</xdr:colOff>
          <xdr:row>143</xdr:row>
          <xdr:rowOff>213360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4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145</xdr:row>
          <xdr:rowOff>0</xdr:rowOff>
        </xdr:from>
        <xdr:to>
          <xdr:col>2</xdr:col>
          <xdr:colOff>0</xdr:colOff>
          <xdr:row>145</xdr:row>
          <xdr:rowOff>213360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4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147</xdr:row>
          <xdr:rowOff>0</xdr:rowOff>
        </xdr:from>
        <xdr:to>
          <xdr:col>2</xdr:col>
          <xdr:colOff>0</xdr:colOff>
          <xdr:row>147</xdr:row>
          <xdr:rowOff>213360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4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149</xdr:row>
          <xdr:rowOff>0</xdr:rowOff>
        </xdr:from>
        <xdr:to>
          <xdr:col>2</xdr:col>
          <xdr:colOff>0</xdr:colOff>
          <xdr:row>149</xdr:row>
          <xdr:rowOff>213360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4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153</xdr:row>
          <xdr:rowOff>0</xdr:rowOff>
        </xdr:from>
        <xdr:to>
          <xdr:col>2</xdr:col>
          <xdr:colOff>0</xdr:colOff>
          <xdr:row>153</xdr:row>
          <xdr:rowOff>213360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4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155</xdr:row>
          <xdr:rowOff>0</xdr:rowOff>
        </xdr:from>
        <xdr:to>
          <xdr:col>2</xdr:col>
          <xdr:colOff>7620</xdr:colOff>
          <xdr:row>156</xdr:row>
          <xdr:rowOff>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4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157</xdr:row>
          <xdr:rowOff>0</xdr:rowOff>
        </xdr:from>
        <xdr:to>
          <xdr:col>2</xdr:col>
          <xdr:colOff>0</xdr:colOff>
          <xdr:row>158</xdr:row>
          <xdr:rowOff>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4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159</xdr:row>
          <xdr:rowOff>0</xdr:rowOff>
        </xdr:from>
        <xdr:to>
          <xdr:col>2</xdr:col>
          <xdr:colOff>0</xdr:colOff>
          <xdr:row>160</xdr:row>
          <xdr:rowOff>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4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184</xdr:row>
          <xdr:rowOff>0</xdr:rowOff>
        </xdr:from>
        <xdr:to>
          <xdr:col>2</xdr:col>
          <xdr:colOff>0</xdr:colOff>
          <xdr:row>185</xdr:row>
          <xdr:rowOff>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4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186</xdr:row>
          <xdr:rowOff>0</xdr:rowOff>
        </xdr:from>
        <xdr:to>
          <xdr:col>2</xdr:col>
          <xdr:colOff>0</xdr:colOff>
          <xdr:row>186</xdr:row>
          <xdr:rowOff>213360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4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188</xdr:row>
          <xdr:rowOff>0</xdr:rowOff>
        </xdr:from>
        <xdr:to>
          <xdr:col>2</xdr:col>
          <xdr:colOff>0</xdr:colOff>
          <xdr:row>188</xdr:row>
          <xdr:rowOff>213360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4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0</xdr:colOff>
          <xdr:row>78</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4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0</xdr:colOff>
          <xdr:row>57</xdr:row>
          <xdr:rowOff>0</xdr:rowOff>
        </xdr:to>
        <xdr:sp macro="" textlink="">
          <xdr:nvSpPr>
            <xdr:cNvPr id="10589" name="Check Box 349" descr="3 Fahrstreifen" hidden="1">
              <a:extLst>
                <a:ext uri="{63B3BB69-23CF-44E3-9099-C40C66FF867C}">
                  <a14:compatExt spid="_x0000_s10589"/>
                </a:ext>
                <a:ext uri="{FF2B5EF4-FFF2-40B4-BE49-F238E27FC236}">
                  <a16:creationId xmlns:a16="http://schemas.microsoft.com/office/drawing/2014/main" id="{00000000-0008-0000-04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0</xdr:colOff>
          <xdr:row>22</xdr:row>
          <xdr:rowOff>213360</xdr:rowOff>
        </xdr:to>
        <xdr:sp macro="" textlink="">
          <xdr:nvSpPr>
            <xdr:cNvPr id="10616" name="Check Box 376" hidden="1">
              <a:extLst>
                <a:ext uri="{63B3BB69-23CF-44E3-9099-C40C66FF867C}">
                  <a14:compatExt spid="_x0000_s10616"/>
                </a:ext>
                <a:ext uri="{FF2B5EF4-FFF2-40B4-BE49-F238E27FC236}">
                  <a16:creationId xmlns:a16="http://schemas.microsoft.com/office/drawing/2014/main" id="{00000000-0008-0000-0400-00007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12</xdr:row>
          <xdr:rowOff>0</xdr:rowOff>
        </xdr:from>
        <xdr:to>
          <xdr:col>2</xdr:col>
          <xdr:colOff>7620</xdr:colOff>
          <xdr:row>13</xdr:row>
          <xdr:rowOff>7620</xdr:rowOff>
        </xdr:to>
        <xdr:sp macro="" textlink="">
          <xdr:nvSpPr>
            <xdr:cNvPr id="10617" name="Check Box 377" hidden="1">
              <a:extLst>
                <a:ext uri="{63B3BB69-23CF-44E3-9099-C40C66FF867C}">
                  <a14:compatExt spid="_x0000_s10617"/>
                </a:ext>
                <a:ext uri="{FF2B5EF4-FFF2-40B4-BE49-F238E27FC236}">
                  <a16:creationId xmlns:a16="http://schemas.microsoft.com/office/drawing/2014/main" id="{00000000-0008-0000-0400-00007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0</xdr:rowOff>
        </xdr:from>
        <xdr:to>
          <xdr:col>2</xdr:col>
          <xdr:colOff>0</xdr:colOff>
          <xdr:row>14</xdr:row>
          <xdr:rowOff>7620</xdr:rowOff>
        </xdr:to>
        <xdr:sp macro="" textlink="">
          <xdr:nvSpPr>
            <xdr:cNvPr id="10618" name="Check Box 378" hidden="1">
              <a:extLst>
                <a:ext uri="{63B3BB69-23CF-44E3-9099-C40C66FF867C}">
                  <a14:compatExt spid="_x0000_s10618"/>
                </a:ext>
                <a:ext uri="{FF2B5EF4-FFF2-40B4-BE49-F238E27FC236}">
                  <a16:creationId xmlns:a16="http://schemas.microsoft.com/office/drawing/2014/main" id="{00000000-0008-0000-0400-00007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14</xdr:row>
          <xdr:rowOff>0</xdr:rowOff>
        </xdr:from>
        <xdr:to>
          <xdr:col>2</xdr:col>
          <xdr:colOff>7620</xdr:colOff>
          <xdr:row>15</xdr:row>
          <xdr:rowOff>7620</xdr:rowOff>
        </xdr:to>
        <xdr:sp macro="" textlink="">
          <xdr:nvSpPr>
            <xdr:cNvPr id="10619" name="Check Box 379" hidden="1">
              <a:extLst>
                <a:ext uri="{63B3BB69-23CF-44E3-9099-C40C66FF867C}">
                  <a14:compatExt spid="_x0000_s10619"/>
                </a:ext>
                <a:ext uri="{FF2B5EF4-FFF2-40B4-BE49-F238E27FC236}">
                  <a16:creationId xmlns:a16="http://schemas.microsoft.com/office/drawing/2014/main" id="{00000000-0008-0000-0400-00007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151</xdr:row>
          <xdr:rowOff>0</xdr:rowOff>
        </xdr:from>
        <xdr:to>
          <xdr:col>2</xdr:col>
          <xdr:colOff>0</xdr:colOff>
          <xdr:row>151</xdr:row>
          <xdr:rowOff>213360</xdr:rowOff>
        </xdr:to>
        <xdr:sp macro="" textlink="">
          <xdr:nvSpPr>
            <xdr:cNvPr id="10621" name="Check Box 381" hidden="1">
              <a:extLst>
                <a:ext uri="{63B3BB69-23CF-44E3-9099-C40C66FF867C}">
                  <a14:compatExt spid="_x0000_s10621"/>
                </a:ext>
                <a:ext uri="{FF2B5EF4-FFF2-40B4-BE49-F238E27FC236}">
                  <a16:creationId xmlns:a16="http://schemas.microsoft.com/office/drawing/2014/main" id="{00000000-0008-0000-0400-00007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0</xdr:colOff>
          <xdr:row>64</xdr:row>
          <xdr:rowOff>213360</xdr:rowOff>
        </xdr:to>
        <xdr:sp macro="" textlink="">
          <xdr:nvSpPr>
            <xdr:cNvPr id="10624" name="Check Box 384" descr="3 Fahrstreifen" hidden="1">
              <a:extLst>
                <a:ext uri="{63B3BB69-23CF-44E3-9099-C40C66FF867C}">
                  <a14:compatExt spid="_x0000_s10624"/>
                </a:ext>
                <a:ext uri="{FF2B5EF4-FFF2-40B4-BE49-F238E27FC236}">
                  <a16:creationId xmlns:a16="http://schemas.microsoft.com/office/drawing/2014/main" id="{00000000-0008-0000-0400-00008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0</xdr:rowOff>
        </xdr:from>
        <xdr:to>
          <xdr:col>2</xdr:col>
          <xdr:colOff>0</xdr:colOff>
          <xdr:row>68</xdr:row>
          <xdr:rowOff>213360</xdr:rowOff>
        </xdr:to>
        <xdr:sp macro="" textlink="">
          <xdr:nvSpPr>
            <xdr:cNvPr id="10625" name="Check Box 385" descr="3 Fahrstreifen" hidden="1">
              <a:extLst>
                <a:ext uri="{63B3BB69-23CF-44E3-9099-C40C66FF867C}">
                  <a14:compatExt spid="_x0000_s10625"/>
                </a:ext>
                <a:ext uri="{FF2B5EF4-FFF2-40B4-BE49-F238E27FC236}">
                  <a16:creationId xmlns:a16="http://schemas.microsoft.com/office/drawing/2014/main" id="{00000000-0008-0000-0400-00008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0</xdr:colOff>
          <xdr:row>95</xdr:row>
          <xdr:rowOff>213360</xdr:rowOff>
        </xdr:to>
        <xdr:sp macro="" textlink="">
          <xdr:nvSpPr>
            <xdr:cNvPr id="10626" name="Check Box 386" hidden="1">
              <a:extLst>
                <a:ext uri="{63B3BB69-23CF-44E3-9099-C40C66FF867C}">
                  <a14:compatExt spid="_x0000_s10626"/>
                </a:ext>
                <a:ext uri="{FF2B5EF4-FFF2-40B4-BE49-F238E27FC236}">
                  <a16:creationId xmlns:a16="http://schemas.microsoft.com/office/drawing/2014/main" id="{00000000-0008-0000-0400-00008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97</xdr:row>
          <xdr:rowOff>0</xdr:rowOff>
        </xdr:from>
        <xdr:to>
          <xdr:col>2</xdr:col>
          <xdr:colOff>0</xdr:colOff>
          <xdr:row>97</xdr:row>
          <xdr:rowOff>213360</xdr:rowOff>
        </xdr:to>
        <xdr:sp macro="" textlink="">
          <xdr:nvSpPr>
            <xdr:cNvPr id="10627" name="Check Box 387" hidden="1">
              <a:extLst>
                <a:ext uri="{63B3BB69-23CF-44E3-9099-C40C66FF867C}">
                  <a14:compatExt spid="_x0000_s10627"/>
                </a:ext>
                <a:ext uri="{FF2B5EF4-FFF2-40B4-BE49-F238E27FC236}">
                  <a16:creationId xmlns:a16="http://schemas.microsoft.com/office/drawing/2014/main" id="{00000000-0008-0000-0400-00008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163</xdr:row>
          <xdr:rowOff>0</xdr:rowOff>
        </xdr:from>
        <xdr:to>
          <xdr:col>2</xdr:col>
          <xdr:colOff>0</xdr:colOff>
          <xdr:row>163</xdr:row>
          <xdr:rowOff>213360</xdr:rowOff>
        </xdr:to>
        <xdr:sp macro="" textlink="">
          <xdr:nvSpPr>
            <xdr:cNvPr id="10628" name="Check Box 388" hidden="1">
              <a:extLst>
                <a:ext uri="{63B3BB69-23CF-44E3-9099-C40C66FF867C}">
                  <a14:compatExt spid="_x0000_s10628"/>
                </a:ext>
                <a:ext uri="{FF2B5EF4-FFF2-40B4-BE49-F238E27FC236}">
                  <a16:creationId xmlns:a16="http://schemas.microsoft.com/office/drawing/2014/main" id="{00000000-0008-0000-0400-00008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169</xdr:row>
          <xdr:rowOff>0</xdr:rowOff>
        </xdr:from>
        <xdr:to>
          <xdr:col>2</xdr:col>
          <xdr:colOff>0</xdr:colOff>
          <xdr:row>169</xdr:row>
          <xdr:rowOff>213360</xdr:rowOff>
        </xdr:to>
        <xdr:sp macro="" textlink="">
          <xdr:nvSpPr>
            <xdr:cNvPr id="10629" name="Check Box 389" hidden="1">
              <a:extLst>
                <a:ext uri="{63B3BB69-23CF-44E3-9099-C40C66FF867C}">
                  <a14:compatExt spid="_x0000_s10629"/>
                </a:ext>
                <a:ext uri="{FF2B5EF4-FFF2-40B4-BE49-F238E27FC236}">
                  <a16:creationId xmlns:a16="http://schemas.microsoft.com/office/drawing/2014/main" id="{00000000-0008-0000-0400-00008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172</xdr:row>
          <xdr:rowOff>0</xdr:rowOff>
        </xdr:from>
        <xdr:to>
          <xdr:col>2</xdr:col>
          <xdr:colOff>7620</xdr:colOff>
          <xdr:row>173</xdr:row>
          <xdr:rowOff>0</xdr:rowOff>
        </xdr:to>
        <xdr:sp macro="" textlink="">
          <xdr:nvSpPr>
            <xdr:cNvPr id="10630" name="Check Box 390" hidden="1">
              <a:extLst>
                <a:ext uri="{63B3BB69-23CF-44E3-9099-C40C66FF867C}">
                  <a14:compatExt spid="_x0000_s10630"/>
                </a:ext>
                <a:ext uri="{FF2B5EF4-FFF2-40B4-BE49-F238E27FC236}">
                  <a16:creationId xmlns:a16="http://schemas.microsoft.com/office/drawing/2014/main" id="{00000000-0008-0000-0400-00008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175</xdr:row>
          <xdr:rowOff>0</xdr:rowOff>
        </xdr:from>
        <xdr:to>
          <xdr:col>2</xdr:col>
          <xdr:colOff>0</xdr:colOff>
          <xdr:row>176</xdr:row>
          <xdr:rowOff>0</xdr:rowOff>
        </xdr:to>
        <xdr:sp macro="" textlink="">
          <xdr:nvSpPr>
            <xdr:cNvPr id="10631" name="Check Box 391" hidden="1">
              <a:extLst>
                <a:ext uri="{63B3BB69-23CF-44E3-9099-C40C66FF867C}">
                  <a14:compatExt spid="_x0000_s10631"/>
                </a:ext>
                <a:ext uri="{FF2B5EF4-FFF2-40B4-BE49-F238E27FC236}">
                  <a16:creationId xmlns:a16="http://schemas.microsoft.com/office/drawing/2014/main" id="{00000000-0008-0000-0400-00008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177</xdr:row>
          <xdr:rowOff>0</xdr:rowOff>
        </xdr:from>
        <xdr:to>
          <xdr:col>2</xdr:col>
          <xdr:colOff>0</xdr:colOff>
          <xdr:row>178</xdr:row>
          <xdr:rowOff>0</xdr:rowOff>
        </xdr:to>
        <xdr:sp macro="" textlink="">
          <xdr:nvSpPr>
            <xdr:cNvPr id="10632" name="Check Box 392" hidden="1">
              <a:extLst>
                <a:ext uri="{63B3BB69-23CF-44E3-9099-C40C66FF867C}">
                  <a14:compatExt spid="_x0000_s10632"/>
                </a:ext>
                <a:ext uri="{FF2B5EF4-FFF2-40B4-BE49-F238E27FC236}">
                  <a16:creationId xmlns:a16="http://schemas.microsoft.com/office/drawing/2014/main" id="{00000000-0008-0000-0400-00008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166</xdr:row>
          <xdr:rowOff>0</xdr:rowOff>
        </xdr:from>
        <xdr:to>
          <xdr:col>2</xdr:col>
          <xdr:colOff>0</xdr:colOff>
          <xdr:row>166</xdr:row>
          <xdr:rowOff>213360</xdr:rowOff>
        </xdr:to>
        <xdr:sp macro="" textlink="">
          <xdr:nvSpPr>
            <xdr:cNvPr id="10633" name="Check Box 393" hidden="1">
              <a:extLst>
                <a:ext uri="{63B3BB69-23CF-44E3-9099-C40C66FF867C}">
                  <a14:compatExt spid="_x0000_s10633"/>
                </a:ext>
                <a:ext uri="{FF2B5EF4-FFF2-40B4-BE49-F238E27FC236}">
                  <a16:creationId xmlns:a16="http://schemas.microsoft.com/office/drawing/2014/main" id="{00000000-0008-0000-0400-00008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126</xdr:row>
          <xdr:rowOff>0</xdr:rowOff>
        </xdr:from>
        <xdr:to>
          <xdr:col>2</xdr:col>
          <xdr:colOff>0</xdr:colOff>
          <xdr:row>127</xdr:row>
          <xdr:rowOff>0</xdr:rowOff>
        </xdr:to>
        <xdr:sp macro="" textlink="">
          <xdr:nvSpPr>
            <xdr:cNvPr id="10650" name="Check Box 410" hidden="1">
              <a:extLst>
                <a:ext uri="{63B3BB69-23CF-44E3-9099-C40C66FF867C}">
                  <a14:compatExt spid="_x0000_s10650"/>
                </a:ext>
                <a:ext uri="{FF2B5EF4-FFF2-40B4-BE49-F238E27FC236}">
                  <a16:creationId xmlns:a16="http://schemas.microsoft.com/office/drawing/2014/main" id="{00000000-0008-0000-0400-00009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192</xdr:row>
          <xdr:rowOff>0</xdr:rowOff>
        </xdr:from>
        <xdr:to>
          <xdr:col>2</xdr:col>
          <xdr:colOff>0</xdr:colOff>
          <xdr:row>193</xdr:row>
          <xdr:rowOff>0</xdr:rowOff>
        </xdr:to>
        <xdr:sp macro="" textlink="">
          <xdr:nvSpPr>
            <xdr:cNvPr id="10651" name="Check Box 411" hidden="1">
              <a:extLst>
                <a:ext uri="{63B3BB69-23CF-44E3-9099-C40C66FF867C}">
                  <a14:compatExt spid="_x0000_s10651"/>
                </a:ext>
                <a:ext uri="{FF2B5EF4-FFF2-40B4-BE49-F238E27FC236}">
                  <a16:creationId xmlns:a16="http://schemas.microsoft.com/office/drawing/2014/main" id="{00000000-0008-0000-0400-00009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0</xdr:colOff>
          <xdr:row>18</xdr:row>
          <xdr:rowOff>213360</xdr:rowOff>
        </xdr:to>
        <xdr:sp macro="" textlink="">
          <xdr:nvSpPr>
            <xdr:cNvPr id="10652" name="Check Box 412" hidden="1">
              <a:extLst>
                <a:ext uri="{63B3BB69-23CF-44E3-9099-C40C66FF867C}">
                  <a14:compatExt spid="_x0000_s10652"/>
                </a:ext>
                <a:ext uri="{FF2B5EF4-FFF2-40B4-BE49-F238E27FC236}">
                  <a16:creationId xmlns:a16="http://schemas.microsoft.com/office/drawing/2014/main" id="{00000000-0008-0000-0400-00009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44</xdr:row>
          <xdr:rowOff>0</xdr:rowOff>
        </xdr:from>
        <xdr:to>
          <xdr:col>5</xdr:col>
          <xdr:colOff>0</xdr:colOff>
          <xdr:row>45</xdr:row>
          <xdr:rowOff>0</xdr:rowOff>
        </xdr:to>
        <xdr:sp macro="" textlink="">
          <xdr:nvSpPr>
            <xdr:cNvPr id="10653" name="Check Box 413" hidden="1">
              <a:extLst>
                <a:ext uri="{63B3BB69-23CF-44E3-9099-C40C66FF867C}">
                  <a14:compatExt spid="_x0000_s10653"/>
                </a:ext>
                <a:ext uri="{FF2B5EF4-FFF2-40B4-BE49-F238E27FC236}">
                  <a16:creationId xmlns:a16="http://schemas.microsoft.com/office/drawing/2014/main" id="{00000000-0008-0000-0400-00009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0</xdr:colOff>
          <xdr:row>46</xdr:row>
          <xdr:rowOff>0</xdr:rowOff>
        </xdr:to>
        <xdr:sp macro="" textlink="">
          <xdr:nvSpPr>
            <xdr:cNvPr id="10654" name="Check Box 414" hidden="1">
              <a:extLst>
                <a:ext uri="{63B3BB69-23CF-44E3-9099-C40C66FF867C}">
                  <a14:compatExt spid="_x0000_s10654"/>
                </a:ext>
                <a:ext uri="{FF2B5EF4-FFF2-40B4-BE49-F238E27FC236}">
                  <a16:creationId xmlns:a16="http://schemas.microsoft.com/office/drawing/2014/main" id="{00000000-0008-0000-0400-00009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65</xdr:row>
          <xdr:rowOff>0</xdr:rowOff>
        </xdr:from>
        <xdr:to>
          <xdr:col>5</xdr:col>
          <xdr:colOff>0</xdr:colOff>
          <xdr:row>66</xdr:row>
          <xdr:rowOff>0</xdr:rowOff>
        </xdr:to>
        <xdr:sp macro="" textlink="">
          <xdr:nvSpPr>
            <xdr:cNvPr id="10655" name="Check Box 415" hidden="1">
              <a:extLst>
                <a:ext uri="{63B3BB69-23CF-44E3-9099-C40C66FF867C}">
                  <a14:compatExt spid="_x0000_s10655"/>
                </a:ext>
                <a:ext uri="{FF2B5EF4-FFF2-40B4-BE49-F238E27FC236}">
                  <a16:creationId xmlns:a16="http://schemas.microsoft.com/office/drawing/2014/main" id="{00000000-0008-0000-0400-00009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66</xdr:row>
          <xdr:rowOff>0</xdr:rowOff>
        </xdr:from>
        <xdr:to>
          <xdr:col>5</xdr:col>
          <xdr:colOff>0</xdr:colOff>
          <xdr:row>67</xdr:row>
          <xdr:rowOff>0</xdr:rowOff>
        </xdr:to>
        <xdr:sp macro="" textlink="">
          <xdr:nvSpPr>
            <xdr:cNvPr id="10656" name="Check Box 416" hidden="1">
              <a:extLst>
                <a:ext uri="{63B3BB69-23CF-44E3-9099-C40C66FF867C}">
                  <a14:compatExt spid="_x0000_s10656"/>
                </a:ext>
                <a:ext uri="{FF2B5EF4-FFF2-40B4-BE49-F238E27FC236}">
                  <a16:creationId xmlns:a16="http://schemas.microsoft.com/office/drawing/2014/main" id="{00000000-0008-0000-0400-0000A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160</xdr:row>
          <xdr:rowOff>0</xdr:rowOff>
        </xdr:from>
        <xdr:to>
          <xdr:col>5</xdr:col>
          <xdr:colOff>0</xdr:colOff>
          <xdr:row>161</xdr:row>
          <xdr:rowOff>0</xdr:rowOff>
        </xdr:to>
        <xdr:sp macro="" textlink="">
          <xdr:nvSpPr>
            <xdr:cNvPr id="10657" name="Check Box 417" hidden="1">
              <a:extLst>
                <a:ext uri="{63B3BB69-23CF-44E3-9099-C40C66FF867C}">
                  <a14:compatExt spid="_x0000_s10657"/>
                </a:ext>
                <a:ext uri="{FF2B5EF4-FFF2-40B4-BE49-F238E27FC236}">
                  <a16:creationId xmlns:a16="http://schemas.microsoft.com/office/drawing/2014/main" id="{00000000-0008-0000-0400-0000A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161</xdr:row>
          <xdr:rowOff>0</xdr:rowOff>
        </xdr:from>
        <xdr:to>
          <xdr:col>5</xdr:col>
          <xdr:colOff>0</xdr:colOff>
          <xdr:row>162</xdr:row>
          <xdr:rowOff>0</xdr:rowOff>
        </xdr:to>
        <xdr:sp macro="" textlink="">
          <xdr:nvSpPr>
            <xdr:cNvPr id="10658" name="Check Box 418" hidden="1">
              <a:extLst>
                <a:ext uri="{63B3BB69-23CF-44E3-9099-C40C66FF867C}">
                  <a14:compatExt spid="_x0000_s10658"/>
                </a:ext>
                <a:ext uri="{FF2B5EF4-FFF2-40B4-BE49-F238E27FC236}">
                  <a16:creationId xmlns:a16="http://schemas.microsoft.com/office/drawing/2014/main" id="{00000000-0008-0000-0400-0000A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0</xdr:colOff>
          <xdr:row>31</xdr:row>
          <xdr:rowOff>213360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5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0</xdr:colOff>
          <xdr:row>33</xdr:row>
          <xdr:rowOff>213360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5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0</xdr:colOff>
          <xdr:row>35</xdr:row>
          <xdr:rowOff>213360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5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0</xdr:colOff>
          <xdr:row>37</xdr:row>
          <xdr:rowOff>213360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5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0</xdr:colOff>
          <xdr:row>39</xdr:row>
          <xdr:rowOff>213360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5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0</xdr:colOff>
          <xdr:row>41</xdr:row>
          <xdr:rowOff>213360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5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43</xdr:row>
          <xdr:rowOff>213360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5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0</xdr:colOff>
          <xdr:row>45</xdr:row>
          <xdr:rowOff>213360</xdr:rowOff>
        </xdr:to>
        <xdr:sp macro="" textlink="">
          <xdr:nvSpPr>
            <xdr:cNvPr id="39948" name="Check Box 12" descr="3 Fahrstreifen" hidden="1">
              <a:extLst>
                <a:ext uri="{63B3BB69-23CF-44E3-9099-C40C66FF867C}">
                  <a14:compatExt spid="_x0000_s39948"/>
                </a:ext>
                <a:ext uri="{FF2B5EF4-FFF2-40B4-BE49-F238E27FC236}">
                  <a16:creationId xmlns:a16="http://schemas.microsoft.com/office/drawing/2014/main" id="{00000000-0008-0000-05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47</xdr:row>
          <xdr:rowOff>213360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5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0</xdr:colOff>
          <xdr:row>57</xdr:row>
          <xdr:rowOff>213360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5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0</xdr:colOff>
          <xdr:row>59</xdr:row>
          <xdr:rowOff>213360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5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2</xdr:col>
          <xdr:colOff>0</xdr:colOff>
          <xdr:row>61</xdr:row>
          <xdr:rowOff>213360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5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0</xdr:colOff>
          <xdr:row>67</xdr:row>
          <xdr:rowOff>213360</xdr:rowOff>
        </xdr:to>
        <xdr:sp macro="" textlink="">
          <xdr:nvSpPr>
            <xdr:cNvPr id="39957" name="Check Box 21" descr="3 Fahrstreifen" hidden="1">
              <a:extLst>
                <a:ext uri="{63B3BB69-23CF-44E3-9099-C40C66FF867C}">
                  <a14:compatExt spid="_x0000_s39957"/>
                </a:ext>
                <a:ext uri="{FF2B5EF4-FFF2-40B4-BE49-F238E27FC236}">
                  <a16:creationId xmlns:a16="http://schemas.microsoft.com/office/drawing/2014/main" id="{00000000-0008-0000-05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0</xdr:colOff>
          <xdr:row>79</xdr:row>
          <xdr:rowOff>213360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5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0</xdr:colOff>
          <xdr:row>81</xdr:row>
          <xdr:rowOff>213360</xdr:rowOff>
        </xdr:to>
        <xdr:sp macro="" textlink="">
          <xdr:nvSpPr>
            <xdr:cNvPr id="39960" name="Check Box 24" descr="3 Fahrstreifen" hidden="1">
              <a:extLst>
                <a:ext uri="{63B3BB69-23CF-44E3-9099-C40C66FF867C}">
                  <a14:compatExt spid="_x0000_s39960"/>
                </a:ext>
                <a:ext uri="{FF2B5EF4-FFF2-40B4-BE49-F238E27FC236}">
                  <a16:creationId xmlns:a16="http://schemas.microsoft.com/office/drawing/2014/main" id="{00000000-0008-0000-05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0</xdr:colOff>
          <xdr:row>91</xdr:row>
          <xdr:rowOff>0</xdr:rowOff>
        </xdr:to>
        <xdr:sp macro="" textlink="">
          <xdr:nvSpPr>
            <xdr:cNvPr id="39963" name="Check Box 27" hidden="1">
              <a:extLst>
                <a:ext uri="{63B3BB69-23CF-44E3-9099-C40C66FF867C}">
                  <a14:compatExt spid="_x0000_s39963"/>
                </a:ext>
                <a:ext uri="{FF2B5EF4-FFF2-40B4-BE49-F238E27FC236}">
                  <a16:creationId xmlns:a16="http://schemas.microsoft.com/office/drawing/2014/main" id="{00000000-0008-0000-0500-00001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92</xdr:row>
          <xdr:rowOff>213360</xdr:rowOff>
        </xdr:to>
        <xdr:sp macro="" textlink="">
          <xdr:nvSpPr>
            <xdr:cNvPr id="39964" name="Check Box 28" hidden="1">
              <a:extLst>
                <a:ext uri="{63B3BB69-23CF-44E3-9099-C40C66FF867C}">
                  <a14:compatExt spid="_x0000_s39964"/>
                </a:ext>
                <a:ext uri="{FF2B5EF4-FFF2-40B4-BE49-F238E27FC236}">
                  <a16:creationId xmlns:a16="http://schemas.microsoft.com/office/drawing/2014/main" id="{00000000-0008-0000-0500-00001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94</xdr:row>
          <xdr:rowOff>213360</xdr:rowOff>
        </xdr:to>
        <xdr:sp macro="" textlink="">
          <xdr:nvSpPr>
            <xdr:cNvPr id="39965" name="Check Box 29" hidden="1">
              <a:extLst>
                <a:ext uri="{63B3BB69-23CF-44E3-9099-C40C66FF867C}">
                  <a14:compatExt spid="_x0000_s39965"/>
                </a:ext>
                <a:ext uri="{FF2B5EF4-FFF2-40B4-BE49-F238E27FC236}">
                  <a16:creationId xmlns:a16="http://schemas.microsoft.com/office/drawing/2014/main" id="{00000000-0008-0000-0500-00001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0</xdr:colOff>
          <xdr:row>96</xdr:row>
          <xdr:rowOff>213360</xdr:rowOff>
        </xdr:to>
        <xdr:sp macro="" textlink="">
          <xdr:nvSpPr>
            <xdr:cNvPr id="39966" name="Check Box 30" hidden="1">
              <a:extLst>
                <a:ext uri="{63B3BB69-23CF-44E3-9099-C40C66FF867C}">
                  <a14:compatExt spid="_x0000_s39966"/>
                </a:ext>
                <a:ext uri="{FF2B5EF4-FFF2-40B4-BE49-F238E27FC236}">
                  <a16:creationId xmlns:a16="http://schemas.microsoft.com/office/drawing/2014/main" id="{00000000-0008-0000-0500-00001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107</xdr:row>
          <xdr:rowOff>0</xdr:rowOff>
        </xdr:from>
        <xdr:to>
          <xdr:col>2</xdr:col>
          <xdr:colOff>0</xdr:colOff>
          <xdr:row>108</xdr:row>
          <xdr:rowOff>0</xdr:rowOff>
        </xdr:to>
        <xdr:sp macro="" textlink="">
          <xdr:nvSpPr>
            <xdr:cNvPr id="39967" name="Check Box 31" hidden="1">
              <a:extLst>
                <a:ext uri="{63B3BB69-23CF-44E3-9099-C40C66FF867C}">
                  <a14:compatExt spid="_x0000_s39967"/>
                </a:ext>
                <a:ext uri="{FF2B5EF4-FFF2-40B4-BE49-F238E27FC236}">
                  <a16:creationId xmlns:a16="http://schemas.microsoft.com/office/drawing/2014/main" id="{00000000-0008-0000-0500-00001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109</xdr:row>
          <xdr:rowOff>0</xdr:rowOff>
        </xdr:from>
        <xdr:to>
          <xdr:col>2</xdr:col>
          <xdr:colOff>0</xdr:colOff>
          <xdr:row>110</xdr:row>
          <xdr:rowOff>0</xdr:rowOff>
        </xdr:to>
        <xdr:sp macro="" textlink="">
          <xdr:nvSpPr>
            <xdr:cNvPr id="39968" name="Check Box 32" hidden="1">
              <a:extLst>
                <a:ext uri="{63B3BB69-23CF-44E3-9099-C40C66FF867C}">
                  <a14:compatExt spid="_x0000_s39968"/>
                </a:ext>
                <a:ext uri="{FF2B5EF4-FFF2-40B4-BE49-F238E27FC236}">
                  <a16:creationId xmlns:a16="http://schemas.microsoft.com/office/drawing/2014/main" id="{00000000-0008-0000-0500-00002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111</xdr:row>
          <xdr:rowOff>0</xdr:rowOff>
        </xdr:from>
        <xdr:to>
          <xdr:col>2</xdr:col>
          <xdr:colOff>0</xdr:colOff>
          <xdr:row>111</xdr:row>
          <xdr:rowOff>213360</xdr:rowOff>
        </xdr:to>
        <xdr:sp macro="" textlink="">
          <xdr:nvSpPr>
            <xdr:cNvPr id="39969" name="Check Box 33" descr="3 Fahrstreifen" hidden="1">
              <a:extLst>
                <a:ext uri="{63B3BB69-23CF-44E3-9099-C40C66FF867C}">
                  <a14:compatExt spid="_x0000_s39969"/>
                </a:ext>
                <a:ext uri="{FF2B5EF4-FFF2-40B4-BE49-F238E27FC236}">
                  <a16:creationId xmlns:a16="http://schemas.microsoft.com/office/drawing/2014/main" id="{00000000-0008-0000-0500-00002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113</xdr:row>
          <xdr:rowOff>0</xdr:rowOff>
        </xdr:from>
        <xdr:to>
          <xdr:col>2</xdr:col>
          <xdr:colOff>0</xdr:colOff>
          <xdr:row>113</xdr:row>
          <xdr:rowOff>213360</xdr:rowOff>
        </xdr:to>
        <xdr:sp macro="" textlink="">
          <xdr:nvSpPr>
            <xdr:cNvPr id="39970" name="Check Box 34" hidden="1">
              <a:extLst>
                <a:ext uri="{63B3BB69-23CF-44E3-9099-C40C66FF867C}">
                  <a14:compatExt spid="_x0000_s39970"/>
                </a:ext>
                <a:ext uri="{FF2B5EF4-FFF2-40B4-BE49-F238E27FC236}">
                  <a16:creationId xmlns:a16="http://schemas.microsoft.com/office/drawing/2014/main" id="{00000000-0008-0000-0500-00002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115</xdr:row>
          <xdr:rowOff>0</xdr:rowOff>
        </xdr:from>
        <xdr:to>
          <xdr:col>2</xdr:col>
          <xdr:colOff>0</xdr:colOff>
          <xdr:row>116</xdr:row>
          <xdr:rowOff>0</xdr:rowOff>
        </xdr:to>
        <xdr:sp macro="" textlink="">
          <xdr:nvSpPr>
            <xdr:cNvPr id="39971" name="Check Box 35" descr="3 Fahrstreifen" hidden="1">
              <a:extLst>
                <a:ext uri="{63B3BB69-23CF-44E3-9099-C40C66FF867C}">
                  <a14:compatExt spid="_x0000_s39971"/>
                </a:ext>
                <a:ext uri="{FF2B5EF4-FFF2-40B4-BE49-F238E27FC236}">
                  <a16:creationId xmlns:a16="http://schemas.microsoft.com/office/drawing/2014/main" id="{00000000-0008-0000-0500-00002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0</xdr:rowOff>
        </xdr:from>
        <xdr:to>
          <xdr:col>2</xdr:col>
          <xdr:colOff>0</xdr:colOff>
          <xdr:row>117</xdr:row>
          <xdr:rowOff>213360</xdr:rowOff>
        </xdr:to>
        <xdr:sp macro="" textlink="">
          <xdr:nvSpPr>
            <xdr:cNvPr id="39973" name="Check Box 37" hidden="1">
              <a:extLst>
                <a:ext uri="{63B3BB69-23CF-44E3-9099-C40C66FF867C}">
                  <a14:compatExt spid="_x0000_s39973"/>
                </a:ext>
                <a:ext uri="{FF2B5EF4-FFF2-40B4-BE49-F238E27FC236}">
                  <a16:creationId xmlns:a16="http://schemas.microsoft.com/office/drawing/2014/main" id="{00000000-0008-0000-0500-00002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125</xdr:row>
          <xdr:rowOff>0</xdr:rowOff>
        </xdr:from>
        <xdr:to>
          <xdr:col>2</xdr:col>
          <xdr:colOff>0</xdr:colOff>
          <xdr:row>126</xdr:row>
          <xdr:rowOff>0</xdr:rowOff>
        </xdr:to>
        <xdr:sp macro="" textlink="">
          <xdr:nvSpPr>
            <xdr:cNvPr id="39974" name="Check Box 38" hidden="1">
              <a:extLst>
                <a:ext uri="{63B3BB69-23CF-44E3-9099-C40C66FF867C}">
                  <a14:compatExt spid="_x0000_s39974"/>
                </a:ext>
                <a:ext uri="{FF2B5EF4-FFF2-40B4-BE49-F238E27FC236}">
                  <a16:creationId xmlns:a16="http://schemas.microsoft.com/office/drawing/2014/main" id="{00000000-0008-0000-0500-00002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123</xdr:row>
          <xdr:rowOff>0</xdr:rowOff>
        </xdr:from>
        <xdr:to>
          <xdr:col>2</xdr:col>
          <xdr:colOff>0</xdr:colOff>
          <xdr:row>124</xdr:row>
          <xdr:rowOff>0</xdr:rowOff>
        </xdr:to>
        <xdr:sp macro="" textlink="">
          <xdr:nvSpPr>
            <xdr:cNvPr id="39975" name="Check Box 39" hidden="1">
              <a:extLst>
                <a:ext uri="{63B3BB69-23CF-44E3-9099-C40C66FF867C}">
                  <a14:compatExt spid="_x0000_s39975"/>
                </a:ext>
                <a:ext uri="{FF2B5EF4-FFF2-40B4-BE49-F238E27FC236}">
                  <a16:creationId xmlns:a16="http://schemas.microsoft.com/office/drawing/2014/main" id="{00000000-0008-0000-0500-00002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128</xdr:row>
          <xdr:rowOff>0</xdr:rowOff>
        </xdr:from>
        <xdr:to>
          <xdr:col>2</xdr:col>
          <xdr:colOff>0</xdr:colOff>
          <xdr:row>129</xdr:row>
          <xdr:rowOff>0</xdr:rowOff>
        </xdr:to>
        <xdr:sp macro="" textlink="">
          <xdr:nvSpPr>
            <xdr:cNvPr id="39976" name="Check Box 40" hidden="1">
              <a:extLst>
                <a:ext uri="{63B3BB69-23CF-44E3-9099-C40C66FF867C}">
                  <a14:compatExt spid="_x0000_s39976"/>
                </a:ext>
                <a:ext uri="{FF2B5EF4-FFF2-40B4-BE49-F238E27FC236}">
                  <a16:creationId xmlns:a16="http://schemas.microsoft.com/office/drawing/2014/main" id="{00000000-0008-0000-0500-00002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131</xdr:row>
          <xdr:rowOff>0</xdr:rowOff>
        </xdr:from>
        <xdr:to>
          <xdr:col>2</xdr:col>
          <xdr:colOff>7620</xdr:colOff>
          <xdr:row>131</xdr:row>
          <xdr:rowOff>213360</xdr:rowOff>
        </xdr:to>
        <xdr:sp macro="" textlink="">
          <xdr:nvSpPr>
            <xdr:cNvPr id="39977" name="Check Box 41" hidden="1">
              <a:extLst>
                <a:ext uri="{63B3BB69-23CF-44E3-9099-C40C66FF867C}">
                  <a14:compatExt spid="_x0000_s39977"/>
                </a:ext>
                <a:ext uri="{FF2B5EF4-FFF2-40B4-BE49-F238E27FC236}">
                  <a16:creationId xmlns:a16="http://schemas.microsoft.com/office/drawing/2014/main" id="{00000000-0008-0000-0500-00002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134</xdr:row>
          <xdr:rowOff>0</xdr:rowOff>
        </xdr:from>
        <xdr:to>
          <xdr:col>2</xdr:col>
          <xdr:colOff>0</xdr:colOff>
          <xdr:row>135</xdr:row>
          <xdr:rowOff>0</xdr:rowOff>
        </xdr:to>
        <xdr:sp macro="" textlink="">
          <xdr:nvSpPr>
            <xdr:cNvPr id="39978" name="Check Box 42" hidden="1">
              <a:extLst>
                <a:ext uri="{63B3BB69-23CF-44E3-9099-C40C66FF867C}">
                  <a14:compatExt spid="_x0000_s39978"/>
                </a:ext>
                <a:ext uri="{FF2B5EF4-FFF2-40B4-BE49-F238E27FC236}">
                  <a16:creationId xmlns:a16="http://schemas.microsoft.com/office/drawing/2014/main" id="{00000000-0008-0000-0500-00002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136</xdr:row>
          <xdr:rowOff>0</xdr:rowOff>
        </xdr:from>
        <xdr:to>
          <xdr:col>2</xdr:col>
          <xdr:colOff>0</xdr:colOff>
          <xdr:row>137</xdr:row>
          <xdr:rowOff>0</xdr:rowOff>
        </xdr:to>
        <xdr:sp macro="" textlink="">
          <xdr:nvSpPr>
            <xdr:cNvPr id="39979" name="Check Box 43" hidden="1">
              <a:extLst>
                <a:ext uri="{63B3BB69-23CF-44E3-9099-C40C66FF867C}">
                  <a14:compatExt spid="_x0000_s39979"/>
                </a:ext>
                <a:ext uri="{FF2B5EF4-FFF2-40B4-BE49-F238E27FC236}">
                  <a16:creationId xmlns:a16="http://schemas.microsoft.com/office/drawing/2014/main" id="{00000000-0008-0000-0500-00002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139</xdr:row>
          <xdr:rowOff>0</xdr:rowOff>
        </xdr:from>
        <xdr:to>
          <xdr:col>2</xdr:col>
          <xdr:colOff>0</xdr:colOff>
          <xdr:row>140</xdr:row>
          <xdr:rowOff>0</xdr:rowOff>
        </xdr:to>
        <xdr:sp macro="" textlink="">
          <xdr:nvSpPr>
            <xdr:cNvPr id="39980" name="Check Box 44" hidden="1">
              <a:extLst>
                <a:ext uri="{63B3BB69-23CF-44E3-9099-C40C66FF867C}">
                  <a14:compatExt spid="_x0000_s39980"/>
                </a:ext>
                <a:ext uri="{FF2B5EF4-FFF2-40B4-BE49-F238E27FC236}">
                  <a16:creationId xmlns:a16="http://schemas.microsoft.com/office/drawing/2014/main" id="{00000000-0008-0000-0500-00002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141</xdr:row>
          <xdr:rowOff>0</xdr:rowOff>
        </xdr:from>
        <xdr:to>
          <xdr:col>2</xdr:col>
          <xdr:colOff>0</xdr:colOff>
          <xdr:row>141</xdr:row>
          <xdr:rowOff>213360</xdr:rowOff>
        </xdr:to>
        <xdr:sp macro="" textlink="">
          <xdr:nvSpPr>
            <xdr:cNvPr id="39981" name="Check Box 45" hidden="1">
              <a:extLst>
                <a:ext uri="{63B3BB69-23CF-44E3-9099-C40C66FF867C}">
                  <a14:compatExt spid="_x0000_s39981"/>
                </a:ext>
                <a:ext uri="{FF2B5EF4-FFF2-40B4-BE49-F238E27FC236}">
                  <a16:creationId xmlns:a16="http://schemas.microsoft.com/office/drawing/2014/main" id="{00000000-0008-0000-0500-00002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150</xdr:row>
          <xdr:rowOff>0</xdr:rowOff>
        </xdr:from>
        <xdr:to>
          <xdr:col>2</xdr:col>
          <xdr:colOff>0</xdr:colOff>
          <xdr:row>151</xdr:row>
          <xdr:rowOff>0</xdr:rowOff>
        </xdr:to>
        <xdr:sp macro="" textlink="">
          <xdr:nvSpPr>
            <xdr:cNvPr id="39982" name="Check Box 46" hidden="1">
              <a:extLst>
                <a:ext uri="{63B3BB69-23CF-44E3-9099-C40C66FF867C}">
                  <a14:compatExt spid="_x0000_s39982"/>
                </a:ext>
                <a:ext uri="{FF2B5EF4-FFF2-40B4-BE49-F238E27FC236}">
                  <a16:creationId xmlns:a16="http://schemas.microsoft.com/office/drawing/2014/main" id="{00000000-0008-0000-0500-00002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152</xdr:row>
          <xdr:rowOff>0</xdr:rowOff>
        </xdr:from>
        <xdr:to>
          <xdr:col>2</xdr:col>
          <xdr:colOff>0</xdr:colOff>
          <xdr:row>152</xdr:row>
          <xdr:rowOff>213360</xdr:rowOff>
        </xdr:to>
        <xdr:sp macro="" textlink="">
          <xdr:nvSpPr>
            <xdr:cNvPr id="39983" name="Check Box 47" hidden="1">
              <a:extLst>
                <a:ext uri="{63B3BB69-23CF-44E3-9099-C40C66FF867C}">
                  <a14:compatExt spid="_x0000_s39983"/>
                </a:ext>
                <a:ext uri="{FF2B5EF4-FFF2-40B4-BE49-F238E27FC236}">
                  <a16:creationId xmlns:a16="http://schemas.microsoft.com/office/drawing/2014/main" id="{00000000-0008-0000-0500-00002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154</xdr:row>
          <xdr:rowOff>0</xdr:rowOff>
        </xdr:from>
        <xdr:to>
          <xdr:col>2</xdr:col>
          <xdr:colOff>0</xdr:colOff>
          <xdr:row>154</xdr:row>
          <xdr:rowOff>213360</xdr:rowOff>
        </xdr:to>
        <xdr:sp macro="" textlink="">
          <xdr:nvSpPr>
            <xdr:cNvPr id="39984" name="Check Box 48" hidden="1">
              <a:extLst>
                <a:ext uri="{63B3BB69-23CF-44E3-9099-C40C66FF867C}">
                  <a14:compatExt spid="_x0000_s39984"/>
                </a:ext>
                <a:ext uri="{FF2B5EF4-FFF2-40B4-BE49-F238E27FC236}">
                  <a16:creationId xmlns:a16="http://schemas.microsoft.com/office/drawing/2014/main" id="{00000000-0008-0000-0500-00003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156</xdr:row>
          <xdr:rowOff>0</xdr:rowOff>
        </xdr:from>
        <xdr:to>
          <xdr:col>2</xdr:col>
          <xdr:colOff>0</xdr:colOff>
          <xdr:row>157</xdr:row>
          <xdr:rowOff>0</xdr:rowOff>
        </xdr:to>
        <xdr:sp macro="" textlink="">
          <xdr:nvSpPr>
            <xdr:cNvPr id="39985" name="Check Box 49" hidden="1">
              <a:extLst>
                <a:ext uri="{63B3BB69-23CF-44E3-9099-C40C66FF867C}">
                  <a14:compatExt spid="_x0000_s39985"/>
                </a:ext>
                <a:ext uri="{FF2B5EF4-FFF2-40B4-BE49-F238E27FC236}">
                  <a16:creationId xmlns:a16="http://schemas.microsoft.com/office/drawing/2014/main" id="{00000000-0008-0000-0500-00003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170</xdr:row>
          <xdr:rowOff>0</xdr:rowOff>
        </xdr:from>
        <xdr:to>
          <xdr:col>2</xdr:col>
          <xdr:colOff>0</xdr:colOff>
          <xdr:row>170</xdr:row>
          <xdr:rowOff>213360</xdr:rowOff>
        </xdr:to>
        <xdr:sp macro="" textlink="">
          <xdr:nvSpPr>
            <xdr:cNvPr id="39986" name="Check Box 50" hidden="1">
              <a:extLst>
                <a:ext uri="{63B3BB69-23CF-44E3-9099-C40C66FF867C}">
                  <a14:compatExt spid="_x0000_s39986"/>
                </a:ext>
                <a:ext uri="{FF2B5EF4-FFF2-40B4-BE49-F238E27FC236}">
                  <a16:creationId xmlns:a16="http://schemas.microsoft.com/office/drawing/2014/main" id="{00000000-0008-0000-0500-00003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176</xdr:row>
          <xdr:rowOff>0</xdr:rowOff>
        </xdr:from>
        <xdr:to>
          <xdr:col>2</xdr:col>
          <xdr:colOff>0</xdr:colOff>
          <xdr:row>177</xdr:row>
          <xdr:rowOff>0</xdr:rowOff>
        </xdr:to>
        <xdr:sp macro="" textlink="">
          <xdr:nvSpPr>
            <xdr:cNvPr id="39988" name="Check Box 52" hidden="1">
              <a:extLst>
                <a:ext uri="{63B3BB69-23CF-44E3-9099-C40C66FF867C}">
                  <a14:compatExt spid="_x0000_s39988"/>
                </a:ext>
                <a:ext uri="{FF2B5EF4-FFF2-40B4-BE49-F238E27FC236}">
                  <a16:creationId xmlns:a16="http://schemas.microsoft.com/office/drawing/2014/main" id="{00000000-0008-0000-0500-00003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179</xdr:row>
          <xdr:rowOff>0</xdr:rowOff>
        </xdr:from>
        <xdr:to>
          <xdr:col>2</xdr:col>
          <xdr:colOff>7620</xdr:colOff>
          <xdr:row>180</xdr:row>
          <xdr:rowOff>0</xdr:rowOff>
        </xdr:to>
        <xdr:sp macro="" textlink="">
          <xdr:nvSpPr>
            <xdr:cNvPr id="39989" name="Check Box 53" hidden="1">
              <a:extLst>
                <a:ext uri="{63B3BB69-23CF-44E3-9099-C40C66FF867C}">
                  <a14:compatExt spid="_x0000_s39989"/>
                </a:ext>
                <a:ext uri="{FF2B5EF4-FFF2-40B4-BE49-F238E27FC236}">
                  <a16:creationId xmlns:a16="http://schemas.microsoft.com/office/drawing/2014/main" id="{00000000-0008-0000-0500-00003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182</xdr:row>
          <xdr:rowOff>0</xdr:rowOff>
        </xdr:from>
        <xdr:to>
          <xdr:col>2</xdr:col>
          <xdr:colOff>0</xdr:colOff>
          <xdr:row>183</xdr:row>
          <xdr:rowOff>0</xdr:rowOff>
        </xdr:to>
        <xdr:sp macro="" textlink="">
          <xdr:nvSpPr>
            <xdr:cNvPr id="39990" name="Check Box 54" hidden="1">
              <a:extLst>
                <a:ext uri="{63B3BB69-23CF-44E3-9099-C40C66FF867C}">
                  <a14:compatExt spid="_x0000_s39990"/>
                </a:ext>
                <a:ext uri="{FF2B5EF4-FFF2-40B4-BE49-F238E27FC236}">
                  <a16:creationId xmlns:a16="http://schemas.microsoft.com/office/drawing/2014/main" id="{00000000-0008-0000-0500-00003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184</xdr:row>
          <xdr:rowOff>0</xdr:rowOff>
        </xdr:from>
        <xdr:to>
          <xdr:col>2</xdr:col>
          <xdr:colOff>0</xdr:colOff>
          <xdr:row>185</xdr:row>
          <xdr:rowOff>0</xdr:rowOff>
        </xdr:to>
        <xdr:sp macro="" textlink="">
          <xdr:nvSpPr>
            <xdr:cNvPr id="39991" name="Check Box 55" hidden="1">
              <a:extLst>
                <a:ext uri="{63B3BB69-23CF-44E3-9099-C40C66FF867C}">
                  <a14:compatExt spid="_x0000_s39991"/>
                </a:ext>
                <a:ext uri="{FF2B5EF4-FFF2-40B4-BE49-F238E27FC236}">
                  <a16:creationId xmlns:a16="http://schemas.microsoft.com/office/drawing/2014/main" id="{00000000-0008-0000-0500-00003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193</xdr:row>
          <xdr:rowOff>0</xdr:rowOff>
        </xdr:from>
        <xdr:to>
          <xdr:col>2</xdr:col>
          <xdr:colOff>0</xdr:colOff>
          <xdr:row>194</xdr:row>
          <xdr:rowOff>0</xdr:rowOff>
        </xdr:to>
        <xdr:sp macro="" textlink="">
          <xdr:nvSpPr>
            <xdr:cNvPr id="39992" name="Check Box 56" hidden="1">
              <a:extLst>
                <a:ext uri="{63B3BB69-23CF-44E3-9099-C40C66FF867C}">
                  <a14:compatExt spid="_x0000_s39992"/>
                </a:ext>
                <a:ext uri="{FF2B5EF4-FFF2-40B4-BE49-F238E27FC236}">
                  <a16:creationId xmlns:a16="http://schemas.microsoft.com/office/drawing/2014/main" id="{00000000-0008-0000-0500-00003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195</xdr:row>
          <xdr:rowOff>0</xdr:rowOff>
        </xdr:from>
        <xdr:to>
          <xdr:col>2</xdr:col>
          <xdr:colOff>0</xdr:colOff>
          <xdr:row>195</xdr:row>
          <xdr:rowOff>213360</xdr:rowOff>
        </xdr:to>
        <xdr:sp macro="" textlink="">
          <xdr:nvSpPr>
            <xdr:cNvPr id="39993" name="Check Box 57" hidden="1">
              <a:extLst>
                <a:ext uri="{63B3BB69-23CF-44E3-9099-C40C66FF867C}">
                  <a14:compatExt spid="_x0000_s39993"/>
                </a:ext>
                <a:ext uri="{FF2B5EF4-FFF2-40B4-BE49-F238E27FC236}">
                  <a16:creationId xmlns:a16="http://schemas.microsoft.com/office/drawing/2014/main" id="{00000000-0008-0000-0500-00003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197</xdr:row>
          <xdr:rowOff>0</xdr:rowOff>
        </xdr:from>
        <xdr:to>
          <xdr:col>2</xdr:col>
          <xdr:colOff>0</xdr:colOff>
          <xdr:row>197</xdr:row>
          <xdr:rowOff>213360</xdr:rowOff>
        </xdr:to>
        <xdr:sp macro="" textlink="">
          <xdr:nvSpPr>
            <xdr:cNvPr id="39994" name="Check Box 58" hidden="1">
              <a:extLst>
                <a:ext uri="{63B3BB69-23CF-44E3-9099-C40C66FF867C}">
                  <a14:compatExt spid="_x0000_s39994"/>
                </a:ext>
                <a:ext uri="{FF2B5EF4-FFF2-40B4-BE49-F238E27FC236}">
                  <a16:creationId xmlns:a16="http://schemas.microsoft.com/office/drawing/2014/main" id="{00000000-0008-0000-0500-00003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0</xdr:colOff>
          <xdr:row>77</xdr:row>
          <xdr:rowOff>0</xdr:rowOff>
        </xdr:to>
        <xdr:sp macro="" textlink="">
          <xdr:nvSpPr>
            <xdr:cNvPr id="39996" name="Check Box 60" hidden="1">
              <a:extLst>
                <a:ext uri="{63B3BB69-23CF-44E3-9099-C40C66FF867C}">
                  <a14:compatExt spid="_x0000_s39996"/>
                </a:ext>
                <a:ext uri="{FF2B5EF4-FFF2-40B4-BE49-F238E27FC236}">
                  <a16:creationId xmlns:a16="http://schemas.microsoft.com/office/drawing/2014/main" id="{00000000-0008-0000-0500-00003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0</xdr:colOff>
          <xdr:row>56</xdr:row>
          <xdr:rowOff>0</xdr:rowOff>
        </xdr:to>
        <xdr:sp macro="" textlink="">
          <xdr:nvSpPr>
            <xdr:cNvPr id="39997" name="Check Box 61" descr="3 Fahrstreifen" hidden="1">
              <a:extLst>
                <a:ext uri="{63B3BB69-23CF-44E3-9099-C40C66FF867C}">
                  <a14:compatExt spid="_x0000_s39997"/>
                </a:ext>
                <a:ext uri="{FF2B5EF4-FFF2-40B4-BE49-F238E27FC236}">
                  <a16:creationId xmlns:a16="http://schemas.microsoft.com/office/drawing/2014/main" id="{00000000-0008-0000-0500-00003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12</xdr:row>
          <xdr:rowOff>0</xdr:rowOff>
        </xdr:from>
        <xdr:to>
          <xdr:col>2</xdr:col>
          <xdr:colOff>7620</xdr:colOff>
          <xdr:row>13</xdr:row>
          <xdr:rowOff>7620</xdr:rowOff>
        </xdr:to>
        <xdr:sp macro="" textlink="">
          <xdr:nvSpPr>
            <xdr:cNvPr id="40003" name="Check Box 67" hidden="1">
              <a:extLst>
                <a:ext uri="{63B3BB69-23CF-44E3-9099-C40C66FF867C}">
                  <a14:compatExt spid="_x0000_s40003"/>
                </a:ext>
                <a:ext uri="{FF2B5EF4-FFF2-40B4-BE49-F238E27FC236}">
                  <a16:creationId xmlns:a16="http://schemas.microsoft.com/office/drawing/2014/main" id="{00000000-0008-0000-0500-00004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0</xdr:rowOff>
        </xdr:from>
        <xdr:to>
          <xdr:col>2</xdr:col>
          <xdr:colOff>7620</xdr:colOff>
          <xdr:row>14</xdr:row>
          <xdr:rowOff>7620</xdr:rowOff>
        </xdr:to>
        <xdr:sp macro="" textlink="">
          <xdr:nvSpPr>
            <xdr:cNvPr id="40004" name="Check Box 68" hidden="1">
              <a:extLst>
                <a:ext uri="{63B3BB69-23CF-44E3-9099-C40C66FF867C}">
                  <a14:compatExt spid="_x0000_s40004"/>
                </a:ext>
                <a:ext uri="{FF2B5EF4-FFF2-40B4-BE49-F238E27FC236}">
                  <a16:creationId xmlns:a16="http://schemas.microsoft.com/office/drawing/2014/main" id="{00000000-0008-0000-0500-00004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14</xdr:row>
          <xdr:rowOff>0</xdr:rowOff>
        </xdr:from>
        <xdr:to>
          <xdr:col>2</xdr:col>
          <xdr:colOff>7620</xdr:colOff>
          <xdr:row>15</xdr:row>
          <xdr:rowOff>7620</xdr:rowOff>
        </xdr:to>
        <xdr:sp macro="" textlink="">
          <xdr:nvSpPr>
            <xdr:cNvPr id="40005" name="Check Box 69" hidden="1">
              <a:extLst>
                <a:ext uri="{63B3BB69-23CF-44E3-9099-C40C66FF867C}">
                  <a14:compatExt spid="_x0000_s40005"/>
                </a:ext>
                <a:ext uri="{FF2B5EF4-FFF2-40B4-BE49-F238E27FC236}">
                  <a16:creationId xmlns:a16="http://schemas.microsoft.com/office/drawing/2014/main" id="{00000000-0008-0000-0500-00004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65</xdr:row>
          <xdr:rowOff>0</xdr:rowOff>
        </xdr:from>
        <xdr:to>
          <xdr:col>2</xdr:col>
          <xdr:colOff>0</xdr:colOff>
          <xdr:row>65</xdr:row>
          <xdr:rowOff>213360</xdr:rowOff>
        </xdr:to>
        <xdr:sp macro="" textlink="">
          <xdr:nvSpPr>
            <xdr:cNvPr id="40008" name="Check Box 72" descr="3 Fahrstreifen" hidden="1">
              <a:extLst>
                <a:ext uri="{63B3BB69-23CF-44E3-9099-C40C66FF867C}">
                  <a14:compatExt spid="_x0000_s40008"/>
                </a:ext>
                <a:ext uri="{FF2B5EF4-FFF2-40B4-BE49-F238E27FC236}">
                  <a16:creationId xmlns:a16="http://schemas.microsoft.com/office/drawing/2014/main" id="{00000000-0008-0000-0500-00004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0</xdr:colOff>
          <xdr:row>63</xdr:row>
          <xdr:rowOff>213360</xdr:rowOff>
        </xdr:to>
        <xdr:sp macro="" textlink="">
          <xdr:nvSpPr>
            <xdr:cNvPr id="40009" name="Check Box 73" descr="3 Fahrstreifen" hidden="1">
              <a:extLst>
                <a:ext uri="{63B3BB69-23CF-44E3-9099-C40C66FF867C}">
                  <a14:compatExt spid="_x0000_s40009"/>
                </a:ext>
                <a:ext uri="{FF2B5EF4-FFF2-40B4-BE49-F238E27FC236}">
                  <a16:creationId xmlns:a16="http://schemas.microsoft.com/office/drawing/2014/main" id="{00000000-0008-0000-0500-00004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173</xdr:row>
          <xdr:rowOff>0</xdr:rowOff>
        </xdr:from>
        <xdr:to>
          <xdr:col>2</xdr:col>
          <xdr:colOff>0</xdr:colOff>
          <xdr:row>174</xdr:row>
          <xdr:rowOff>0</xdr:rowOff>
        </xdr:to>
        <xdr:sp macro="" textlink="">
          <xdr:nvSpPr>
            <xdr:cNvPr id="40010" name="Check Box 74" hidden="1">
              <a:extLst>
                <a:ext uri="{63B3BB69-23CF-44E3-9099-C40C66FF867C}">
                  <a14:compatExt spid="_x0000_s40010"/>
                </a:ext>
                <a:ext uri="{FF2B5EF4-FFF2-40B4-BE49-F238E27FC236}">
                  <a16:creationId xmlns:a16="http://schemas.microsoft.com/office/drawing/2014/main" id="{00000000-0008-0000-0500-00004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0</xdr:colOff>
          <xdr:row>20</xdr:row>
          <xdr:rowOff>213360</xdr:rowOff>
        </xdr:to>
        <xdr:sp macro="" textlink="">
          <xdr:nvSpPr>
            <xdr:cNvPr id="40012" name="Check Box 76" hidden="1">
              <a:extLst>
                <a:ext uri="{63B3BB69-23CF-44E3-9099-C40C66FF867C}">
                  <a14:compatExt spid="_x0000_s40012"/>
                </a:ext>
                <a:ext uri="{FF2B5EF4-FFF2-40B4-BE49-F238E27FC236}">
                  <a16:creationId xmlns:a16="http://schemas.microsoft.com/office/drawing/2014/main" id="{00000000-0008-0000-0500-00004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0</xdr:colOff>
          <xdr:row>26</xdr:row>
          <xdr:rowOff>213360</xdr:rowOff>
        </xdr:to>
        <xdr:sp macro="" textlink="">
          <xdr:nvSpPr>
            <xdr:cNvPr id="40014" name="Check Box 78" hidden="1">
              <a:extLst>
                <a:ext uri="{63B3BB69-23CF-44E3-9099-C40C66FF867C}">
                  <a14:compatExt spid="_x0000_s40014"/>
                </a:ext>
                <a:ext uri="{FF2B5EF4-FFF2-40B4-BE49-F238E27FC236}">
                  <a16:creationId xmlns:a16="http://schemas.microsoft.com/office/drawing/2014/main" id="{00000000-0008-0000-0500-00004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0</xdr:colOff>
          <xdr:row>24</xdr:row>
          <xdr:rowOff>213360</xdr:rowOff>
        </xdr:to>
        <xdr:sp macro="" textlink="">
          <xdr:nvSpPr>
            <xdr:cNvPr id="40015" name="Check Box 79" hidden="1">
              <a:extLst>
                <a:ext uri="{63B3BB69-23CF-44E3-9099-C40C66FF867C}">
                  <a14:compatExt spid="_x0000_s40015"/>
                </a:ext>
                <a:ext uri="{FF2B5EF4-FFF2-40B4-BE49-F238E27FC236}">
                  <a16:creationId xmlns:a16="http://schemas.microsoft.com/office/drawing/2014/main" id="{00000000-0008-0000-0500-00004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0</xdr:colOff>
          <xdr:row>22</xdr:row>
          <xdr:rowOff>213360</xdr:rowOff>
        </xdr:to>
        <xdr:sp macro="" textlink="">
          <xdr:nvSpPr>
            <xdr:cNvPr id="40016" name="Check Box 80" hidden="1">
              <a:extLst>
                <a:ext uri="{63B3BB69-23CF-44E3-9099-C40C66FF867C}">
                  <a14:compatExt spid="_x0000_s40016"/>
                </a:ext>
                <a:ext uri="{FF2B5EF4-FFF2-40B4-BE49-F238E27FC236}">
                  <a16:creationId xmlns:a16="http://schemas.microsoft.com/office/drawing/2014/main" id="{00000000-0008-0000-0500-00005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40017" name="Check Box 81" hidden="1">
              <a:extLst>
                <a:ext uri="{63B3BB69-23CF-44E3-9099-C40C66FF867C}">
                  <a14:compatExt spid="_x0000_s40017"/>
                </a:ext>
                <a:ext uri="{FF2B5EF4-FFF2-40B4-BE49-F238E27FC236}">
                  <a16:creationId xmlns:a16="http://schemas.microsoft.com/office/drawing/2014/main" id="{00000000-0008-0000-0500-00005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0</xdr:colOff>
          <xdr:row>101</xdr:row>
          <xdr:rowOff>0</xdr:rowOff>
        </xdr:to>
        <xdr:sp macro="" textlink="">
          <xdr:nvSpPr>
            <xdr:cNvPr id="40018" name="Check Box 82" hidden="1">
              <a:extLst>
                <a:ext uri="{63B3BB69-23CF-44E3-9099-C40C66FF867C}">
                  <a14:compatExt spid="_x0000_s40018"/>
                </a:ext>
                <a:ext uri="{FF2B5EF4-FFF2-40B4-BE49-F238E27FC236}">
                  <a16:creationId xmlns:a16="http://schemas.microsoft.com/office/drawing/2014/main" id="{00000000-0008-0000-0500-00005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158</xdr:row>
          <xdr:rowOff>0</xdr:rowOff>
        </xdr:from>
        <xdr:to>
          <xdr:col>2</xdr:col>
          <xdr:colOff>0</xdr:colOff>
          <xdr:row>159</xdr:row>
          <xdr:rowOff>0</xdr:rowOff>
        </xdr:to>
        <xdr:sp macro="" textlink="">
          <xdr:nvSpPr>
            <xdr:cNvPr id="40019" name="Check Box 83" hidden="1">
              <a:extLst>
                <a:ext uri="{63B3BB69-23CF-44E3-9099-C40C66FF867C}">
                  <a14:compatExt spid="_x0000_s40019"/>
                </a:ext>
                <a:ext uri="{FF2B5EF4-FFF2-40B4-BE49-F238E27FC236}">
                  <a16:creationId xmlns:a16="http://schemas.microsoft.com/office/drawing/2014/main" id="{00000000-0008-0000-0500-00005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162</xdr:row>
          <xdr:rowOff>0</xdr:rowOff>
        </xdr:from>
        <xdr:to>
          <xdr:col>2</xdr:col>
          <xdr:colOff>0</xdr:colOff>
          <xdr:row>163</xdr:row>
          <xdr:rowOff>0</xdr:rowOff>
        </xdr:to>
        <xdr:sp macro="" textlink="">
          <xdr:nvSpPr>
            <xdr:cNvPr id="40020" name="Check Box 84" hidden="1">
              <a:extLst>
                <a:ext uri="{63B3BB69-23CF-44E3-9099-C40C66FF867C}">
                  <a14:compatExt spid="_x0000_s40020"/>
                </a:ext>
                <a:ext uri="{FF2B5EF4-FFF2-40B4-BE49-F238E27FC236}">
                  <a16:creationId xmlns:a16="http://schemas.microsoft.com/office/drawing/2014/main" id="{00000000-0008-0000-0500-00005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164</xdr:row>
          <xdr:rowOff>0</xdr:rowOff>
        </xdr:from>
        <xdr:to>
          <xdr:col>2</xdr:col>
          <xdr:colOff>7620</xdr:colOff>
          <xdr:row>165</xdr:row>
          <xdr:rowOff>0</xdr:rowOff>
        </xdr:to>
        <xdr:sp macro="" textlink="">
          <xdr:nvSpPr>
            <xdr:cNvPr id="40021" name="Check Box 85" hidden="1">
              <a:extLst>
                <a:ext uri="{63B3BB69-23CF-44E3-9099-C40C66FF867C}">
                  <a14:compatExt spid="_x0000_s40021"/>
                </a:ext>
                <a:ext uri="{FF2B5EF4-FFF2-40B4-BE49-F238E27FC236}">
                  <a16:creationId xmlns:a16="http://schemas.microsoft.com/office/drawing/2014/main" id="{00000000-0008-0000-0500-00005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166</xdr:row>
          <xdr:rowOff>0</xdr:rowOff>
        </xdr:from>
        <xdr:to>
          <xdr:col>2</xdr:col>
          <xdr:colOff>0</xdr:colOff>
          <xdr:row>167</xdr:row>
          <xdr:rowOff>0</xdr:rowOff>
        </xdr:to>
        <xdr:sp macro="" textlink="">
          <xdr:nvSpPr>
            <xdr:cNvPr id="40022" name="Check Box 86" hidden="1">
              <a:extLst>
                <a:ext uri="{63B3BB69-23CF-44E3-9099-C40C66FF867C}">
                  <a14:compatExt spid="_x0000_s40022"/>
                </a:ext>
                <a:ext uri="{FF2B5EF4-FFF2-40B4-BE49-F238E27FC236}">
                  <a16:creationId xmlns:a16="http://schemas.microsoft.com/office/drawing/2014/main" id="{00000000-0008-0000-0500-00005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168</xdr:row>
          <xdr:rowOff>0</xdr:rowOff>
        </xdr:from>
        <xdr:to>
          <xdr:col>2</xdr:col>
          <xdr:colOff>0</xdr:colOff>
          <xdr:row>169</xdr:row>
          <xdr:rowOff>0</xdr:rowOff>
        </xdr:to>
        <xdr:sp macro="" textlink="">
          <xdr:nvSpPr>
            <xdr:cNvPr id="40023" name="Check Box 87" hidden="1">
              <a:extLst>
                <a:ext uri="{63B3BB69-23CF-44E3-9099-C40C66FF867C}">
                  <a14:compatExt spid="_x0000_s40023"/>
                </a:ext>
                <a:ext uri="{FF2B5EF4-FFF2-40B4-BE49-F238E27FC236}">
                  <a16:creationId xmlns:a16="http://schemas.microsoft.com/office/drawing/2014/main" id="{00000000-0008-0000-0500-00005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160</xdr:row>
          <xdr:rowOff>0</xdr:rowOff>
        </xdr:from>
        <xdr:to>
          <xdr:col>2</xdr:col>
          <xdr:colOff>0</xdr:colOff>
          <xdr:row>161</xdr:row>
          <xdr:rowOff>0</xdr:rowOff>
        </xdr:to>
        <xdr:sp macro="" textlink="">
          <xdr:nvSpPr>
            <xdr:cNvPr id="40024" name="Check Box 88" hidden="1">
              <a:extLst>
                <a:ext uri="{63B3BB69-23CF-44E3-9099-C40C66FF867C}">
                  <a14:compatExt spid="_x0000_s40024"/>
                </a:ext>
                <a:ext uri="{FF2B5EF4-FFF2-40B4-BE49-F238E27FC236}">
                  <a16:creationId xmlns:a16="http://schemas.microsoft.com/office/drawing/2014/main" id="{00000000-0008-0000-0500-00005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0</xdr:colOff>
          <xdr:row>85</xdr:row>
          <xdr:rowOff>213360</xdr:rowOff>
        </xdr:to>
        <xdr:sp macro="" textlink="">
          <xdr:nvSpPr>
            <xdr:cNvPr id="40025" name="Check Box 89" hidden="1">
              <a:extLst>
                <a:ext uri="{63B3BB69-23CF-44E3-9099-C40C66FF867C}">
                  <a14:compatExt spid="_x0000_s40025"/>
                </a:ext>
                <a:ext uri="{FF2B5EF4-FFF2-40B4-BE49-F238E27FC236}">
                  <a16:creationId xmlns:a16="http://schemas.microsoft.com/office/drawing/2014/main" id="{00000000-0008-0000-0500-00005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0</xdr:colOff>
          <xdr:row>102</xdr:row>
          <xdr:rowOff>213360</xdr:rowOff>
        </xdr:to>
        <xdr:sp macro="" textlink="">
          <xdr:nvSpPr>
            <xdr:cNvPr id="40026" name="Check Box 90" hidden="1">
              <a:extLst>
                <a:ext uri="{63B3BB69-23CF-44E3-9099-C40C66FF867C}">
                  <a14:compatExt spid="_x0000_s40026"/>
                </a:ext>
                <a:ext uri="{FF2B5EF4-FFF2-40B4-BE49-F238E27FC236}">
                  <a16:creationId xmlns:a16="http://schemas.microsoft.com/office/drawing/2014/main" id="{00000000-0008-0000-0500-00005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145</xdr:row>
          <xdr:rowOff>0</xdr:rowOff>
        </xdr:from>
        <xdr:to>
          <xdr:col>2</xdr:col>
          <xdr:colOff>0</xdr:colOff>
          <xdr:row>145</xdr:row>
          <xdr:rowOff>213360</xdr:rowOff>
        </xdr:to>
        <xdr:sp macro="" textlink="">
          <xdr:nvSpPr>
            <xdr:cNvPr id="40027" name="Check Box 91" hidden="1">
              <a:extLst>
                <a:ext uri="{63B3BB69-23CF-44E3-9099-C40C66FF867C}">
                  <a14:compatExt spid="_x0000_s40027"/>
                </a:ext>
                <a:ext uri="{FF2B5EF4-FFF2-40B4-BE49-F238E27FC236}">
                  <a16:creationId xmlns:a16="http://schemas.microsoft.com/office/drawing/2014/main" id="{00000000-0008-0000-0500-00005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188</xdr:row>
          <xdr:rowOff>0</xdr:rowOff>
        </xdr:from>
        <xdr:to>
          <xdr:col>2</xdr:col>
          <xdr:colOff>0</xdr:colOff>
          <xdr:row>188</xdr:row>
          <xdr:rowOff>213360</xdr:rowOff>
        </xdr:to>
        <xdr:sp macro="" textlink="">
          <xdr:nvSpPr>
            <xdr:cNvPr id="40028" name="Check Box 92" hidden="1">
              <a:extLst>
                <a:ext uri="{63B3BB69-23CF-44E3-9099-C40C66FF867C}">
                  <a14:compatExt spid="_x0000_s40028"/>
                </a:ext>
                <a:ext uri="{FF2B5EF4-FFF2-40B4-BE49-F238E27FC236}">
                  <a16:creationId xmlns:a16="http://schemas.microsoft.com/office/drawing/2014/main" id="{00000000-0008-0000-0500-00005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199</xdr:row>
          <xdr:rowOff>0</xdr:rowOff>
        </xdr:from>
        <xdr:to>
          <xdr:col>2</xdr:col>
          <xdr:colOff>0</xdr:colOff>
          <xdr:row>199</xdr:row>
          <xdr:rowOff>213360</xdr:rowOff>
        </xdr:to>
        <xdr:sp macro="" textlink="">
          <xdr:nvSpPr>
            <xdr:cNvPr id="40029" name="Check Box 93" hidden="1">
              <a:extLst>
                <a:ext uri="{63B3BB69-23CF-44E3-9099-C40C66FF867C}">
                  <a14:compatExt spid="_x0000_s40029"/>
                </a:ext>
                <a:ext uri="{FF2B5EF4-FFF2-40B4-BE49-F238E27FC236}">
                  <a16:creationId xmlns:a16="http://schemas.microsoft.com/office/drawing/2014/main" id="{00000000-0008-0000-0500-00005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0</xdr:colOff>
          <xdr:row>18</xdr:row>
          <xdr:rowOff>213360</xdr:rowOff>
        </xdr:to>
        <xdr:sp macro="" textlink="">
          <xdr:nvSpPr>
            <xdr:cNvPr id="40030" name="Check Box 94" hidden="1">
              <a:extLst>
                <a:ext uri="{63B3BB69-23CF-44E3-9099-C40C66FF867C}">
                  <a14:compatExt spid="_x0000_s40030"/>
                </a:ext>
                <a:ext uri="{FF2B5EF4-FFF2-40B4-BE49-F238E27FC236}">
                  <a16:creationId xmlns:a16="http://schemas.microsoft.com/office/drawing/2014/main" id="{00000000-0008-0000-0500-00005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0</xdr:colOff>
          <xdr:row>15</xdr:row>
          <xdr:rowOff>213360</xdr:rowOff>
        </xdr:to>
        <xdr:sp macro="" textlink="">
          <xdr:nvSpPr>
            <xdr:cNvPr id="54274" name="Kontrollkästchen 2" hidden="1">
              <a:extLst>
                <a:ext uri="{63B3BB69-23CF-44E3-9099-C40C66FF867C}">
                  <a14:compatExt spid="_x0000_s54274"/>
                </a:ext>
                <a:ext uri="{FF2B5EF4-FFF2-40B4-BE49-F238E27FC236}">
                  <a16:creationId xmlns:a16="http://schemas.microsoft.com/office/drawing/2014/main" id="{00000000-0008-0000-06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13</xdr:row>
          <xdr:rowOff>213360</xdr:rowOff>
        </xdr:to>
        <xdr:sp macro="" textlink="">
          <xdr:nvSpPr>
            <xdr:cNvPr id="69870" name="Kontrollkästchen 2" hidden="1">
              <a:extLst>
                <a:ext uri="{63B3BB69-23CF-44E3-9099-C40C66FF867C}">
                  <a14:compatExt spid="_x0000_s69870"/>
                </a:ext>
                <a:ext uri="{FF2B5EF4-FFF2-40B4-BE49-F238E27FC236}">
                  <a16:creationId xmlns:a16="http://schemas.microsoft.com/office/drawing/2014/main" id="{00000000-0008-0000-0600-0000E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17</xdr:row>
          <xdr:rowOff>213360</xdr:rowOff>
        </xdr:to>
        <xdr:sp macro="" textlink="">
          <xdr:nvSpPr>
            <xdr:cNvPr id="69871" name="Kontrollkästchen 2" hidden="1">
              <a:extLst>
                <a:ext uri="{63B3BB69-23CF-44E3-9099-C40C66FF867C}">
                  <a14:compatExt spid="_x0000_s69871"/>
                </a:ext>
                <a:ext uri="{FF2B5EF4-FFF2-40B4-BE49-F238E27FC236}">
                  <a16:creationId xmlns:a16="http://schemas.microsoft.com/office/drawing/2014/main" id="{00000000-0008-0000-0600-0000E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0</xdr:colOff>
          <xdr:row>22</xdr:row>
          <xdr:rowOff>213360</xdr:rowOff>
        </xdr:to>
        <xdr:sp macro="" textlink="">
          <xdr:nvSpPr>
            <xdr:cNvPr id="69874" name="Kontrollkästchen 2" hidden="1">
              <a:extLst>
                <a:ext uri="{63B3BB69-23CF-44E3-9099-C40C66FF867C}">
                  <a14:compatExt spid="_x0000_s69874"/>
                </a:ext>
                <a:ext uri="{FF2B5EF4-FFF2-40B4-BE49-F238E27FC236}">
                  <a16:creationId xmlns:a16="http://schemas.microsoft.com/office/drawing/2014/main" id="{00000000-0008-0000-0600-0000F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0</xdr:colOff>
          <xdr:row>24</xdr:row>
          <xdr:rowOff>213360</xdr:rowOff>
        </xdr:to>
        <xdr:sp macro="" textlink="">
          <xdr:nvSpPr>
            <xdr:cNvPr id="69875" name="Kontrollkästchen 2" hidden="1">
              <a:extLst>
                <a:ext uri="{63B3BB69-23CF-44E3-9099-C40C66FF867C}">
                  <a14:compatExt spid="_x0000_s69875"/>
                </a:ext>
                <a:ext uri="{FF2B5EF4-FFF2-40B4-BE49-F238E27FC236}">
                  <a16:creationId xmlns:a16="http://schemas.microsoft.com/office/drawing/2014/main" id="{00000000-0008-0000-0600-0000F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0</xdr:colOff>
          <xdr:row>26</xdr:row>
          <xdr:rowOff>213360</xdr:rowOff>
        </xdr:to>
        <xdr:sp macro="" textlink="">
          <xdr:nvSpPr>
            <xdr:cNvPr id="69876" name="Kontrollkästchen 2" hidden="1">
              <a:extLst>
                <a:ext uri="{63B3BB69-23CF-44E3-9099-C40C66FF867C}">
                  <a14:compatExt spid="_x0000_s69876"/>
                </a:ext>
                <a:ext uri="{FF2B5EF4-FFF2-40B4-BE49-F238E27FC236}">
                  <a16:creationId xmlns:a16="http://schemas.microsoft.com/office/drawing/2014/main" id="{00000000-0008-0000-0600-0000F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0</xdr:colOff>
          <xdr:row>31</xdr:row>
          <xdr:rowOff>213360</xdr:rowOff>
        </xdr:to>
        <xdr:sp macro="" textlink="">
          <xdr:nvSpPr>
            <xdr:cNvPr id="69884" name="Kontrollkästchen 2" hidden="1">
              <a:extLst>
                <a:ext uri="{63B3BB69-23CF-44E3-9099-C40C66FF867C}">
                  <a14:compatExt spid="_x0000_s69884"/>
                </a:ext>
                <a:ext uri="{FF2B5EF4-FFF2-40B4-BE49-F238E27FC236}">
                  <a16:creationId xmlns:a16="http://schemas.microsoft.com/office/drawing/2014/main" id="{00000000-0008-0000-0600-0000F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0</xdr:colOff>
          <xdr:row>33</xdr:row>
          <xdr:rowOff>213360</xdr:rowOff>
        </xdr:to>
        <xdr:sp macro="" textlink="">
          <xdr:nvSpPr>
            <xdr:cNvPr id="69885" name="Check Box 1277" hidden="1">
              <a:extLst>
                <a:ext uri="{63B3BB69-23CF-44E3-9099-C40C66FF867C}">
                  <a14:compatExt spid="_x0000_s69885"/>
                </a:ext>
                <a:ext uri="{FF2B5EF4-FFF2-40B4-BE49-F238E27FC236}">
                  <a16:creationId xmlns:a16="http://schemas.microsoft.com/office/drawing/2014/main" id="{00000000-0008-0000-0600-0000F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0</xdr:colOff>
          <xdr:row>35</xdr:row>
          <xdr:rowOff>213360</xdr:rowOff>
        </xdr:to>
        <xdr:sp macro="" textlink="">
          <xdr:nvSpPr>
            <xdr:cNvPr id="69886" name="Check Box 1278" hidden="1">
              <a:extLst>
                <a:ext uri="{63B3BB69-23CF-44E3-9099-C40C66FF867C}">
                  <a14:compatExt spid="_x0000_s69886"/>
                </a:ext>
                <a:ext uri="{FF2B5EF4-FFF2-40B4-BE49-F238E27FC236}">
                  <a16:creationId xmlns:a16="http://schemas.microsoft.com/office/drawing/2014/main" id="{00000000-0008-0000-0600-0000F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0</xdr:colOff>
          <xdr:row>40</xdr:row>
          <xdr:rowOff>213360</xdr:rowOff>
        </xdr:to>
        <xdr:sp macro="" textlink="">
          <xdr:nvSpPr>
            <xdr:cNvPr id="69899" name="Check Box 1291" hidden="1">
              <a:extLst>
                <a:ext uri="{63B3BB69-23CF-44E3-9099-C40C66FF867C}">
                  <a14:compatExt spid="_x0000_s69899"/>
                </a:ext>
                <a:ext uri="{FF2B5EF4-FFF2-40B4-BE49-F238E27FC236}">
                  <a16:creationId xmlns:a16="http://schemas.microsoft.com/office/drawing/2014/main" id="{00000000-0008-0000-0600-00000B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0</xdr:colOff>
          <xdr:row>42</xdr:row>
          <xdr:rowOff>213360</xdr:rowOff>
        </xdr:to>
        <xdr:sp macro="" textlink="">
          <xdr:nvSpPr>
            <xdr:cNvPr id="69900" name="Check Box 1292" hidden="1">
              <a:extLst>
                <a:ext uri="{63B3BB69-23CF-44E3-9099-C40C66FF867C}">
                  <a14:compatExt spid="_x0000_s69900"/>
                </a:ext>
                <a:ext uri="{FF2B5EF4-FFF2-40B4-BE49-F238E27FC236}">
                  <a16:creationId xmlns:a16="http://schemas.microsoft.com/office/drawing/2014/main" id="{00000000-0008-0000-0600-00000C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0</xdr:colOff>
          <xdr:row>44</xdr:row>
          <xdr:rowOff>213360</xdr:rowOff>
        </xdr:to>
        <xdr:sp macro="" textlink="">
          <xdr:nvSpPr>
            <xdr:cNvPr id="69901" name="Check Box 1293" hidden="1">
              <a:extLst>
                <a:ext uri="{63B3BB69-23CF-44E3-9099-C40C66FF867C}">
                  <a14:compatExt spid="_x0000_s69901"/>
                </a:ext>
                <a:ext uri="{FF2B5EF4-FFF2-40B4-BE49-F238E27FC236}">
                  <a16:creationId xmlns:a16="http://schemas.microsoft.com/office/drawing/2014/main" id="{00000000-0008-0000-0600-00000D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49</xdr:row>
          <xdr:rowOff>213360</xdr:rowOff>
        </xdr:to>
        <xdr:sp macro="" textlink="">
          <xdr:nvSpPr>
            <xdr:cNvPr id="69904" name="Check Box 1296" hidden="1">
              <a:extLst>
                <a:ext uri="{63B3BB69-23CF-44E3-9099-C40C66FF867C}">
                  <a14:compatExt spid="_x0000_s69904"/>
                </a:ext>
                <a:ext uri="{FF2B5EF4-FFF2-40B4-BE49-F238E27FC236}">
                  <a16:creationId xmlns:a16="http://schemas.microsoft.com/office/drawing/2014/main" id="{00000000-0008-0000-0600-000010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0</xdr:colOff>
          <xdr:row>51</xdr:row>
          <xdr:rowOff>213360</xdr:rowOff>
        </xdr:to>
        <xdr:sp macro="" textlink="">
          <xdr:nvSpPr>
            <xdr:cNvPr id="69905" name="Check Box 1297" hidden="1">
              <a:extLst>
                <a:ext uri="{63B3BB69-23CF-44E3-9099-C40C66FF867C}">
                  <a14:compatExt spid="_x0000_s69905"/>
                </a:ext>
                <a:ext uri="{FF2B5EF4-FFF2-40B4-BE49-F238E27FC236}">
                  <a16:creationId xmlns:a16="http://schemas.microsoft.com/office/drawing/2014/main" id="{00000000-0008-0000-0600-000011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0</xdr:colOff>
          <xdr:row>53</xdr:row>
          <xdr:rowOff>213360</xdr:rowOff>
        </xdr:to>
        <xdr:sp macro="" textlink="">
          <xdr:nvSpPr>
            <xdr:cNvPr id="69906" name="Check Box 1298" hidden="1">
              <a:extLst>
                <a:ext uri="{63B3BB69-23CF-44E3-9099-C40C66FF867C}">
                  <a14:compatExt spid="_x0000_s69906"/>
                </a:ext>
                <a:ext uri="{FF2B5EF4-FFF2-40B4-BE49-F238E27FC236}">
                  <a16:creationId xmlns:a16="http://schemas.microsoft.com/office/drawing/2014/main" id="{00000000-0008-0000-0600-000012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0</xdr:colOff>
          <xdr:row>58</xdr:row>
          <xdr:rowOff>213360</xdr:rowOff>
        </xdr:to>
        <xdr:sp macro="" textlink="">
          <xdr:nvSpPr>
            <xdr:cNvPr id="69910" name="Check Box 1302" hidden="1">
              <a:extLst>
                <a:ext uri="{63B3BB69-23CF-44E3-9099-C40C66FF867C}">
                  <a14:compatExt spid="_x0000_s69910"/>
                </a:ext>
                <a:ext uri="{FF2B5EF4-FFF2-40B4-BE49-F238E27FC236}">
                  <a16:creationId xmlns:a16="http://schemas.microsoft.com/office/drawing/2014/main" id="{00000000-0008-0000-0600-000016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0</xdr:colOff>
          <xdr:row>60</xdr:row>
          <xdr:rowOff>213360</xdr:rowOff>
        </xdr:to>
        <xdr:sp macro="" textlink="">
          <xdr:nvSpPr>
            <xdr:cNvPr id="69911" name="Check Box 1303" hidden="1">
              <a:extLst>
                <a:ext uri="{63B3BB69-23CF-44E3-9099-C40C66FF867C}">
                  <a14:compatExt spid="_x0000_s69911"/>
                </a:ext>
                <a:ext uri="{FF2B5EF4-FFF2-40B4-BE49-F238E27FC236}">
                  <a16:creationId xmlns:a16="http://schemas.microsoft.com/office/drawing/2014/main" id="{00000000-0008-0000-0600-000017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0</xdr:colOff>
          <xdr:row>62</xdr:row>
          <xdr:rowOff>213360</xdr:rowOff>
        </xdr:to>
        <xdr:sp macro="" textlink="">
          <xdr:nvSpPr>
            <xdr:cNvPr id="69912" name="Check Box 1304" hidden="1">
              <a:extLst>
                <a:ext uri="{63B3BB69-23CF-44E3-9099-C40C66FF867C}">
                  <a14:compatExt spid="_x0000_s69912"/>
                </a:ext>
                <a:ext uri="{FF2B5EF4-FFF2-40B4-BE49-F238E27FC236}">
                  <a16:creationId xmlns:a16="http://schemas.microsoft.com/office/drawing/2014/main" id="{00000000-0008-0000-0600-000018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0</xdr:colOff>
          <xdr:row>67</xdr:row>
          <xdr:rowOff>213360</xdr:rowOff>
        </xdr:to>
        <xdr:sp macro="" textlink="">
          <xdr:nvSpPr>
            <xdr:cNvPr id="69913" name="Check Box 1305" hidden="1">
              <a:extLst>
                <a:ext uri="{63B3BB69-23CF-44E3-9099-C40C66FF867C}">
                  <a14:compatExt spid="_x0000_s69913"/>
                </a:ext>
                <a:ext uri="{FF2B5EF4-FFF2-40B4-BE49-F238E27FC236}">
                  <a16:creationId xmlns:a16="http://schemas.microsoft.com/office/drawing/2014/main" id="{00000000-0008-0000-0600-000019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69</xdr:row>
          <xdr:rowOff>213360</xdr:rowOff>
        </xdr:to>
        <xdr:sp macro="" textlink="">
          <xdr:nvSpPr>
            <xdr:cNvPr id="69914" name="Check Box 1306" hidden="1">
              <a:extLst>
                <a:ext uri="{63B3BB69-23CF-44E3-9099-C40C66FF867C}">
                  <a14:compatExt spid="_x0000_s69914"/>
                </a:ext>
                <a:ext uri="{FF2B5EF4-FFF2-40B4-BE49-F238E27FC236}">
                  <a16:creationId xmlns:a16="http://schemas.microsoft.com/office/drawing/2014/main" id="{00000000-0008-0000-0600-00001A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0</xdr:colOff>
          <xdr:row>71</xdr:row>
          <xdr:rowOff>213360</xdr:rowOff>
        </xdr:to>
        <xdr:sp macro="" textlink="">
          <xdr:nvSpPr>
            <xdr:cNvPr id="69915" name="Check Box 1307" hidden="1">
              <a:extLst>
                <a:ext uri="{63B3BB69-23CF-44E3-9099-C40C66FF867C}">
                  <a14:compatExt spid="_x0000_s69915"/>
                </a:ext>
                <a:ext uri="{FF2B5EF4-FFF2-40B4-BE49-F238E27FC236}">
                  <a16:creationId xmlns:a16="http://schemas.microsoft.com/office/drawing/2014/main" id="{00000000-0008-0000-0600-00001B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0</xdr:colOff>
          <xdr:row>77</xdr:row>
          <xdr:rowOff>0</xdr:rowOff>
        </xdr:to>
        <xdr:sp macro="" textlink="">
          <xdr:nvSpPr>
            <xdr:cNvPr id="69916" name="Check Box 1308" hidden="1">
              <a:extLst>
                <a:ext uri="{63B3BB69-23CF-44E3-9099-C40C66FF867C}">
                  <a14:compatExt spid="_x0000_s69916"/>
                </a:ext>
                <a:ext uri="{FF2B5EF4-FFF2-40B4-BE49-F238E27FC236}">
                  <a16:creationId xmlns:a16="http://schemas.microsoft.com/office/drawing/2014/main" id="{00000000-0008-0000-0600-00001C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0</xdr:colOff>
          <xdr:row>79</xdr:row>
          <xdr:rowOff>0</xdr:rowOff>
        </xdr:to>
        <xdr:sp macro="" textlink="">
          <xdr:nvSpPr>
            <xdr:cNvPr id="69928" name="Check Box 1320" hidden="1">
              <a:extLst>
                <a:ext uri="{63B3BB69-23CF-44E3-9099-C40C66FF867C}">
                  <a14:compatExt spid="_x0000_s69928"/>
                </a:ext>
                <a:ext uri="{FF2B5EF4-FFF2-40B4-BE49-F238E27FC236}">
                  <a16:creationId xmlns:a16="http://schemas.microsoft.com/office/drawing/2014/main" id="{00000000-0008-0000-0600-000028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0</xdr:colOff>
          <xdr:row>81</xdr:row>
          <xdr:rowOff>0</xdr:rowOff>
        </xdr:to>
        <xdr:sp macro="" textlink="">
          <xdr:nvSpPr>
            <xdr:cNvPr id="69929" name="Check Box 1321" hidden="1">
              <a:extLst>
                <a:ext uri="{63B3BB69-23CF-44E3-9099-C40C66FF867C}">
                  <a14:compatExt spid="_x0000_s69929"/>
                </a:ext>
                <a:ext uri="{FF2B5EF4-FFF2-40B4-BE49-F238E27FC236}">
                  <a16:creationId xmlns:a16="http://schemas.microsoft.com/office/drawing/2014/main" id="{00000000-0008-0000-0600-000029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0</xdr:colOff>
          <xdr:row>85</xdr:row>
          <xdr:rowOff>213360</xdr:rowOff>
        </xdr:to>
        <xdr:sp macro="" textlink="">
          <xdr:nvSpPr>
            <xdr:cNvPr id="69930" name="Check Box 1322" hidden="1">
              <a:extLst>
                <a:ext uri="{63B3BB69-23CF-44E3-9099-C40C66FF867C}">
                  <a14:compatExt spid="_x0000_s69930"/>
                </a:ext>
                <a:ext uri="{FF2B5EF4-FFF2-40B4-BE49-F238E27FC236}">
                  <a16:creationId xmlns:a16="http://schemas.microsoft.com/office/drawing/2014/main" id="{00000000-0008-0000-0600-00002A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0</xdr:colOff>
          <xdr:row>88</xdr:row>
          <xdr:rowOff>0</xdr:rowOff>
        </xdr:to>
        <xdr:sp macro="" textlink="">
          <xdr:nvSpPr>
            <xdr:cNvPr id="69931" name="Check Box 1323" hidden="1">
              <a:extLst>
                <a:ext uri="{63B3BB69-23CF-44E3-9099-C40C66FF867C}">
                  <a14:compatExt spid="_x0000_s69931"/>
                </a:ext>
                <a:ext uri="{FF2B5EF4-FFF2-40B4-BE49-F238E27FC236}">
                  <a16:creationId xmlns:a16="http://schemas.microsoft.com/office/drawing/2014/main" id="{00000000-0008-0000-0600-00002B1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0</xdr:colOff>
          <xdr:row>63</xdr:row>
          <xdr:rowOff>0</xdr:rowOff>
        </xdr:to>
        <xdr:sp macro="" textlink="">
          <xdr:nvSpPr>
            <xdr:cNvPr id="12625" name="Check Box 337" hidden="1">
              <a:extLst>
                <a:ext uri="{63B3BB69-23CF-44E3-9099-C40C66FF867C}">
                  <a14:compatExt spid="_x0000_s12625"/>
                </a:ext>
                <a:ext uri="{FF2B5EF4-FFF2-40B4-BE49-F238E27FC236}">
                  <a16:creationId xmlns:a16="http://schemas.microsoft.com/office/drawing/2014/main" id="{00000000-0008-0000-0700-00005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0</xdr:colOff>
          <xdr:row>61</xdr:row>
          <xdr:rowOff>0</xdr:rowOff>
        </xdr:to>
        <xdr:sp macro="" textlink="">
          <xdr:nvSpPr>
            <xdr:cNvPr id="12626" name="Check Box 338" hidden="1">
              <a:extLst>
                <a:ext uri="{63B3BB69-23CF-44E3-9099-C40C66FF867C}">
                  <a14:compatExt spid="_x0000_s12626"/>
                </a:ext>
                <a:ext uri="{FF2B5EF4-FFF2-40B4-BE49-F238E27FC236}">
                  <a16:creationId xmlns:a16="http://schemas.microsoft.com/office/drawing/2014/main" id="{00000000-0008-0000-0700-00005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0</xdr:colOff>
          <xdr:row>81</xdr:row>
          <xdr:rowOff>0</xdr:rowOff>
        </xdr:to>
        <xdr:sp macro="" textlink="">
          <xdr:nvSpPr>
            <xdr:cNvPr id="12660" name="Check Box 372" hidden="1">
              <a:extLst>
                <a:ext uri="{63B3BB69-23CF-44E3-9099-C40C66FF867C}">
                  <a14:compatExt spid="_x0000_s12660"/>
                </a:ext>
                <a:ext uri="{FF2B5EF4-FFF2-40B4-BE49-F238E27FC236}">
                  <a16:creationId xmlns:a16="http://schemas.microsoft.com/office/drawing/2014/main" id="{00000000-0008-0000-0700-00007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0</xdr:colOff>
          <xdr:row>101</xdr:row>
          <xdr:rowOff>0</xdr:rowOff>
        </xdr:to>
        <xdr:sp macro="" textlink="">
          <xdr:nvSpPr>
            <xdr:cNvPr id="12661" name="Check Box 373" hidden="1">
              <a:extLst>
                <a:ext uri="{63B3BB69-23CF-44E3-9099-C40C66FF867C}">
                  <a14:compatExt spid="_x0000_s12661"/>
                </a:ext>
                <a:ext uri="{FF2B5EF4-FFF2-40B4-BE49-F238E27FC236}">
                  <a16:creationId xmlns:a16="http://schemas.microsoft.com/office/drawing/2014/main" id="{00000000-0008-0000-0700-00007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115</xdr:row>
          <xdr:rowOff>0</xdr:rowOff>
        </xdr:from>
        <xdr:to>
          <xdr:col>2</xdr:col>
          <xdr:colOff>0</xdr:colOff>
          <xdr:row>116</xdr:row>
          <xdr:rowOff>0</xdr:rowOff>
        </xdr:to>
        <xdr:sp macro="" textlink="">
          <xdr:nvSpPr>
            <xdr:cNvPr id="12678" name="Check Box 390" hidden="1">
              <a:extLst>
                <a:ext uri="{63B3BB69-23CF-44E3-9099-C40C66FF867C}">
                  <a14:compatExt spid="_x0000_s12678"/>
                </a:ext>
                <a:ext uri="{FF2B5EF4-FFF2-40B4-BE49-F238E27FC236}">
                  <a16:creationId xmlns:a16="http://schemas.microsoft.com/office/drawing/2014/main" id="{00000000-0008-0000-0700-00008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0</xdr:rowOff>
        </xdr:from>
        <xdr:to>
          <xdr:col>2</xdr:col>
          <xdr:colOff>0</xdr:colOff>
          <xdr:row>117</xdr:row>
          <xdr:rowOff>228600</xdr:rowOff>
        </xdr:to>
        <xdr:sp macro="" textlink="">
          <xdr:nvSpPr>
            <xdr:cNvPr id="12679" name="Check Box 391" hidden="1">
              <a:extLst>
                <a:ext uri="{63B3BB69-23CF-44E3-9099-C40C66FF867C}">
                  <a14:compatExt spid="_x0000_s12679"/>
                </a:ext>
                <a:ext uri="{FF2B5EF4-FFF2-40B4-BE49-F238E27FC236}">
                  <a16:creationId xmlns:a16="http://schemas.microsoft.com/office/drawing/2014/main" id="{00000000-0008-0000-0700-00008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125</xdr:row>
          <xdr:rowOff>0</xdr:rowOff>
        </xdr:from>
        <xdr:to>
          <xdr:col>2</xdr:col>
          <xdr:colOff>0</xdr:colOff>
          <xdr:row>126</xdr:row>
          <xdr:rowOff>0</xdr:rowOff>
        </xdr:to>
        <xdr:sp macro="" textlink="">
          <xdr:nvSpPr>
            <xdr:cNvPr id="12680" name="Check Box 392" hidden="1">
              <a:extLst>
                <a:ext uri="{63B3BB69-23CF-44E3-9099-C40C66FF867C}">
                  <a14:compatExt spid="_x0000_s12680"/>
                </a:ext>
                <a:ext uri="{FF2B5EF4-FFF2-40B4-BE49-F238E27FC236}">
                  <a16:creationId xmlns:a16="http://schemas.microsoft.com/office/drawing/2014/main" id="{00000000-0008-0000-0700-00008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127</xdr:row>
          <xdr:rowOff>0</xdr:rowOff>
        </xdr:from>
        <xdr:to>
          <xdr:col>2</xdr:col>
          <xdr:colOff>0</xdr:colOff>
          <xdr:row>128</xdr:row>
          <xdr:rowOff>0</xdr:rowOff>
        </xdr:to>
        <xdr:sp macro="" textlink="">
          <xdr:nvSpPr>
            <xdr:cNvPr id="12681" name="Check Box 393" hidden="1">
              <a:extLst>
                <a:ext uri="{63B3BB69-23CF-44E3-9099-C40C66FF867C}">
                  <a14:compatExt spid="_x0000_s12681"/>
                </a:ext>
                <a:ext uri="{FF2B5EF4-FFF2-40B4-BE49-F238E27FC236}">
                  <a16:creationId xmlns:a16="http://schemas.microsoft.com/office/drawing/2014/main" id="{00000000-0008-0000-0700-00008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129</xdr:row>
          <xdr:rowOff>0</xdr:rowOff>
        </xdr:from>
        <xdr:to>
          <xdr:col>2</xdr:col>
          <xdr:colOff>0</xdr:colOff>
          <xdr:row>130</xdr:row>
          <xdr:rowOff>0</xdr:rowOff>
        </xdr:to>
        <xdr:sp macro="" textlink="">
          <xdr:nvSpPr>
            <xdr:cNvPr id="12682" name="Check Box 394" hidden="1">
              <a:extLst>
                <a:ext uri="{63B3BB69-23CF-44E3-9099-C40C66FF867C}">
                  <a14:compatExt spid="_x0000_s12682"/>
                </a:ext>
                <a:ext uri="{FF2B5EF4-FFF2-40B4-BE49-F238E27FC236}">
                  <a16:creationId xmlns:a16="http://schemas.microsoft.com/office/drawing/2014/main" id="{00000000-0008-0000-0700-00008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134</xdr:row>
          <xdr:rowOff>0</xdr:rowOff>
        </xdr:from>
        <xdr:to>
          <xdr:col>2</xdr:col>
          <xdr:colOff>0</xdr:colOff>
          <xdr:row>135</xdr:row>
          <xdr:rowOff>0</xdr:rowOff>
        </xdr:to>
        <xdr:sp macro="" textlink="">
          <xdr:nvSpPr>
            <xdr:cNvPr id="12690" name="Check Box 402" hidden="1">
              <a:extLst>
                <a:ext uri="{63B3BB69-23CF-44E3-9099-C40C66FF867C}">
                  <a14:compatExt spid="_x0000_s12690"/>
                </a:ext>
                <a:ext uri="{FF2B5EF4-FFF2-40B4-BE49-F238E27FC236}">
                  <a16:creationId xmlns:a16="http://schemas.microsoft.com/office/drawing/2014/main" id="{00000000-0008-0000-0700-00009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138</xdr:row>
          <xdr:rowOff>0</xdr:rowOff>
        </xdr:from>
        <xdr:to>
          <xdr:col>2</xdr:col>
          <xdr:colOff>0</xdr:colOff>
          <xdr:row>139</xdr:row>
          <xdr:rowOff>0</xdr:rowOff>
        </xdr:to>
        <xdr:sp macro="" textlink="">
          <xdr:nvSpPr>
            <xdr:cNvPr id="12691" name="Check Box 403" hidden="1">
              <a:extLst>
                <a:ext uri="{63B3BB69-23CF-44E3-9099-C40C66FF867C}">
                  <a14:compatExt spid="_x0000_s12691"/>
                </a:ext>
                <a:ext uri="{FF2B5EF4-FFF2-40B4-BE49-F238E27FC236}">
                  <a16:creationId xmlns:a16="http://schemas.microsoft.com/office/drawing/2014/main" id="{00000000-0008-0000-0700-00009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140</xdr:row>
          <xdr:rowOff>0</xdr:rowOff>
        </xdr:from>
        <xdr:to>
          <xdr:col>2</xdr:col>
          <xdr:colOff>0</xdr:colOff>
          <xdr:row>141</xdr:row>
          <xdr:rowOff>0</xdr:rowOff>
        </xdr:to>
        <xdr:sp macro="" textlink="">
          <xdr:nvSpPr>
            <xdr:cNvPr id="12692" name="Check Box 404" hidden="1">
              <a:extLst>
                <a:ext uri="{63B3BB69-23CF-44E3-9099-C40C66FF867C}">
                  <a14:compatExt spid="_x0000_s12692"/>
                </a:ext>
                <a:ext uri="{FF2B5EF4-FFF2-40B4-BE49-F238E27FC236}">
                  <a16:creationId xmlns:a16="http://schemas.microsoft.com/office/drawing/2014/main" id="{00000000-0008-0000-0700-00009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167</xdr:row>
          <xdr:rowOff>0</xdr:rowOff>
        </xdr:from>
        <xdr:to>
          <xdr:col>2</xdr:col>
          <xdr:colOff>0</xdr:colOff>
          <xdr:row>168</xdr:row>
          <xdr:rowOff>0</xdr:rowOff>
        </xdr:to>
        <xdr:sp macro="" textlink="">
          <xdr:nvSpPr>
            <xdr:cNvPr id="12695" name="Check Box 407" descr="3 Fahrstreifen" hidden="1">
              <a:extLst>
                <a:ext uri="{63B3BB69-23CF-44E3-9099-C40C66FF867C}">
                  <a14:compatExt spid="_x0000_s12695"/>
                </a:ext>
                <a:ext uri="{FF2B5EF4-FFF2-40B4-BE49-F238E27FC236}">
                  <a16:creationId xmlns:a16="http://schemas.microsoft.com/office/drawing/2014/main" id="{00000000-0008-0000-0700-00009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169</xdr:row>
          <xdr:rowOff>0</xdr:rowOff>
        </xdr:from>
        <xdr:to>
          <xdr:col>2</xdr:col>
          <xdr:colOff>0</xdr:colOff>
          <xdr:row>170</xdr:row>
          <xdr:rowOff>0</xdr:rowOff>
        </xdr:to>
        <xdr:sp macro="" textlink="">
          <xdr:nvSpPr>
            <xdr:cNvPr id="12696" name="Check Box 408" descr="3 Fahrstreifen" hidden="1">
              <a:extLst>
                <a:ext uri="{63B3BB69-23CF-44E3-9099-C40C66FF867C}">
                  <a14:compatExt spid="_x0000_s12696"/>
                </a:ext>
                <a:ext uri="{FF2B5EF4-FFF2-40B4-BE49-F238E27FC236}">
                  <a16:creationId xmlns:a16="http://schemas.microsoft.com/office/drawing/2014/main" id="{00000000-0008-0000-0700-00009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147</xdr:row>
          <xdr:rowOff>0</xdr:rowOff>
        </xdr:from>
        <xdr:to>
          <xdr:col>2</xdr:col>
          <xdr:colOff>0</xdr:colOff>
          <xdr:row>148</xdr:row>
          <xdr:rowOff>0</xdr:rowOff>
        </xdr:to>
        <xdr:sp macro="" textlink="">
          <xdr:nvSpPr>
            <xdr:cNvPr id="12700" name="Check Box 412" hidden="1">
              <a:extLst>
                <a:ext uri="{63B3BB69-23CF-44E3-9099-C40C66FF867C}">
                  <a14:compatExt spid="_x0000_s12700"/>
                </a:ext>
                <a:ext uri="{FF2B5EF4-FFF2-40B4-BE49-F238E27FC236}">
                  <a16:creationId xmlns:a16="http://schemas.microsoft.com/office/drawing/2014/main" id="{00000000-0008-0000-0700-00009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145</xdr:row>
          <xdr:rowOff>0</xdr:rowOff>
        </xdr:from>
        <xdr:to>
          <xdr:col>2</xdr:col>
          <xdr:colOff>0</xdr:colOff>
          <xdr:row>146</xdr:row>
          <xdr:rowOff>0</xdr:rowOff>
        </xdr:to>
        <xdr:sp macro="" textlink="">
          <xdr:nvSpPr>
            <xdr:cNvPr id="12703" name="Check Box 415" hidden="1">
              <a:extLst>
                <a:ext uri="{63B3BB69-23CF-44E3-9099-C40C66FF867C}">
                  <a14:compatExt spid="_x0000_s12703"/>
                </a:ext>
                <a:ext uri="{FF2B5EF4-FFF2-40B4-BE49-F238E27FC236}">
                  <a16:creationId xmlns:a16="http://schemas.microsoft.com/office/drawing/2014/main" id="{00000000-0008-0000-0700-00009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149</xdr:row>
          <xdr:rowOff>0</xdr:rowOff>
        </xdr:from>
        <xdr:to>
          <xdr:col>2</xdr:col>
          <xdr:colOff>0</xdr:colOff>
          <xdr:row>150</xdr:row>
          <xdr:rowOff>0</xdr:rowOff>
        </xdr:to>
        <xdr:sp macro="" textlink="">
          <xdr:nvSpPr>
            <xdr:cNvPr id="12704" name="Check Box 416" hidden="1">
              <a:extLst>
                <a:ext uri="{63B3BB69-23CF-44E3-9099-C40C66FF867C}">
                  <a14:compatExt spid="_x0000_s12704"/>
                </a:ext>
                <a:ext uri="{FF2B5EF4-FFF2-40B4-BE49-F238E27FC236}">
                  <a16:creationId xmlns:a16="http://schemas.microsoft.com/office/drawing/2014/main" id="{00000000-0008-0000-0700-0000A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151</xdr:row>
          <xdr:rowOff>0</xdr:rowOff>
        </xdr:from>
        <xdr:to>
          <xdr:col>2</xdr:col>
          <xdr:colOff>0</xdr:colOff>
          <xdr:row>152</xdr:row>
          <xdr:rowOff>0</xdr:rowOff>
        </xdr:to>
        <xdr:sp macro="" textlink="">
          <xdr:nvSpPr>
            <xdr:cNvPr id="12706" name="Check Box 418" hidden="1">
              <a:extLst>
                <a:ext uri="{63B3BB69-23CF-44E3-9099-C40C66FF867C}">
                  <a14:compatExt spid="_x0000_s12706"/>
                </a:ext>
                <a:ext uri="{FF2B5EF4-FFF2-40B4-BE49-F238E27FC236}">
                  <a16:creationId xmlns:a16="http://schemas.microsoft.com/office/drawing/2014/main" id="{00000000-0008-0000-0700-0000A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153</xdr:row>
          <xdr:rowOff>0</xdr:rowOff>
        </xdr:from>
        <xdr:to>
          <xdr:col>2</xdr:col>
          <xdr:colOff>0</xdr:colOff>
          <xdr:row>154</xdr:row>
          <xdr:rowOff>0</xdr:rowOff>
        </xdr:to>
        <xdr:sp macro="" textlink="">
          <xdr:nvSpPr>
            <xdr:cNvPr id="12775" name="Check Box 487" hidden="1">
              <a:extLst>
                <a:ext uri="{63B3BB69-23CF-44E3-9099-C40C66FF867C}">
                  <a14:compatExt spid="_x0000_s12775"/>
                </a:ext>
                <a:ext uri="{FF2B5EF4-FFF2-40B4-BE49-F238E27FC236}">
                  <a16:creationId xmlns:a16="http://schemas.microsoft.com/office/drawing/2014/main" id="{00000000-0008-0000-0700-0000E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109</xdr:row>
          <xdr:rowOff>0</xdr:rowOff>
        </xdr:from>
        <xdr:to>
          <xdr:col>2</xdr:col>
          <xdr:colOff>0</xdr:colOff>
          <xdr:row>110</xdr:row>
          <xdr:rowOff>22860</xdr:rowOff>
        </xdr:to>
        <xdr:sp macro="" textlink="">
          <xdr:nvSpPr>
            <xdr:cNvPr id="12781" name="Check Box 493" hidden="1">
              <a:extLst>
                <a:ext uri="{63B3BB69-23CF-44E3-9099-C40C66FF867C}">
                  <a14:compatExt spid="_x0000_s12781"/>
                </a:ext>
                <a:ext uri="{FF2B5EF4-FFF2-40B4-BE49-F238E27FC236}">
                  <a16:creationId xmlns:a16="http://schemas.microsoft.com/office/drawing/2014/main" id="{00000000-0008-0000-0700-0000E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0</xdr:colOff>
          <xdr:row>74</xdr:row>
          <xdr:rowOff>0</xdr:rowOff>
        </xdr:to>
        <xdr:sp macro="" textlink="">
          <xdr:nvSpPr>
            <xdr:cNvPr id="12824" name="Check Box 536" hidden="1">
              <a:extLst>
                <a:ext uri="{63B3BB69-23CF-44E3-9099-C40C66FF867C}">
                  <a14:compatExt spid="_x0000_s12824"/>
                </a:ext>
                <a:ext uri="{FF2B5EF4-FFF2-40B4-BE49-F238E27FC236}">
                  <a16:creationId xmlns:a16="http://schemas.microsoft.com/office/drawing/2014/main" id="{00000000-0008-0000-0700-00001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49</xdr:row>
          <xdr:rowOff>228600</xdr:rowOff>
        </xdr:to>
        <xdr:sp macro="" textlink="">
          <xdr:nvSpPr>
            <xdr:cNvPr id="12835" name="Kontrollkästchen 5" hidden="1">
              <a:extLst>
                <a:ext uri="{63B3BB69-23CF-44E3-9099-C40C66FF867C}">
                  <a14:compatExt spid="_x0000_s12835"/>
                </a:ext>
                <a:ext uri="{FF2B5EF4-FFF2-40B4-BE49-F238E27FC236}">
                  <a16:creationId xmlns:a16="http://schemas.microsoft.com/office/drawing/2014/main" id="{00000000-0008-0000-0700-00002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44</xdr:row>
          <xdr:rowOff>0</xdr:rowOff>
        </xdr:to>
        <xdr:sp macro="" textlink="">
          <xdr:nvSpPr>
            <xdr:cNvPr id="12836" name="Kontrollkästchen 5" hidden="1">
              <a:extLst>
                <a:ext uri="{63B3BB69-23CF-44E3-9099-C40C66FF867C}">
                  <a14:compatExt spid="_x0000_s12836"/>
                </a:ext>
                <a:ext uri="{FF2B5EF4-FFF2-40B4-BE49-F238E27FC236}">
                  <a16:creationId xmlns:a16="http://schemas.microsoft.com/office/drawing/2014/main" id="{00000000-0008-0000-0700-00002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0</xdr:colOff>
          <xdr:row>55</xdr:row>
          <xdr:rowOff>22860</xdr:rowOff>
        </xdr:to>
        <xdr:sp macro="" textlink="">
          <xdr:nvSpPr>
            <xdr:cNvPr id="12837" name="Check Box 549" hidden="1">
              <a:extLst>
                <a:ext uri="{63B3BB69-23CF-44E3-9099-C40C66FF867C}">
                  <a14:compatExt spid="_x0000_s12837"/>
                </a:ext>
                <a:ext uri="{FF2B5EF4-FFF2-40B4-BE49-F238E27FC236}">
                  <a16:creationId xmlns:a16="http://schemas.microsoft.com/office/drawing/2014/main" id="{00000000-0008-0000-0700-00002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0</xdr:colOff>
          <xdr:row>68</xdr:row>
          <xdr:rowOff>0</xdr:rowOff>
        </xdr:to>
        <xdr:sp macro="" textlink="">
          <xdr:nvSpPr>
            <xdr:cNvPr id="12853" name="Check Box 565" hidden="1">
              <a:extLst>
                <a:ext uri="{63B3BB69-23CF-44E3-9099-C40C66FF867C}">
                  <a14:compatExt spid="_x0000_s12853"/>
                </a:ext>
                <a:ext uri="{FF2B5EF4-FFF2-40B4-BE49-F238E27FC236}">
                  <a16:creationId xmlns:a16="http://schemas.microsoft.com/office/drawing/2014/main" id="{00000000-0008-0000-0700-00003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0</xdr:colOff>
          <xdr:row>76</xdr:row>
          <xdr:rowOff>0</xdr:rowOff>
        </xdr:to>
        <xdr:sp macro="" textlink="">
          <xdr:nvSpPr>
            <xdr:cNvPr id="12858" name="Check Box 570" hidden="1">
              <a:extLst>
                <a:ext uri="{63B3BB69-23CF-44E3-9099-C40C66FF867C}">
                  <a14:compatExt spid="_x0000_s12858"/>
                </a:ext>
                <a:ext uri="{FF2B5EF4-FFF2-40B4-BE49-F238E27FC236}">
                  <a16:creationId xmlns:a16="http://schemas.microsoft.com/office/drawing/2014/main" id="{00000000-0008-0000-0700-00003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12903" name="Check Box 615" hidden="1">
              <a:extLst>
                <a:ext uri="{63B3BB69-23CF-44E3-9099-C40C66FF867C}">
                  <a14:compatExt spid="_x0000_s12903"/>
                </a:ext>
                <a:ext uri="{FF2B5EF4-FFF2-40B4-BE49-F238E27FC236}">
                  <a16:creationId xmlns:a16="http://schemas.microsoft.com/office/drawing/2014/main" id="{00000000-0008-0000-0700-00006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12904" name="Check Box 616" hidden="1">
              <a:extLst>
                <a:ext uri="{63B3BB69-23CF-44E3-9099-C40C66FF867C}">
                  <a14:compatExt spid="_x0000_s12904"/>
                </a:ext>
                <a:ext uri="{FF2B5EF4-FFF2-40B4-BE49-F238E27FC236}">
                  <a16:creationId xmlns:a16="http://schemas.microsoft.com/office/drawing/2014/main" id="{00000000-0008-0000-0700-00006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155</xdr:row>
          <xdr:rowOff>0</xdr:rowOff>
        </xdr:from>
        <xdr:to>
          <xdr:col>2</xdr:col>
          <xdr:colOff>0</xdr:colOff>
          <xdr:row>155</xdr:row>
          <xdr:rowOff>213360</xdr:rowOff>
        </xdr:to>
        <xdr:sp macro="" textlink="">
          <xdr:nvSpPr>
            <xdr:cNvPr id="12918" name="Check Box 630" hidden="1">
              <a:extLst>
                <a:ext uri="{63B3BB69-23CF-44E3-9099-C40C66FF867C}">
                  <a14:compatExt spid="_x0000_s12918"/>
                </a:ext>
                <a:ext uri="{FF2B5EF4-FFF2-40B4-BE49-F238E27FC236}">
                  <a16:creationId xmlns:a16="http://schemas.microsoft.com/office/drawing/2014/main" id="{00000000-0008-0000-0700-00007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157</xdr:row>
          <xdr:rowOff>0</xdr:rowOff>
        </xdr:from>
        <xdr:to>
          <xdr:col>2</xdr:col>
          <xdr:colOff>0</xdr:colOff>
          <xdr:row>158</xdr:row>
          <xdr:rowOff>0</xdr:rowOff>
        </xdr:to>
        <xdr:sp macro="" textlink="">
          <xdr:nvSpPr>
            <xdr:cNvPr id="12919" name="Check Box 631" hidden="1">
              <a:extLst>
                <a:ext uri="{63B3BB69-23CF-44E3-9099-C40C66FF867C}">
                  <a14:compatExt spid="_x0000_s12919"/>
                </a:ext>
                <a:ext uri="{FF2B5EF4-FFF2-40B4-BE49-F238E27FC236}">
                  <a16:creationId xmlns:a16="http://schemas.microsoft.com/office/drawing/2014/main" id="{00000000-0008-0000-0700-00007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159</xdr:row>
          <xdr:rowOff>0</xdr:rowOff>
        </xdr:from>
        <xdr:to>
          <xdr:col>2</xdr:col>
          <xdr:colOff>0</xdr:colOff>
          <xdr:row>160</xdr:row>
          <xdr:rowOff>0</xdr:rowOff>
        </xdr:to>
        <xdr:sp macro="" textlink="">
          <xdr:nvSpPr>
            <xdr:cNvPr id="12920" name="Check Box 632" hidden="1">
              <a:extLst>
                <a:ext uri="{63B3BB69-23CF-44E3-9099-C40C66FF867C}">
                  <a14:compatExt spid="_x0000_s12920"/>
                </a:ext>
                <a:ext uri="{FF2B5EF4-FFF2-40B4-BE49-F238E27FC236}">
                  <a16:creationId xmlns:a16="http://schemas.microsoft.com/office/drawing/2014/main" id="{00000000-0008-0000-0700-00007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171</xdr:row>
          <xdr:rowOff>0</xdr:rowOff>
        </xdr:from>
        <xdr:to>
          <xdr:col>2</xdr:col>
          <xdr:colOff>22860</xdr:colOff>
          <xdr:row>172</xdr:row>
          <xdr:rowOff>0</xdr:rowOff>
        </xdr:to>
        <xdr:sp macro="" textlink="">
          <xdr:nvSpPr>
            <xdr:cNvPr id="12922" name="Check Box 634" descr="3 Fahrstreifen" hidden="1">
              <a:extLst>
                <a:ext uri="{63B3BB69-23CF-44E3-9099-C40C66FF867C}">
                  <a14:compatExt spid="_x0000_s12922"/>
                </a:ext>
                <a:ext uri="{FF2B5EF4-FFF2-40B4-BE49-F238E27FC236}">
                  <a16:creationId xmlns:a16="http://schemas.microsoft.com/office/drawing/2014/main" id="{00000000-0008-0000-0700-00007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177</xdr:row>
          <xdr:rowOff>0</xdr:rowOff>
        </xdr:from>
        <xdr:to>
          <xdr:col>2</xdr:col>
          <xdr:colOff>0</xdr:colOff>
          <xdr:row>178</xdr:row>
          <xdr:rowOff>0</xdr:rowOff>
        </xdr:to>
        <xdr:sp macro="" textlink="">
          <xdr:nvSpPr>
            <xdr:cNvPr id="12923" name="Check Box 635" descr="3 Fahrstreifen" hidden="1">
              <a:extLst>
                <a:ext uri="{63B3BB69-23CF-44E3-9099-C40C66FF867C}">
                  <a14:compatExt spid="_x0000_s12923"/>
                </a:ext>
                <a:ext uri="{FF2B5EF4-FFF2-40B4-BE49-F238E27FC236}">
                  <a16:creationId xmlns:a16="http://schemas.microsoft.com/office/drawing/2014/main" id="{00000000-0008-0000-0700-00007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179</xdr:row>
          <xdr:rowOff>0</xdr:rowOff>
        </xdr:from>
        <xdr:to>
          <xdr:col>2</xdr:col>
          <xdr:colOff>0</xdr:colOff>
          <xdr:row>180</xdr:row>
          <xdr:rowOff>0</xdr:rowOff>
        </xdr:to>
        <xdr:sp macro="" textlink="">
          <xdr:nvSpPr>
            <xdr:cNvPr id="12924" name="Check Box 636" descr="3 Fahrstreifen" hidden="1">
              <a:extLst>
                <a:ext uri="{63B3BB69-23CF-44E3-9099-C40C66FF867C}">
                  <a14:compatExt spid="_x0000_s12924"/>
                </a:ext>
                <a:ext uri="{FF2B5EF4-FFF2-40B4-BE49-F238E27FC236}">
                  <a16:creationId xmlns:a16="http://schemas.microsoft.com/office/drawing/2014/main" id="{00000000-0008-0000-0700-00007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181</xdr:row>
          <xdr:rowOff>0</xdr:rowOff>
        </xdr:from>
        <xdr:to>
          <xdr:col>2</xdr:col>
          <xdr:colOff>0</xdr:colOff>
          <xdr:row>182</xdr:row>
          <xdr:rowOff>0</xdr:rowOff>
        </xdr:to>
        <xdr:sp macro="" textlink="">
          <xdr:nvSpPr>
            <xdr:cNvPr id="12925" name="Check Box 637" descr="3 Fahrstreifen" hidden="1">
              <a:extLst>
                <a:ext uri="{63B3BB69-23CF-44E3-9099-C40C66FF867C}">
                  <a14:compatExt spid="_x0000_s12925"/>
                </a:ext>
                <a:ext uri="{FF2B5EF4-FFF2-40B4-BE49-F238E27FC236}">
                  <a16:creationId xmlns:a16="http://schemas.microsoft.com/office/drawing/2014/main" id="{00000000-0008-0000-0700-00007D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44</xdr:row>
          <xdr:rowOff>0</xdr:rowOff>
        </xdr:to>
        <xdr:sp macro="" textlink="">
          <xdr:nvSpPr>
            <xdr:cNvPr id="12926" name="Kontrollkästchen 2" hidden="1">
              <a:extLst>
                <a:ext uri="{63B3BB69-23CF-44E3-9099-C40C66FF867C}">
                  <a14:compatExt spid="_x0000_s12926"/>
                </a:ext>
                <a:ext uri="{FF2B5EF4-FFF2-40B4-BE49-F238E27FC236}">
                  <a16:creationId xmlns:a16="http://schemas.microsoft.com/office/drawing/2014/main" id="{00000000-0008-0000-0700-00007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49</xdr:row>
          <xdr:rowOff>228600</xdr:rowOff>
        </xdr:to>
        <xdr:sp macro="" textlink="">
          <xdr:nvSpPr>
            <xdr:cNvPr id="12927" name="Check Box 639" hidden="1">
              <a:extLst>
                <a:ext uri="{63B3BB69-23CF-44E3-9099-C40C66FF867C}">
                  <a14:compatExt spid="_x0000_s12927"/>
                </a:ext>
                <a:ext uri="{FF2B5EF4-FFF2-40B4-BE49-F238E27FC236}">
                  <a16:creationId xmlns:a16="http://schemas.microsoft.com/office/drawing/2014/main" id="{00000000-0008-0000-0700-00007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49</xdr:row>
          <xdr:rowOff>228600</xdr:rowOff>
        </xdr:to>
        <xdr:sp macro="" textlink="">
          <xdr:nvSpPr>
            <xdr:cNvPr id="12928" name="Kontrollkästchen 2" hidden="1">
              <a:extLst>
                <a:ext uri="{63B3BB69-23CF-44E3-9099-C40C66FF867C}">
                  <a14:compatExt spid="_x0000_s12928"/>
                </a:ext>
                <a:ext uri="{FF2B5EF4-FFF2-40B4-BE49-F238E27FC236}">
                  <a16:creationId xmlns:a16="http://schemas.microsoft.com/office/drawing/2014/main" id="{00000000-0008-0000-0700-00008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0</xdr:colOff>
          <xdr:row>63</xdr:row>
          <xdr:rowOff>0</xdr:rowOff>
        </xdr:to>
        <xdr:sp macro="" textlink="">
          <xdr:nvSpPr>
            <xdr:cNvPr id="12932" name="Check Box 644" hidden="1">
              <a:extLst>
                <a:ext uri="{63B3BB69-23CF-44E3-9099-C40C66FF867C}">
                  <a14:compatExt spid="_x0000_s12932"/>
                </a:ext>
                <a:ext uri="{FF2B5EF4-FFF2-40B4-BE49-F238E27FC236}">
                  <a16:creationId xmlns:a16="http://schemas.microsoft.com/office/drawing/2014/main" id="{00000000-0008-0000-0700-00008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0</xdr:colOff>
          <xdr:row>63</xdr:row>
          <xdr:rowOff>0</xdr:rowOff>
        </xdr:to>
        <xdr:sp macro="" textlink="">
          <xdr:nvSpPr>
            <xdr:cNvPr id="12933" name="Check Box 645" hidden="1">
              <a:extLst>
                <a:ext uri="{63B3BB69-23CF-44E3-9099-C40C66FF867C}">
                  <a14:compatExt spid="_x0000_s12933"/>
                </a:ext>
                <a:ext uri="{FF2B5EF4-FFF2-40B4-BE49-F238E27FC236}">
                  <a16:creationId xmlns:a16="http://schemas.microsoft.com/office/drawing/2014/main" id="{00000000-0008-0000-0700-00008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12954" name="Check Box 666" hidden="1">
              <a:extLst>
                <a:ext uri="{63B3BB69-23CF-44E3-9099-C40C66FF867C}">
                  <a14:compatExt spid="_x0000_s12954"/>
                </a:ext>
                <a:ext uri="{FF2B5EF4-FFF2-40B4-BE49-F238E27FC236}">
                  <a16:creationId xmlns:a16="http://schemas.microsoft.com/office/drawing/2014/main" id="{00000000-0008-0000-0700-00009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12955" name="Check Box 667" hidden="1">
              <a:extLst>
                <a:ext uri="{63B3BB69-23CF-44E3-9099-C40C66FF867C}">
                  <a14:compatExt spid="_x0000_s12955"/>
                </a:ext>
                <a:ext uri="{FF2B5EF4-FFF2-40B4-BE49-F238E27FC236}">
                  <a16:creationId xmlns:a16="http://schemas.microsoft.com/office/drawing/2014/main" id="{00000000-0008-0000-0700-00009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0</xdr:rowOff>
        </xdr:to>
        <xdr:sp macro="" textlink="">
          <xdr:nvSpPr>
            <xdr:cNvPr id="12956" name="Check Box 668" hidden="1">
              <a:extLst>
                <a:ext uri="{63B3BB69-23CF-44E3-9099-C40C66FF867C}">
                  <a14:compatExt spid="_x0000_s12956"/>
                </a:ext>
                <a:ext uri="{FF2B5EF4-FFF2-40B4-BE49-F238E27FC236}">
                  <a16:creationId xmlns:a16="http://schemas.microsoft.com/office/drawing/2014/main" id="{00000000-0008-0000-0700-00009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155</xdr:row>
          <xdr:rowOff>0</xdr:rowOff>
        </xdr:from>
        <xdr:to>
          <xdr:col>2</xdr:col>
          <xdr:colOff>0</xdr:colOff>
          <xdr:row>155</xdr:row>
          <xdr:rowOff>213360</xdr:rowOff>
        </xdr:to>
        <xdr:sp macro="" textlink="">
          <xdr:nvSpPr>
            <xdr:cNvPr id="12990" name="Check Box 702" hidden="1">
              <a:extLst>
                <a:ext uri="{63B3BB69-23CF-44E3-9099-C40C66FF867C}">
                  <a14:compatExt spid="_x0000_s12990"/>
                </a:ext>
                <a:ext uri="{FF2B5EF4-FFF2-40B4-BE49-F238E27FC236}">
                  <a16:creationId xmlns:a16="http://schemas.microsoft.com/office/drawing/2014/main" id="{00000000-0008-0000-0700-0000B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177</xdr:row>
          <xdr:rowOff>0</xdr:rowOff>
        </xdr:from>
        <xdr:to>
          <xdr:col>2</xdr:col>
          <xdr:colOff>0</xdr:colOff>
          <xdr:row>178</xdr:row>
          <xdr:rowOff>0</xdr:rowOff>
        </xdr:to>
        <xdr:sp macro="" textlink="">
          <xdr:nvSpPr>
            <xdr:cNvPr id="12994" name="Check Box 706" descr="3 Fahrstreifen" hidden="1">
              <a:extLst>
                <a:ext uri="{63B3BB69-23CF-44E3-9099-C40C66FF867C}">
                  <a14:compatExt spid="_x0000_s12994"/>
                </a:ext>
                <a:ext uri="{FF2B5EF4-FFF2-40B4-BE49-F238E27FC236}">
                  <a16:creationId xmlns:a16="http://schemas.microsoft.com/office/drawing/2014/main" id="{00000000-0008-0000-0700-0000C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179</xdr:row>
          <xdr:rowOff>0</xdr:rowOff>
        </xdr:from>
        <xdr:to>
          <xdr:col>2</xdr:col>
          <xdr:colOff>0</xdr:colOff>
          <xdr:row>180</xdr:row>
          <xdr:rowOff>0</xdr:rowOff>
        </xdr:to>
        <xdr:sp macro="" textlink="">
          <xdr:nvSpPr>
            <xdr:cNvPr id="12995" name="Check Box 707" descr="3 Fahrstreifen" hidden="1">
              <a:extLst>
                <a:ext uri="{63B3BB69-23CF-44E3-9099-C40C66FF867C}">
                  <a14:compatExt spid="_x0000_s12995"/>
                </a:ext>
                <a:ext uri="{FF2B5EF4-FFF2-40B4-BE49-F238E27FC236}">
                  <a16:creationId xmlns:a16="http://schemas.microsoft.com/office/drawing/2014/main" id="{00000000-0008-0000-0700-0000C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179</xdr:row>
          <xdr:rowOff>0</xdr:rowOff>
        </xdr:from>
        <xdr:to>
          <xdr:col>2</xdr:col>
          <xdr:colOff>0</xdr:colOff>
          <xdr:row>180</xdr:row>
          <xdr:rowOff>0</xdr:rowOff>
        </xdr:to>
        <xdr:sp macro="" textlink="">
          <xdr:nvSpPr>
            <xdr:cNvPr id="12996" name="Check Box 708" descr="3 Fahrstreifen" hidden="1">
              <a:extLst>
                <a:ext uri="{63B3BB69-23CF-44E3-9099-C40C66FF867C}">
                  <a14:compatExt spid="_x0000_s12996"/>
                </a:ext>
                <a:ext uri="{FF2B5EF4-FFF2-40B4-BE49-F238E27FC236}">
                  <a16:creationId xmlns:a16="http://schemas.microsoft.com/office/drawing/2014/main" id="{00000000-0008-0000-0700-0000C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167</xdr:row>
          <xdr:rowOff>0</xdr:rowOff>
        </xdr:from>
        <xdr:to>
          <xdr:col>2</xdr:col>
          <xdr:colOff>0</xdr:colOff>
          <xdr:row>168</xdr:row>
          <xdr:rowOff>0</xdr:rowOff>
        </xdr:to>
        <xdr:sp macro="" textlink="">
          <xdr:nvSpPr>
            <xdr:cNvPr id="13000" name="Check Box 712" descr="3 Fahrstreifen" hidden="1">
              <a:extLst>
                <a:ext uri="{63B3BB69-23CF-44E3-9099-C40C66FF867C}">
                  <a14:compatExt spid="_x0000_s13000"/>
                </a:ext>
                <a:ext uri="{FF2B5EF4-FFF2-40B4-BE49-F238E27FC236}">
                  <a16:creationId xmlns:a16="http://schemas.microsoft.com/office/drawing/2014/main" id="{00000000-0008-0000-0700-0000C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0</xdr:colOff>
          <xdr:row>57</xdr:row>
          <xdr:rowOff>0</xdr:rowOff>
        </xdr:to>
        <xdr:sp macro="" textlink="">
          <xdr:nvSpPr>
            <xdr:cNvPr id="13007" name="Check Box 719" hidden="1">
              <a:extLst>
                <a:ext uri="{63B3BB69-23CF-44E3-9099-C40C66FF867C}">
                  <a14:compatExt spid="_x0000_s13007"/>
                </a:ext>
                <a:ext uri="{FF2B5EF4-FFF2-40B4-BE49-F238E27FC236}">
                  <a16:creationId xmlns:a16="http://schemas.microsoft.com/office/drawing/2014/main" id="{00000000-0008-0000-0700-0000C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0</xdr:colOff>
          <xdr:row>72</xdr:row>
          <xdr:rowOff>0</xdr:rowOff>
        </xdr:to>
        <xdr:sp macro="" textlink="">
          <xdr:nvSpPr>
            <xdr:cNvPr id="13012" name="Check Box 724" hidden="1">
              <a:extLst>
                <a:ext uri="{63B3BB69-23CF-44E3-9099-C40C66FF867C}">
                  <a14:compatExt spid="_x0000_s13012"/>
                </a:ext>
                <a:ext uri="{FF2B5EF4-FFF2-40B4-BE49-F238E27FC236}">
                  <a16:creationId xmlns:a16="http://schemas.microsoft.com/office/drawing/2014/main" id="{00000000-0008-0000-0700-0000D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70</xdr:row>
          <xdr:rowOff>0</xdr:rowOff>
        </xdr:to>
        <xdr:sp macro="" textlink="">
          <xdr:nvSpPr>
            <xdr:cNvPr id="13013" name="Check Box 725" hidden="1">
              <a:extLst>
                <a:ext uri="{63B3BB69-23CF-44E3-9099-C40C66FF867C}">
                  <a14:compatExt spid="_x0000_s13013"/>
                </a:ext>
                <a:ext uri="{FF2B5EF4-FFF2-40B4-BE49-F238E27FC236}">
                  <a16:creationId xmlns:a16="http://schemas.microsoft.com/office/drawing/2014/main" id="{00000000-0008-0000-0700-0000D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0</xdr:colOff>
          <xdr:row>97</xdr:row>
          <xdr:rowOff>0</xdr:rowOff>
        </xdr:to>
        <xdr:sp macro="" textlink="">
          <xdr:nvSpPr>
            <xdr:cNvPr id="13014" name="Check Box 726" hidden="1">
              <a:extLst>
                <a:ext uri="{63B3BB69-23CF-44E3-9099-C40C66FF867C}">
                  <a14:compatExt spid="_x0000_s13014"/>
                </a:ext>
                <a:ext uri="{FF2B5EF4-FFF2-40B4-BE49-F238E27FC236}">
                  <a16:creationId xmlns:a16="http://schemas.microsoft.com/office/drawing/2014/main" id="{00000000-0008-0000-0700-0000D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13015" name="Check Box 727" hidden="1">
              <a:extLst>
                <a:ext uri="{63B3BB69-23CF-44E3-9099-C40C66FF867C}">
                  <a14:compatExt spid="_x0000_s13015"/>
                </a:ext>
                <a:ext uri="{FF2B5EF4-FFF2-40B4-BE49-F238E27FC236}">
                  <a16:creationId xmlns:a16="http://schemas.microsoft.com/office/drawing/2014/main" id="{00000000-0008-0000-0700-0000D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13016" name="Check Box 728" hidden="1">
              <a:extLst>
                <a:ext uri="{63B3BB69-23CF-44E3-9099-C40C66FF867C}">
                  <a14:compatExt spid="_x0000_s13016"/>
                </a:ext>
                <a:ext uri="{FF2B5EF4-FFF2-40B4-BE49-F238E27FC236}">
                  <a16:creationId xmlns:a16="http://schemas.microsoft.com/office/drawing/2014/main" id="{00000000-0008-0000-0700-0000D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13017" name="Check Box 729" hidden="1">
              <a:extLst>
                <a:ext uri="{63B3BB69-23CF-44E3-9099-C40C66FF867C}">
                  <a14:compatExt spid="_x0000_s13017"/>
                </a:ext>
                <a:ext uri="{FF2B5EF4-FFF2-40B4-BE49-F238E27FC236}">
                  <a16:creationId xmlns:a16="http://schemas.microsoft.com/office/drawing/2014/main" id="{00000000-0008-0000-0700-0000D9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13018" name="Check Box 730" hidden="1">
              <a:extLst>
                <a:ext uri="{63B3BB69-23CF-44E3-9099-C40C66FF867C}">
                  <a14:compatExt spid="_x0000_s13018"/>
                </a:ext>
                <a:ext uri="{FF2B5EF4-FFF2-40B4-BE49-F238E27FC236}">
                  <a16:creationId xmlns:a16="http://schemas.microsoft.com/office/drawing/2014/main" id="{00000000-0008-0000-0700-0000D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0</xdr:rowOff>
        </xdr:to>
        <xdr:sp macro="" textlink="">
          <xdr:nvSpPr>
            <xdr:cNvPr id="13019" name="Check Box 731" hidden="1">
              <a:extLst>
                <a:ext uri="{63B3BB69-23CF-44E3-9099-C40C66FF867C}">
                  <a14:compatExt spid="_x0000_s13019"/>
                </a:ext>
                <a:ext uri="{FF2B5EF4-FFF2-40B4-BE49-F238E27FC236}">
                  <a16:creationId xmlns:a16="http://schemas.microsoft.com/office/drawing/2014/main" id="{00000000-0008-0000-0700-0000D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93</xdr:row>
          <xdr:rowOff>0</xdr:rowOff>
        </xdr:to>
        <xdr:sp macro="" textlink="">
          <xdr:nvSpPr>
            <xdr:cNvPr id="13020" name="Check Box 732" hidden="1">
              <a:extLst>
                <a:ext uri="{63B3BB69-23CF-44E3-9099-C40C66FF867C}">
                  <a14:compatExt spid="_x0000_s13020"/>
                </a:ext>
                <a:ext uri="{FF2B5EF4-FFF2-40B4-BE49-F238E27FC236}">
                  <a16:creationId xmlns:a16="http://schemas.microsoft.com/office/drawing/2014/main" id="{00000000-0008-0000-0700-0000D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93</xdr:row>
          <xdr:rowOff>0</xdr:rowOff>
        </xdr:to>
        <xdr:sp macro="" textlink="">
          <xdr:nvSpPr>
            <xdr:cNvPr id="13021" name="Check Box 733" hidden="1">
              <a:extLst>
                <a:ext uri="{63B3BB69-23CF-44E3-9099-C40C66FF867C}">
                  <a14:compatExt spid="_x0000_s13021"/>
                </a:ext>
                <a:ext uri="{FF2B5EF4-FFF2-40B4-BE49-F238E27FC236}">
                  <a16:creationId xmlns:a16="http://schemas.microsoft.com/office/drawing/2014/main" id="{00000000-0008-0000-0700-0000DD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93</xdr:row>
          <xdr:rowOff>0</xdr:rowOff>
        </xdr:to>
        <xdr:sp macro="" textlink="">
          <xdr:nvSpPr>
            <xdr:cNvPr id="13022" name="Check Box 734" hidden="1">
              <a:extLst>
                <a:ext uri="{63B3BB69-23CF-44E3-9099-C40C66FF867C}">
                  <a14:compatExt spid="_x0000_s13022"/>
                </a:ext>
                <a:ext uri="{FF2B5EF4-FFF2-40B4-BE49-F238E27FC236}">
                  <a16:creationId xmlns:a16="http://schemas.microsoft.com/office/drawing/2014/main" id="{00000000-0008-0000-0700-0000D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93</xdr:row>
          <xdr:rowOff>0</xdr:rowOff>
        </xdr:to>
        <xdr:sp macro="" textlink="">
          <xdr:nvSpPr>
            <xdr:cNvPr id="13023" name="Check Box 735" hidden="1">
              <a:extLst>
                <a:ext uri="{63B3BB69-23CF-44E3-9099-C40C66FF867C}">
                  <a14:compatExt spid="_x0000_s13023"/>
                </a:ext>
                <a:ext uri="{FF2B5EF4-FFF2-40B4-BE49-F238E27FC236}">
                  <a16:creationId xmlns:a16="http://schemas.microsoft.com/office/drawing/2014/main" id="{00000000-0008-0000-0700-0000D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93</xdr:row>
          <xdr:rowOff>0</xdr:rowOff>
        </xdr:to>
        <xdr:sp macro="" textlink="">
          <xdr:nvSpPr>
            <xdr:cNvPr id="13024" name="Check Box 736" hidden="1">
              <a:extLst>
                <a:ext uri="{63B3BB69-23CF-44E3-9099-C40C66FF867C}">
                  <a14:compatExt spid="_x0000_s13024"/>
                </a:ext>
                <a:ext uri="{FF2B5EF4-FFF2-40B4-BE49-F238E27FC236}">
                  <a16:creationId xmlns:a16="http://schemas.microsoft.com/office/drawing/2014/main" id="{00000000-0008-0000-0700-0000E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0</xdr:colOff>
          <xdr:row>91</xdr:row>
          <xdr:rowOff>0</xdr:rowOff>
        </xdr:to>
        <xdr:sp macro="" textlink="">
          <xdr:nvSpPr>
            <xdr:cNvPr id="13025" name="Check Box 737" hidden="1">
              <a:extLst>
                <a:ext uri="{63B3BB69-23CF-44E3-9099-C40C66FF867C}">
                  <a14:compatExt spid="_x0000_s13025"/>
                </a:ext>
                <a:ext uri="{FF2B5EF4-FFF2-40B4-BE49-F238E27FC236}">
                  <a16:creationId xmlns:a16="http://schemas.microsoft.com/office/drawing/2014/main" id="{00000000-0008-0000-0700-0000E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0</xdr:colOff>
          <xdr:row>89</xdr:row>
          <xdr:rowOff>0</xdr:rowOff>
        </xdr:to>
        <xdr:sp macro="" textlink="">
          <xdr:nvSpPr>
            <xdr:cNvPr id="13026" name="Check Box 738" hidden="1">
              <a:extLst>
                <a:ext uri="{63B3BB69-23CF-44E3-9099-C40C66FF867C}">
                  <a14:compatExt spid="_x0000_s13026"/>
                </a:ext>
                <a:ext uri="{FF2B5EF4-FFF2-40B4-BE49-F238E27FC236}">
                  <a16:creationId xmlns:a16="http://schemas.microsoft.com/office/drawing/2014/main" id="{00000000-0008-0000-0700-0000E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0</xdr:colOff>
          <xdr:row>89</xdr:row>
          <xdr:rowOff>0</xdr:rowOff>
        </xdr:to>
        <xdr:sp macro="" textlink="">
          <xdr:nvSpPr>
            <xdr:cNvPr id="13027" name="Check Box 739" hidden="1">
              <a:extLst>
                <a:ext uri="{63B3BB69-23CF-44E3-9099-C40C66FF867C}">
                  <a14:compatExt spid="_x0000_s13027"/>
                </a:ext>
                <a:ext uri="{FF2B5EF4-FFF2-40B4-BE49-F238E27FC236}">
                  <a16:creationId xmlns:a16="http://schemas.microsoft.com/office/drawing/2014/main" id="{00000000-0008-0000-0700-0000E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0</xdr:colOff>
          <xdr:row>89</xdr:row>
          <xdr:rowOff>0</xdr:rowOff>
        </xdr:to>
        <xdr:sp macro="" textlink="">
          <xdr:nvSpPr>
            <xdr:cNvPr id="13028" name="Check Box 740" hidden="1">
              <a:extLst>
                <a:ext uri="{63B3BB69-23CF-44E3-9099-C40C66FF867C}">
                  <a14:compatExt spid="_x0000_s13028"/>
                </a:ext>
                <a:ext uri="{FF2B5EF4-FFF2-40B4-BE49-F238E27FC236}">
                  <a16:creationId xmlns:a16="http://schemas.microsoft.com/office/drawing/2014/main" id="{00000000-0008-0000-0700-0000E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0</xdr:colOff>
          <xdr:row>89</xdr:row>
          <xdr:rowOff>0</xdr:rowOff>
        </xdr:to>
        <xdr:sp macro="" textlink="">
          <xdr:nvSpPr>
            <xdr:cNvPr id="13029" name="Check Box 741" hidden="1">
              <a:extLst>
                <a:ext uri="{63B3BB69-23CF-44E3-9099-C40C66FF867C}">
                  <a14:compatExt spid="_x0000_s13029"/>
                </a:ext>
                <a:ext uri="{FF2B5EF4-FFF2-40B4-BE49-F238E27FC236}">
                  <a16:creationId xmlns:a16="http://schemas.microsoft.com/office/drawing/2014/main" id="{00000000-0008-0000-0700-0000E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0</xdr:colOff>
          <xdr:row>89</xdr:row>
          <xdr:rowOff>0</xdr:rowOff>
        </xdr:to>
        <xdr:sp macro="" textlink="">
          <xdr:nvSpPr>
            <xdr:cNvPr id="13030" name="Check Box 742" hidden="1">
              <a:extLst>
                <a:ext uri="{63B3BB69-23CF-44E3-9099-C40C66FF867C}">
                  <a14:compatExt spid="_x0000_s13030"/>
                </a:ext>
                <a:ext uri="{FF2B5EF4-FFF2-40B4-BE49-F238E27FC236}">
                  <a16:creationId xmlns:a16="http://schemas.microsoft.com/office/drawing/2014/main" id="{00000000-0008-0000-0700-0000E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0</xdr:colOff>
          <xdr:row>87</xdr:row>
          <xdr:rowOff>0</xdr:rowOff>
        </xdr:to>
        <xdr:sp macro="" textlink="">
          <xdr:nvSpPr>
            <xdr:cNvPr id="13031" name="Check Box 743" hidden="1">
              <a:extLst>
                <a:ext uri="{63B3BB69-23CF-44E3-9099-C40C66FF867C}">
                  <a14:compatExt spid="_x0000_s13031"/>
                </a:ext>
                <a:ext uri="{FF2B5EF4-FFF2-40B4-BE49-F238E27FC236}">
                  <a16:creationId xmlns:a16="http://schemas.microsoft.com/office/drawing/2014/main" id="{00000000-0008-0000-0700-0000E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0</xdr:colOff>
          <xdr:row>87</xdr:row>
          <xdr:rowOff>0</xdr:rowOff>
        </xdr:to>
        <xdr:sp macro="" textlink="">
          <xdr:nvSpPr>
            <xdr:cNvPr id="13032" name="Check Box 744" hidden="1">
              <a:extLst>
                <a:ext uri="{63B3BB69-23CF-44E3-9099-C40C66FF867C}">
                  <a14:compatExt spid="_x0000_s13032"/>
                </a:ext>
                <a:ext uri="{FF2B5EF4-FFF2-40B4-BE49-F238E27FC236}">
                  <a16:creationId xmlns:a16="http://schemas.microsoft.com/office/drawing/2014/main" id="{00000000-0008-0000-0700-0000E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0</xdr:colOff>
          <xdr:row>87</xdr:row>
          <xdr:rowOff>0</xdr:rowOff>
        </xdr:to>
        <xdr:sp macro="" textlink="">
          <xdr:nvSpPr>
            <xdr:cNvPr id="13033" name="Check Box 745" hidden="1">
              <a:extLst>
                <a:ext uri="{63B3BB69-23CF-44E3-9099-C40C66FF867C}">
                  <a14:compatExt spid="_x0000_s13033"/>
                </a:ext>
                <a:ext uri="{FF2B5EF4-FFF2-40B4-BE49-F238E27FC236}">
                  <a16:creationId xmlns:a16="http://schemas.microsoft.com/office/drawing/2014/main" id="{00000000-0008-0000-0700-0000E9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0</xdr:colOff>
          <xdr:row>87</xdr:row>
          <xdr:rowOff>0</xdr:rowOff>
        </xdr:to>
        <xdr:sp macro="" textlink="">
          <xdr:nvSpPr>
            <xdr:cNvPr id="13034" name="Check Box 746" hidden="1">
              <a:extLst>
                <a:ext uri="{63B3BB69-23CF-44E3-9099-C40C66FF867C}">
                  <a14:compatExt spid="_x0000_s13034"/>
                </a:ext>
                <a:ext uri="{FF2B5EF4-FFF2-40B4-BE49-F238E27FC236}">
                  <a16:creationId xmlns:a16="http://schemas.microsoft.com/office/drawing/2014/main" id="{00000000-0008-0000-0700-0000E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0</xdr:colOff>
          <xdr:row>87</xdr:row>
          <xdr:rowOff>0</xdr:rowOff>
        </xdr:to>
        <xdr:sp macro="" textlink="">
          <xdr:nvSpPr>
            <xdr:cNvPr id="13035" name="Check Box 747" hidden="1">
              <a:extLst>
                <a:ext uri="{63B3BB69-23CF-44E3-9099-C40C66FF867C}">
                  <a14:compatExt spid="_x0000_s13035"/>
                </a:ext>
                <a:ext uri="{FF2B5EF4-FFF2-40B4-BE49-F238E27FC236}">
                  <a16:creationId xmlns:a16="http://schemas.microsoft.com/office/drawing/2014/main" id="{00000000-0008-0000-0700-0000E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0</xdr:colOff>
          <xdr:row>85</xdr:row>
          <xdr:rowOff>22860</xdr:rowOff>
        </xdr:to>
        <xdr:sp macro="" textlink="">
          <xdr:nvSpPr>
            <xdr:cNvPr id="13036" name="Check Box 748" hidden="1">
              <a:extLst>
                <a:ext uri="{63B3BB69-23CF-44E3-9099-C40C66FF867C}">
                  <a14:compatExt spid="_x0000_s13036"/>
                </a:ext>
                <a:ext uri="{FF2B5EF4-FFF2-40B4-BE49-F238E27FC236}">
                  <a16:creationId xmlns:a16="http://schemas.microsoft.com/office/drawing/2014/main" id="{00000000-0008-0000-0700-0000E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83</xdr:row>
          <xdr:rowOff>0</xdr:rowOff>
        </xdr:to>
        <xdr:sp macro="" textlink="">
          <xdr:nvSpPr>
            <xdr:cNvPr id="13037" name="Check Box 749" hidden="1">
              <a:extLst>
                <a:ext uri="{63B3BB69-23CF-44E3-9099-C40C66FF867C}">
                  <a14:compatExt spid="_x0000_s13037"/>
                </a:ext>
                <a:ext uri="{FF2B5EF4-FFF2-40B4-BE49-F238E27FC236}">
                  <a16:creationId xmlns:a16="http://schemas.microsoft.com/office/drawing/2014/main" id="{00000000-0008-0000-0700-0000ED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83</xdr:row>
          <xdr:rowOff>0</xdr:rowOff>
        </xdr:to>
        <xdr:sp macro="" textlink="">
          <xdr:nvSpPr>
            <xdr:cNvPr id="13038" name="Check Box 750" hidden="1">
              <a:extLst>
                <a:ext uri="{63B3BB69-23CF-44E3-9099-C40C66FF867C}">
                  <a14:compatExt spid="_x0000_s13038"/>
                </a:ext>
                <a:ext uri="{FF2B5EF4-FFF2-40B4-BE49-F238E27FC236}">
                  <a16:creationId xmlns:a16="http://schemas.microsoft.com/office/drawing/2014/main" id="{00000000-0008-0000-0700-0000E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83</xdr:row>
          <xdr:rowOff>0</xdr:rowOff>
        </xdr:to>
        <xdr:sp macro="" textlink="">
          <xdr:nvSpPr>
            <xdr:cNvPr id="13039" name="Check Box 751" hidden="1">
              <a:extLst>
                <a:ext uri="{63B3BB69-23CF-44E3-9099-C40C66FF867C}">
                  <a14:compatExt spid="_x0000_s13039"/>
                </a:ext>
                <a:ext uri="{FF2B5EF4-FFF2-40B4-BE49-F238E27FC236}">
                  <a16:creationId xmlns:a16="http://schemas.microsoft.com/office/drawing/2014/main" id="{00000000-0008-0000-0700-0000E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83</xdr:row>
          <xdr:rowOff>0</xdr:rowOff>
        </xdr:to>
        <xdr:sp macro="" textlink="">
          <xdr:nvSpPr>
            <xdr:cNvPr id="13040" name="Check Box 752" hidden="1">
              <a:extLst>
                <a:ext uri="{63B3BB69-23CF-44E3-9099-C40C66FF867C}">
                  <a14:compatExt spid="_x0000_s13040"/>
                </a:ext>
                <a:ext uri="{FF2B5EF4-FFF2-40B4-BE49-F238E27FC236}">
                  <a16:creationId xmlns:a16="http://schemas.microsoft.com/office/drawing/2014/main" id="{00000000-0008-0000-0700-0000F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83</xdr:row>
          <xdr:rowOff>0</xdr:rowOff>
        </xdr:to>
        <xdr:sp macro="" textlink="">
          <xdr:nvSpPr>
            <xdr:cNvPr id="13041" name="Check Box 753" hidden="1">
              <a:extLst>
                <a:ext uri="{63B3BB69-23CF-44E3-9099-C40C66FF867C}">
                  <a14:compatExt spid="_x0000_s13041"/>
                </a:ext>
                <a:ext uri="{FF2B5EF4-FFF2-40B4-BE49-F238E27FC236}">
                  <a16:creationId xmlns:a16="http://schemas.microsoft.com/office/drawing/2014/main" id="{00000000-0008-0000-0700-0000F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113</xdr:row>
          <xdr:rowOff>0</xdr:rowOff>
        </xdr:from>
        <xdr:to>
          <xdr:col>2</xdr:col>
          <xdr:colOff>0</xdr:colOff>
          <xdr:row>114</xdr:row>
          <xdr:rowOff>0</xdr:rowOff>
        </xdr:to>
        <xdr:sp macro="" textlink="">
          <xdr:nvSpPr>
            <xdr:cNvPr id="13042" name="Check Box 754" hidden="1">
              <a:extLst>
                <a:ext uri="{63B3BB69-23CF-44E3-9099-C40C66FF867C}">
                  <a14:compatExt spid="_x0000_s13042"/>
                </a:ext>
                <a:ext uri="{FF2B5EF4-FFF2-40B4-BE49-F238E27FC236}">
                  <a16:creationId xmlns:a16="http://schemas.microsoft.com/office/drawing/2014/main" id="{00000000-0008-0000-0700-0000F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111</xdr:row>
          <xdr:rowOff>0</xdr:rowOff>
        </xdr:from>
        <xdr:to>
          <xdr:col>2</xdr:col>
          <xdr:colOff>0</xdr:colOff>
          <xdr:row>112</xdr:row>
          <xdr:rowOff>0</xdr:rowOff>
        </xdr:to>
        <xdr:sp macro="" textlink="">
          <xdr:nvSpPr>
            <xdr:cNvPr id="13043" name="Check Box 755" hidden="1">
              <a:extLst>
                <a:ext uri="{63B3BB69-23CF-44E3-9099-C40C66FF867C}">
                  <a14:compatExt spid="_x0000_s13043"/>
                </a:ext>
                <a:ext uri="{FF2B5EF4-FFF2-40B4-BE49-F238E27FC236}">
                  <a16:creationId xmlns:a16="http://schemas.microsoft.com/office/drawing/2014/main" id="{00000000-0008-0000-0700-0000F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136</xdr:row>
          <xdr:rowOff>0</xdr:rowOff>
        </xdr:from>
        <xdr:to>
          <xdr:col>2</xdr:col>
          <xdr:colOff>0</xdr:colOff>
          <xdr:row>137</xdr:row>
          <xdr:rowOff>0</xdr:rowOff>
        </xdr:to>
        <xdr:sp macro="" textlink="">
          <xdr:nvSpPr>
            <xdr:cNvPr id="13044" name="Check Box 756" hidden="1">
              <a:extLst>
                <a:ext uri="{63B3BB69-23CF-44E3-9099-C40C66FF867C}">
                  <a14:compatExt spid="_x0000_s13044"/>
                </a:ext>
                <a:ext uri="{FF2B5EF4-FFF2-40B4-BE49-F238E27FC236}">
                  <a16:creationId xmlns:a16="http://schemas.microsoft.com/office/drawing/2014/main" id="{00000000-0008-0000-0700-0000F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173</xdr:row>
          <xdr:rowOff>0</xdr:rowOff>
        </xdr:from>
        <xdr:to>
          <xdr:col>2</xdr:col>
          <xdr:colOff>0</xdr:colOff>
          <xdr:row>174</xdr:row>
          <xdr:rowOff>0</xdr:rowOff>
        </xdr:to>
        <xdr:sp macro="" textlink="">
          <xdr:nvSpPr>
            <xdr:cNvPr id="13046" name="Check Box 758" descr="3 Fahrstreifen" hidden="1">
              <a:extLst>
                <a:ext uri="{63B3BB69-23CF-44E3-9099-C40C66FF867C}">
                  <a14:compatExt spid="_x0000_s13046"/>
                </a:ext>
                <a:ext uri="{FF2B5EF4-FFF2-40B4-BE49-F238E27FC236}">
                  <a16:creationId xmlns:a16="http://schemas.microsoft.com/office/drawing/2014/main" id="{00000000-0008-0000-0700-0000F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173</xdr:row>
          <xdr:rowOff>0</xdr:rowOff>
        </xdr:from>
        <xdr:to>
          <xdr:col>2</xdr:col>
          <xdr:colOff>0</xdr:colOff>
          <xdr:row>174</xdr:row>
          <xdr:rowOff>0</xdr:rowOff>
        </xdr:to>
        <xdr:sp macro="" textlink="">
          <xdr:nvSpPr>
            <xdr:cNvPr id="13048" name="Check Box 760" descr="3 Fahrstreifen" hidden="1">
              <a:extLst>
                <a:ext uri="{63B3BB69-23CF-44E3-9099-C40C66FF867C}">
                  <a14:compatExt spid="_x0000_s13048"/>
                </a:ext>
                <a:ext uri="{FF2B5EF4-FFF2-40B4-BE49-F238E27FC236}">
                  <a16:creationId xmlns:a16="http://schemas.microsoft.com/office/drawing/2014/main" id="{00000000-0008-0000-0700-0000F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175</xdr:row>
          <xdr:rowOff>22860</xdr:rowOff>
        </xdr:from>
        <xdr:to>
          <xdr:col>1</xdr:col>
          <xdr:colOff>198120</xdr:colOff>
          <xdr:row>176</xdr:row>
          <xdr:rowOff>0</xdr:rowOff>
        </xdr:to>
        <xdr:sp macro="" textlink="">
          <xdr:nvSpPr>
            <xdr:cNvPr id="13050" name="Check Box 762" descr="3 Fahrstreifen" hidden="1">
              <a:extLst>
                <a:ext uri="{63B3BB69-23CF-44E3-9099-C40C66FF867C}">
                  <a14:compatExt spid="_x0000_s13050"/>
                </a:ext>
                <a:ext uri="{FF2B5EF4-FFF2-40B4-BE49-F238E27FC236}">
                  <a16:creationId xmlns:a16="http://schemas.microsoft.com/office/drawing/2014/main" id="{00000000-0008-0000-0700-0000F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14</xdr:row>
          <xdr:rowOff>0</xdr:rowOff>
        </xdr:to>
        <xdr:sp macro="" textlink="">
          <xdr:nvSpPr>
            <xdr:cNvPr id="13051" name="Check Box 763" hidden="1">
              <a:extLst>
                <a:ext uri="{63B3BB69-23CF-44E3-9099-C40C66FF867C}">
                  <a14:compatExt spid="_x0000_s13051"/>
                </a:ext>
                <a:ext uri="{FF2B5EF4-FFF2-40B4-BE49-F238E27FC236}">
                  <a16:creationId xmlns:a16="http://schemas.microsoft.com/office/drawing/2014/main" id="{00000000-0008-0000-0700-0000F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0</xdr:colOff>
          <xdr:row>58</xdr:row>
          <xdr:rowOff>228600</xdr:rowOff>
        </xdr:to>
        <xdr:sp macro="" textlink="">
          <xdr:nvSpPr>
            <xdr:cNvPr id="13060" name="Check Box 772" hidden="1">
              <a:extLst>
                <a:ext uri="{63B3BB69-23CF-44E3-9099-C40C66FF867C}">
                  <a14:compatExt spid="_x0000_s13060"/>
                </a:ext>
                <a:ext uri="{FF2B5EF4-FFF2-40B4-BE49-F238E27FC236}">
                  <a16:creationId xmlns:a16="http://schemas.microsoft.com/office/drawing/2014/main" id="{00000000-0008-0000-0700-00000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45720</xdr:colOff>
          <xdr:row>16</xdr:row>
          <xdr:rowOff>7620</xdr:rowOff>
        </xdr:to>
        <xdr:sp macro="" textlink="">
          <xdr:nvSpPr>
            <xdr:cNvPr id="13061" name="Check Box 773" hidden="1">
              <a:extLst>
                <a:ext uri="{63B3BB69-23CF-44E3-9099-C40C66FF867C}">
                  <a14:compatExt spid="_x0000_s13061"/>
                </a:ext>
                <a:ext uri="{FF2B5EF4-FFF2-40B4-BE49-F238E27FC236}">
                  <a16:creationId xmlns:a16="http://schemas.microsoft.com/office/drawing/2014/main" id="{00000000-0008-0000-0700-00000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064" name="Check Box 776" hidden="1">
              <a:extLst>
                <a:ext uri="{63B3BB69-23CF-44E3-9099-C40C66FF867C}">
                  <a14:compatExt spid="_x0000_s13064"/>
                </a:ext>
                <a:ext uri="{FF2B5EF4-FFF2-40B4-BE49-F238E27FC236}">
                  <a16:creationId xmlns:a16="http://schemas.microsoft.com/office/drawing/2014/main" id="{00000000-0008-0000-0700-00000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065" name="Check Box 777" hidden="1">
              <a:extLst>
                <a:ext uri="{63B3BB69-23CF-44E3-9099-C40C66FF867C}">
                  <a14:compatExt spid="_x0000_s13065"/>
                </a:ext>
                <a:ext uri="{FF2B5EF4-FFF2-40B4-BE49-F238E27FC236}">
                  <a16:creationId xmlns:a16="http://schemas.microsoft.com/office/drawing/2014/main" id="{00000000-0008-0000-0700-00000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066" name="Check Box 778" hidden="1">
              <a:extLst>
                <a:ext uri="{63B3BB69-23CF-44E3-9099-C40C66FF867C}">
                  <a14:compatExt spid="_x0000_s13066"/>
                </a:ext>
                <a:ext uri="{FF2B5EF4-FFF2-40B4-BE49-F238E27FC236}">
                  <a16:creationId xmlns:a16="http://schemas.microsoft.com/office/drawing/2014/main" id="{00000000-0008-0000-0700-00000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067" name="Check Box 779" hidden="1">
              <a:extLst>
                <a:ext uri="{63B3BB69-23CF-44E3-9099-C40C66FF867C}">
                  <a14:compatExt spid="_x0000_s13067"/>
                </a:ext>
                <a:ext uri="{FF2B5EF4-FFF2-40B4-BE49-F238E27FC236}">
                  <a16:creationId xmlns:a16="http://schemas.microsoft.com/office/drawing/2014/main" id="{00000000-0008-0000-0700-00000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072" name="Check Box 784" hidden="1">
              <a:extLst>
                <a:ext uri="{63B3BB69-23CF-44E3-9099-C40C66FF867C}">
                  <a14:compatExt spid="_x0000_s13072"/>
                </a:ext>
                <a:ext uri="{FF2B5EF4-FFF2-40B4-BE49-F238E27FC236}">
                  <a16:creationId xmlns:a16="http://schemas.microsoft.com/office/drawing/2014/main" id="{00000000-0008-0000-0700-00001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073" name="Check Box 785" hidden="1">
              <a:extLst>
                <a:ext uri="{63B3BB69-23CF-44E3-9099-C40C66FF867C}">
                  <a14:compatExt spid="_x0000_s13073"/>
                </a:ext>
                <a:ext uri="{FF2B5EF4-FFF2-40B4-BE49-F238E27FC236}">
                  <a16:creationId xmlns:a16="http://schemas.microsoft.com/office/drawing/2014/main" id="{00000000-0008-0000-0700-00001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074" name="Check Box 786" hidden="1">
              <a:extLst>
                <a:ext uri="{63B3BB69-23CF-44E3-9099-C40C66FF867C}">
                  <a14:compatExt spid="_x0000_s13074"/>
                </a:ext>
                <a:ext uri="{FF2B5EF4-FFF2-40B4-BE49-F238E27FC236}">
                  <a16:creationId xmlns:a16="http://schemas.microsoft.com/office/drawing/2014/main" id="{00000000-0008-0000-0700-00001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79" name="Check Box 791" hidden="1">
              <a:extLst>
                <a:ext uri="{63B3BB69-23CF-44E3-9099-C40C66FF867C}">
                  <a14:compatExt spid="_x0000_s13079"/>
                </a:ext>
                <a:ext uri="{FF2B5EF4-FFF2-40B4-BE49-F238E27FC236}">
                  <a16:creationId xmlns:a16="http://schemas.microsoft.com/office/drawing/2014/main" id="{00000000-0008-0000-0700-00001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80" name="Check Box 792" hidden="1">
              <a:extLst>
                <a:ext uri="{63B3BB69-23CF-44E3-9099-C40C66FF867C}">
                  <a14:compatExt spid="_x0000_s13080"/>
                </a:ext>
                <a:ext uri="{FF2B5EF4-FFF2-40B4-BE49-F238E27FC236}">
                  <a16:creationId xmlns:a16="http://schemas.microsoft.com/office/drawing/2014/main" id="{00000000-0008-0000-0700-00001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81" name="Check Box 793" hidden="1">
              <a:extLst>
                <a:ext uri="{63B3BB69-23CF-44E3-9099-C40C66FF867C}">
                  <a14:compatExt spid="_x0000_s13081"/>
                </a:ext>
                <a:ext uri="{FF2B5EF4-FFF2-40B4-BE49-F238E27FC236}">
                  <a16:creationId xmlns:a16="http://schemas.microsoft.com/office/drawing/2014/main" id="{00000000-0008-0000-0700-00001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82" name="Check Box 794" hidden="1">
              <a:extLst>
                <a:ext uri="{63B3BB69-23CF-44E3-9099-C40C66FF867C}">
                  <a14:compatExt spid="_x0000_s13082"/>
                </a:ext>
                <a:ext uri="{FF2B5EF4-FFF2-40B4-BE49-F238E27FC236}">
                  <a16:creationId xmlns:a16="http://schemas.microsoft.com/office/drawing/2014/main" id="{00000000-0008-0000-0700-00001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83" name="Check Box 795" hidden="1">
              <a:extLst>
                <a:ext uri="{63B3BB69-23CF-44E3-9099-C40C66FF867C}">
                  <a14:compatExt spid="_x0000_s13083"/>
                </a:ext>
                <a:ext uri="{FF2B5EF4-FFF2-40B4-BE49-F238E27FC236}">
                  <a16:creationId xmlns:a16="http://schemas.microsoft.com/office/drawing/2014/main" id="{00000000-0008-0000-0700-00001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84" name="Check Box 796" hidden="1">
              <a:extLst>
                <a:ext uri="{63B3BB69-23CF-44E3-9099-C40C66FF867C}">
                  <a14:compatExt spid="_x0000_s13084"/>
                </a:ext>
                <a:ext uri="{FF2B5EF4-FFF2-40B4-BE49-F238E27FC236}">
                  <a16:creationId xmlns:a16="http://schemas.microsoft.com/office/drawing/2014/main" id="{00000000-0008-0000-0700-00001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85" name="Check Box 797" hidden="1">
              <a:extLst>
                <a:ext uri="{63B3BB69-23CF-44E3-9099-C40C66FF867C}">
                  <a14:compatExt spid="_x0000_s13085"/>
                </a:ext>
                <a:ext uri="{FF2B5EF4-FFF2-40B4-BE49-F238E27FC236}">
                  <a16:creationId xmlns:a16="http://schemas.microsoft.com/office/drawing/2014/main" id="{00000000-0008-0000-0700-00001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86" name="Check Box 798" hidden="1">
              <a:extLst>
                <a:ext uri="{63B3BB69-23CF-44E3-9099-C40C66FF867C}">
                  <a14:compatExt spid="_x0000_s13086"/>
                </a:ext>
                <a:ext uri="{FF2B5EF4-FFF2-40B4-BE49-F238E27FC236}">
                  <a16:creationId xmlns:a16="http://schemas.microsoft.com/office/drawing/2014/main" id="{00000000-0008-0000-0700-00001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45720</xdr:colOff>
          <xdr:row>22</xdr:row>
          <xdr:rowOff>7620</xdr:rowOff>
        </xdr:to>
        <xdr:sp macro="" textlink="">
          <xdr:nvSpPr>
            <xdr:cNvPr id="13087" name="Check Box 799" hidden="1">
              <a:extLst>
                <a:ext uri="{63B3BB69-23CF-44E3-9099-C40C66FF867C}">
                  <a14:compatExt spid="_x0000_s13087"/>
                </a:ext>
                <a:ext uri="{FF2B5EF4-FFF2-40B4-BE49-F238E27FC236}">
                  <a16:creationId xmlns:a16="http://schemas.microsoft.com/office/drawing/2014/main" id="{00000000-0008-0000-0700-00001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91" name="Check Box 803" hidden="1">
              <a:extLst>
                <a:ext uri="{63B3BB69-23CF-44E3-9099-C40C66FF867C}">
                  <a14:compatExt spid="_x0000_s13091"/>
                </a:ext>
                <a:ext uri="{FF2B5EF4-FFF2-40B4-BE49-F238E27FC236}">
                  <a16:creationId xmlns:a16="http://schemas.microsoft.com/office/drawing/2014/main" id="{00000000-0008-0000-0700-00002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92" name="Check Box 804" hidden="1">
              <a:extLst>
                <a:ext uri="{63B3BB69-23CF-44E3-9099-C40C66FF867C}">
                  <a14:compatExt spid="_x0000_s13092"/>
                </a:ext>
                <a:ext uri="{FF2B5EF4-FFF2-40B4-BE49-F238E27FC236}">
                  <a16:creationId xmlns:a16="http://schemas.microsoft.com/office/drawing/2014/main" id="{00000000-0008-0000-0700-00002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93" name="Check Box 805" hidden="1">
              <a:extLst>
                <a:ext uri="{63B3BB69-23CF-44E3-9099-C40C66FF867C}">
                  <a14:compatExt spid="_x0000_s13093"/>
                </a:ext>
                <a:ext uri="{FF2B5EF4-FFF2-40B4-BE49-F238E27FC236}">
                  <a16:creationId xmlns:a16="http://schemas.microsoft.com/office/drawing/2014/main" id="{00000000-0008-0000-0700-00002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5</xdr:col>
          <xdr:colOff>45720</xdr:colOff>
          <xdr:row>36</xdr:row>
          <xdr:rowOff>7620</xdr:rowOff>
        </xdr:to>
        <xdr:sp macro="" textlink="">
          <xdr:nvSpPr>
            <xdr:cNvPr id="13094" name="Check Box 806" hidden="1">
              <a:extLst>
                <a:ext uri="{63B3BB69-23CF-44E3-9099-C40C66FF867C}">
                  <a14:compatExt spid="_x0000_s13094"/>
                </a:ext>
                <a:ext uri="{FF2B5EF4-FFF2-40B4-BE49-F238E27FC236}">
                  <a16:creationId xmlns:a16="http://schemas.microsoft.com/office/drawing/2014/main" id="{00000000-0008-0000-0700-00002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95" name="Check Box 807" hidden="1">
              <a:extLst>
                <a:ext uri="{63B3BB69-23CF-44E3-9099-C40C66FF867C}">
                  <a14:compatExt spid="_x0000_s13095"/>
                </a:ext>
                <a:ext uri="{FF2B5EF4-FFF2-40B4-BE49-F238E27FC236}">
                  <a16:creationId xmlns:a16="http://schemas.microsoft.com/office/drawing/2014/main" id="{00000000-0008-0000-0700-00002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96" name="Check Box 808" hidden="1">
              <a:extLst>
                <a:ext uri="{63B3BB69-23CF-44E3-9099-C40C66FF867C}">
                  <a14:compatExt spid="_x0000_s13096"/>
                </a:ext>
                <a:ext uri="{FF2B5EF4-FFF2-40B4-BE49-F238E27FC236}">
                  <a16:creationId xmlns:a16="http://schemas.microsoft.com/office/drawing/2014/main" id="{00000000-0008-0000-0700-00002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97" name="Check Box 809" hidden="1">
              <a:extLst>
                <a:ext uri="{63B3BB69-23CF-44E3-9099-C40C66FF867C}">
                  <a14:compatExt spid="_x0000_s13097"/>
                </a:ext>
                <a:ext uri="{FF2B5EF4-FFF2-40B4-BE49-F238E27FC236}">
                  <a16:creationId xmlns:a16="http://schemas.microsoft.com/office/drawing/2014/main" id="{00000000-0008-0000-0700-00002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098" name="Check Box 810" hidden="1">
              <a:extLst>
                <a:ext uri="{63B3BB69-23CF-44E3-9099-C40C66FF867C}">
                  <a14:compatExt spid="_x0000_s13098"/>
                </a:ext>
                <a:ext uri="{FF2B5EF4-FFF2-40B4-BE49-F238E27FC236}">
                  <a16:creationId xmlns:a16="http://schemas.microsoft.com/office/drawing/2014/main" id="{00000000-0008-0000-0700-00002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02" name="Check Box 814" hidden="1">
              <a:extLst>
                <a:ext uri="{63B3BB69-23CF-44E3-9099-C40C66FF867C}">
                  <a14:compatExt spid="_x0000_s13102"/>
                </a:ext>
                <a:ext uri="{FF2B5EF4-FFF2-40B4-BE49-F238E27FC236}">
                  <a16:creationId xmlns:a16="http://schemas.microsoft.com/office/drawing/2014/main" id="{00000000-0008-0000-0700-00002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03" name="Check Box 815" hidden="1">
              <a:extLst>
                <a:ext uri="{63B3BB69-23CF-44E3-9099-C40C66FF867C}">
                  <a14:compatExt spid="_x0000_s13103"/>
                </a:ext>
                <a:ext uri="{FF2B5EF4-FFF2-40B4-BE49-F238E27FC236}">
                  <a16:creationId xmlns:a16="http://schemas.microsoft.com/office/drawing/2014/main" id="{00000000-0008-0000-0700-00002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04" name="Check Box 816" hidden="1">
              <a:extLst>
                <a:ext uri="{63B3BB69-23CF-44E3-9099-C40C66FF867C}">
                  <a14:compatExt spid="_x0000_s13104"/>
                </a:ext>
                <a:ext uri="{FF2B5EF4-FFF2-40B4-BE49-F238E27FC236}">
                  <a16:creationId xmlns:a16="http://schemas.microsoft.com/office/drawing/2014/main" id="{00000000-0008-0000-0700-00003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05" name="Check Box 817" hidden="1">
              <a:extLst>
                <a:ext uri="{63B3BB69-23CF-44E3-9099-C40C66FF867C}">
                  <a14:compatExt spid="_x0000_s13105"/>
                </a:ext>
                <a:ext uri="{FF2B5EF4-FFF2-40B4-BE49-F238E27FC236}">
                  <a16:creationId xmlns:a16="http://schemas.microsoft.com/office/drawing/2014/main" id="{00000000-0008-0000-0700-00003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106" name="Check Box 818" hidden="1">
              <a:extLst>
                <a:ext uri="{63B3BB69-23CF-44E3-9099-C40C66FF867C}">
                  <a14:compatExt spid="_x0000_s13106"/>
                </a:ext>
                <a:ext uri="{FF2B5EF4-FFF2-40B4-BE49-F238E27FC236}">
                  <a16:creationId xmlns:a16="http://schemas.microsoft.com/office/drawing/2014/main" id="{00000000-0008-0000-0700-00003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107" name="Check Box 819" hidden="1">
              <a:extLst>
                <a:ext uri="{63B3BB69-23CF-44E3-9099-C40C66FF867C}">
                  <a14:compatExt spid="_x0000_s13107"/>
                </a:ext>
                <a:ext uri="{FF2B5EF4-FFF2-40B4-BE49-F238E27FC236}">
                  <a16:creationId xmlns:a16="http://schemas.microsoft.com/office/drawing/2014/main" id="{00000000-0008-0000-0700-00003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108" name="Check Box 820" hidden="1">
              <a:extLst>
                <a:ext uri="{63B3BB69-23CF-44E3-9099-C40C66FF867C}">
                  <a14:compatExt spid="_x0000_s13108"/>
                </a:ext>
                <a:ext uri="{FF2B5EF4-FFF2-40B4-BE49-F238E27FC236}">
                  <a16:creationId xmlns:a16="http://schemas.microsoft.com/office/drawing/2014/main" id="{00000000-0008-0000-0700-00003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109" name="Check Box 821" hidden="1">
              <a:extLst>
                <a:ext uri="{63B3BB69-23CF-44E3-9099-C40C66FF867C}">
                  <a14:compatExt spid="_x0000_s13109"/>
                </a:ext>
                <a:ext uri="{FF2B5EF4-FFF2-40B4-BE49-F238E27FC236}">
                  <a16:creationId xmlns:a16="http://schemas.microsoft.com/office/drawing/2014/main" id="{00000000-0008-0000-0700-00003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5</xdr:col>
          <xdr:colOff>45720</xdr:colOff>
          <xdr:row>29</xdr:row>
          <xdr:rowOff>7620</xdr:rowOff>
        </xdr:to>
        <xdr:sp macro="" textlink="">
          <xdr:nvSpPr>
            <xdr:cNvPr id="13110" name="Check Box 822" hidden="1">
              <a:extLst>
                <a:ext uri="{63B3BB69-23CF-44E3-9099-C40C66FF867C}">
                  <a14:compatExt spid="_x0000_s13110"/>
                </a:ext>
                <a:ext uri="{FF2B5EF4-FFF2-40B4-BE49-F238E27FC236}">
                  <a16:creationId xmlns:a16="http://schemas.microsoft.com/office/drawing/2014/main" id="{00000000-0008-0000-0700-00003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111" name="Check Box 823" hidden="1">
              <a:extLst>
                <a:ext uri="{63B3BB69-23CF-44E3-9099-C40C66FF867C}">
                  <a14:compatExt spid="_x0000_s13111"/>
                </a:ext>
                <a:ext uri="{FF2B5EF4-FFF2-40B4-BE49-F238E27FC236}">
                  <a16:creationId xmlns:a16="http://schemas.microsoft.com/office/drawing/2014/main" id="{00000000-0008-0000-0700-00003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45720</xdr:colOff>
          <xdr:row>28</xdr:row>
          <xdr:rowOff>7620</xdr:rowOff>
        </xdr:to>
        <xdr:sp macro="" textlink="">
          <xdr:nvSpPr>
            <xdr:cNvPr id="13112" name="Check Box 824" hidden="1">
              <a:extLst>
                <a:ext uri="{63B3BB69-23CF-44E3-9099-C40C66FF867C}">
                  <a14:compatExt spid="_x0000_s13112"/>
                </a:ext>
                <a:ext uri="{FF2B5EF4-FFF2-40B4-BE49-F238E27FC236}">
                  <a16:creationId xmlns:a16="http://schemas.microsoft.com/office/drawing/2014/main" id="{00000000-0008-0000-0700-00003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45720</xdr:colOff>
          <xdr:row>26</xdr:row>
          <xdr:rowOff>7620</xdr:rowOff>
        </xdr:to>
        <xdr:sp macro="" textlink="">
          <xdr:nvSpPr>
            <xdr:cNvPr id="13113" name="Check Box 825" hidden="1">
              <a:extLst>
                <a:ext uri="{63B3BB69-23CF-44E3-9099-C40C66FF867C}">
                  <a14:compatExt spid="_x0000_s13113"/>
                </a:ext>
                <a:ext uri="{FF2B5EF4-FFF2-40B4-BE49-F238E27FC236}">
                  <a16:creationId xmlns:a16="http://schemas.microsoft.com/office/drawing/2014/main" id="{00000000-0008-0000-0700-00003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45720</xdr:colOff>
          <xdr:row>26</xdr:row>
          <xdr:rowOff>7620</xdr:rowOff>
        </xdr:to>
        <xdr:sp macro="" textlink="">
          <xdr:nvSpPr>
            <xdr:cNvPr id="13114" name="Check Box 826" hidden="1">
              <a:extLst>
                <a:ext uri="{63B3BB69-23CF-44E3-9099-C40C66FF867C}">
                  <a14:compatExt spid="_x0000_s13114"/>
                </a:ext>
                <a:ext uri="{FF2B5EF4-FFF2-40B4-BE49-F238E27FC236}">
                  <a16:creationId xmlns:a16="http://schemas.microsoft.com/office/drawing/2014/main" id="{00000000-0008-0000-0700-00003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45720</xdr:colOff>
          <xdr:row>26</xdr:row>
          <xdr:rowOff>7620</xdr:rowOff>
        </xdr:to>
        <xdr:sp macro="" textlink="">
          <xdr:nvSpPr>
            <xdr:cNvPr id="13115" name="Check Box 827" hidden="1">
              <a:extLst>
                <a:ext uri="{63B3BB69-23CF-44E3-9099-C40C66FF867C}">
                  <a14:compatExt spid="_x0000_s13115"/>
                </a:ext>
                <a:ext uri="{FF2B5EF4-FFF2-40B4-BE49-F238E27FC236}">
                  <a16:creationId xmlns:a16="http://schemas.microsoft.com/office/drawing/2014/main" id="{00000000-0008-0000-0700-00003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45720</xdr:colOff>
          <xdr:row>22</xdr:row>
          <xdr:rowOff>7620</xdr:rowOff>
        </xdr:to>
        <xdr:sp macro="" textlink="">
          <xdr:nvSpPr>
            <xdr:cNvPr id="13116" name="Check Box 828" hidden="1">
              <a:extLst>
                <a:ext uri="{63B3BB69-23CF-44E3-9099-C40C66FF867C}">
                  <a14:compatExt spid="_x0000_s13116"/>
                </a:ext>
                <a:ext uri="{FF2B5EF4-FFF2-40B4-BE49-F238E27FC236}">
                  <a16:creationId xmlns:a16="http://schemas.microsoft.com/office/drawing/2014/main" id="{00000000-0008-0000-0700-00003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25" name="Check Box 837" hidden="1">
              <a:extLst>
                <a:ext uri="{63B3BB69-23CF-44E3-9099-C40C66FF867C}">
                  <a14:compatExt spid="_x0000_s13125"/>
                </a:ext>
                <a:ext uri="{FF2B5EF4-FFF2-40B4-BE49-F238E27FC236}">
                  <a16:creationId xmlns:a16="http://schemas.microsoft.com/office/drawing/2014/main" id="{00000000-0008-0000-0700-00004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26" name="Check Box 838" hidden="1">
              <a:extLst>
                <a:ext uri="{63B3BB69-23CF-44E3-9099-C40C66FF867C}">
                  <a14:compatExt spid="_x0000_s13126"/>
                </a:ext>
                <a:ext uri="{FF2B5EF4-FFF2-40B4-BE49-F238E27FC236}">
                  <a16:creationId xmlns:a16="http://schemas.microsoft.com/office/drawing/2014/main" id="{00000000-0008-0000-0700-00004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27" name="Check Box 839" hidden="1">
              <a:extLst>
                <a:ext uri="{63B3BB69-23CF-44E3-9099-C40C66FF867C}">
                  <a14:compatExt spid="_x0000_s13127"/>
                </a:ext>
                <a:ext uri="{FF2B5EF4-FFF2-40B4-BE49-F238E27FC236}">
                  <a16:creationId xmlns:a16="http://schemas.microsoft.com/office/drawing/2014/main" id="{00000000-0008-0000-0700-00004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28" name="Check Box 840" hidden="1">
              <a:extLst>
                <a:ext uri="{63B3BB69-23CF-44E3-9099-C40C66FF867C}">
                  <a14:compatExt spid="_x0000_s13128"/>
                </a:ext>
                <a:ext uri="{FF2B5EF4-FFF2-40B4-BE49-F238E27FC236}">
                  <a16:creationId xmlns:a16="http://schemas.microsoft.com/office/drawing/2014/main" id="{00000000-0008-0000-0700-00004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29" name="Check Box 841" hidden="1">
              <a:extLst>
                <a:ext uri="{63B3BB69-23CF-44E3-9099-C40C66FF867C}">
                  <a14:compatExt spid="_x0000_s13129"/>
                </a:ext>
                <a:ext uri="{FF2B5EF4-FFF2-40B4-BE49-F238E27FC236}">
                  <a16:creationId xmlns:a16="http://schemas.microsoft.com/office/drawing/2014/main" id="{00000000-0008-0000-0700-00004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30" name="Check Box 842" hidden="1">
              <a:extLst>
                <a:ext uri="{63B3BB69-23CF-44E3-9099-C40C66FF867C}">
                  <a14:compatExt spid="_x0000_s13130"/>
                </a:ext>
                <a:ext uri="{FF2B5EF4-FFF2-40B4-BE49-F238E27FC236}">
                  <a16:creationId xmlns:a16="http://schemas.microsoft.com/office/drawing/2014/main" id="{00000000-0008-0000-0700-00004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31" name="Check Box 843" hidden="1">
              <a:extLst>
                <a:ext uri="{63B3BB69-23CF-44E3-9099-C40C66FF867C}">
                  <a14:compatExt spid="_x0000_s13131"/>
                </a:ext>
                <a:ext uri="{FF2B5EF4-FFF2-40B4-BE49-F238E27FC236}">
                  <a16:creationId xmlns:a16="http://schemas.microsoft.com/office/drawing/2014/main" id="{00000000-0008-0000-0700-00004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7620</xdr:rowOff>
        </xdr:to>
        <xdr:sp macro="" textlink="">
          <xdr:nvSpPr>
            <xdr:cNvPr id="13132" name="Check Box 844" hidden="1">
              <a:extLst>
                <a:ext uri="{63B3BB69-23CF-44E3-9099-C40C66FF867C}">
                  <a14:compatExt spid="_x0000_s13132"/>
                </a:ext>
                <a:ext uri="{FF2B5EF4-FFF2-40B4-BE49-F238E27FC236}">
                  <a16:creationId xmlns:a16="http://schemas.microsoft.com/office/drawing/2014/main" id="{00000000-0008-0000-0700-00004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3" name="Check Box 845" hidden="1">
              <a:extLst>
                <a:ext uri="{63B3BB69-23CF-44E3-9099-C40C66FF867C}">
                  <a14:compatExt spid="_x0000_s13133"/>
                </a:ext>
                <a:ext uri="{FF2B5EF4-FFF2-40B4-BE49-F238E27FC236}">
                  <a16:creationId xmlns:a16="http://schemas.microsoft.com/office/drawing/2014/main" id="{00000000-0008-0000-0700-00004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4" name="Check Box 846" hidden="1">
              <a:extLst>
                <a:ext uri="{63B3BB69-23CF-44E3-9099-C40C66FF867C}">
                  <a14:compatExt spid="_x0000_s13134"/>
                </a:ext>
                <a:ext uri="{FF2B5EF4-FFF2-40B4-BE49-F238E27FC236}">
                  <a16:creationId xmlns:a16="http://schemas.microsoft.com/office/drawing/2014/main" id="{00000000-0008-0000-0700-00004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5" name="Check Box 847" hidden="1">
              <a:extLst>
                <a:ext uri="{63B3BB69-23CF-44E3-9099-C40C66FF867C}">
                  <a14:compatExt spid="_x0000_s13135"/>
                </a:ext>
                <a:ext uri="{FF2B5EF4-FFF2-40B4-BE49-F238E27FC236}">
                  <a16:creationId xmlns:a16="http://schemas.microsoft.com/office/drawing/2014/main" id="{00000000-0008-0000-0700-00004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6" name="Check Box 848" hidden="1">
              <a:extLst>
                <a:ext uri="{63B3BB69-23CF-44E3-9099-C40C66FF867C}">
                  <a14:compatExt spid="_x0000_s13136"/>
                </a:ext>
                <a:ext uri="{FF2B5EF4-FFF2-40B4-BE49-F238E27FC236}">
                  <a16:creationId xmlns:a16="http://schemas.microsoft.com/office/drawing/2014/main" id="{00000000-0008-0000-0700-00005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7" name="Check Box 849" hidden="1">
              <a:extLst>
                <a:ext uri="{63B3BB69-23CF-44E3-9099-C40C66FF867C}">
                  <a14:compatExt spid="_x0000_s13137"/>
                </a:ext>
                <a:ext uri="{FF2B5EF4-FFF2-40B4-BE49-F238E27FC236}">
                  <a16:creationId xmlns:a16="http://schemas.microsoft.com/office/drawing/2014/main" id="{00000000-0008-0000-0700-00005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8" name="Check Box 850" hidden="1">
              <a:extLst>
                <a:ext uri="{63B3BB69-23CF-44E3-9099-C40C66FF867C}">
                  <a14:compatExt spid="_x0000_s13138"/>
                </a:ext>
                <a:ext uri="{FF2B5EF4-FFF2-40B4-BE49-F238E27FC236}">
                  <a16:creationId xmlns:a16="http://schemas.microsoft.com/office/drawing/2014/main" id="{00000000-0008-0000-0700-00005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39" name="Check Box 851" hidden="1">
              <a:extLst>
                <a:ext uri="{63B3BB69-23CF-44E3-9099-C40C66FF867C}">
                  <a14:compatExt spid="_x0000_s13139"/>
                </a:ext>
                <a:ext uri="{FF2B5EF4-FFF2-40B4-BE49-F238E27FC236}">
                  <a16:creationId xmlns:a16="http://schemas.microsoft.com/office/drawing/2014/main" id="{00000000-0008-0000-0700-00005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7620</xdr:rowOff>
        </xdr:to>
        <xdr:sp macro="" textlink="">
          <xdr:nvSpPr>
            <xdr:cNvPr id="13140" name="Check Box 852" hidden="1">
              <a:extLst>
                <a:ext uri="{63B3BB69-23CF-44E3-9099-C40C66FF867C}">
                  <a14:compatExt spid="_x0000_s13140"/>
                </a:ext>
                <a:ext uri="{FF2B5EF4-FFF2-40B4-BE49-F238E27FC236}">
                  <a16:creationId xmlns:a16="http://schemas.microsoft.com/office/drawing/2014/main" id="{00000000-0008-0000-0700-00005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1" name="Check Box 853" hidden="1">
              <a:extLst>
                <a:ext uri="{63B3BB69-23CF-44E3-9099-C40C66FF867C}">
                  <a14:compatExt spid="_x0000_s13141"/>
                </a:ext>
                <a:ext uri="{FF2B5EF4-FFF2-40B4-BE49-F238E27FC236}">
                  <a16:creationId xmlns:a16="http://schemas.microsoft.com/office/drawing/2014/main" id="{00000000-0008-0000-0700-00005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2" name="Check Box 854" hidden="1">
              <a:extLst>
                <a:ext uri="{63B3BB69-23CF-44E3-9099-C40C66FF867C}">
                  <a14:compatExt spid="_x0000_s13142"/>
                </a:ext>
                <a:ext uri="{FF2B5EF4-FFF2-40B4-BE49-F238E27FC236}">
                  <a16:creationId xmlns:a16="http://schemas.microsoft.com/office/drawing/2014/main" id="{00000000-0008-0000-0700-00005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3" name="Check Box 855" hidden="1">
              <a:extLst>
                <a:ext uri="{63B3BB69-23CF-44E3-9099-C40C66FF867C}">
                  <a14:compatExt spid="_x0000_s13143"/>
                </a:ext>
                <a:ext uri="{FF2B5EF4-FFF2-40B4-BE49-F238E27FC236}">
                  <a16:creationId xmlns:a16="http://schemas.microsoft.com/office/drawing/2014/main" id="{00000000-0008-0000-0700-00005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4" name="Check Box 856" hidden="1">
              <a:extLst>
                <a:ext uri="{63B3BB69-23CF-44E3-9099-C40C66FF867C}">
                  <a14:compatExt spid="_x0000_s13144"/>
                </a:ext>
                <a:ext uri="{FF2B5EF4-FFF2-40B4-BE49-F238E27FC236}">
                  <a16:creationId xmlns:a16="http://schemas.microsoft.com/office/drawing/2014/main" id="{00000000-0008-0000-0700-00005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5" name="Check Box 857" hidden="1">
              <a:extLst>
                <a:ext uri="{63B3BB69-23CF-44E3-9099-C40C66FF867C}">
                  <a14:compatExt spid="_x0000_s13145"/>
                </a:ext>
                <a:ext uri="{FF2B5EF4-FFF2-40B4-BE49-F238E27FC236}">
                  <a16:creationId xmlns:a16="http://schemas.microsoft.com/office/drawing/2014/main" id="{00000000-0008-0000-0700-00005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6" name="Check Box 858" hidden="1">
              <a:extLst>
                <a:ext uri="{63B3BB69-23CF-44E3-9099-C40C66FF867C}">
                  <a14:compatExt spid="_x0000_s13146"/>
                </a:ext>
                <a:ext uri="{FF2B5EF4-FFF2-40B4-BE49-F238E27FC236}">
                  <a16:creationId xmlns:a16="http://schemas.microsoft.com/office/drawing/2014/main" id="{00000000-0008-0000-0700-00005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7" name="Check Box 859" hidden="1">
              <a:extLst>
                <a:ext uri="{63B3BB69-23CF-44E3-9099-C40C66FF867C}">
                  <a14:compatExt spid="_x0000_s13147"/>
                </a:ext>
                <a:ext uri="{FF2B5EF4-FFF2-40B4-BE49-F238E27FC236}">
                  <a16:creationId xmlns:a16="http://schemas.microsoft.com/office/drawing/2014/main" id="{00000000-0008-0000-0700-00005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7620</xdr:rowOff>
        </xdr:to>
        <xdr:sp macro="" textlink="">
          <xdr:nvSpPr>
            <xdr:cNvPr id="13148" name="Check Box 860" hidden="1">
              <a:extLst>
                <a:ext uri="{63B3BB69-23CF-44E3-9099-C40C66FF867C}">
                  <a14:compatExt spid="_x0000_s13148"/>
                </a:ext>
                <a:ext uri="{FF2B5EF4-FFF2-40B4-BE49-F238E27FC236}">
                  <a16:creationId xmlns:a16="http://schemas.microsoft.com/office/drawing/2014/main" id="{00000000-0008-0000-0700-00005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49" name="Check Box 861" hidden="1">
              <a:extLst>
                <a:ext uri="{63B3BB69-23CF-44E3-9099-C40C66FF867C}">
                  <a14:compatExt spid="_x0000_s13149"/>
                </a:ext>
                <a:ext uri="{FF2B5EF4-FFF2-40B4-BE49-F238E27FC236}">
                  <a16:creationId xmlns:a16="http://schemas.microsoft.com/office/drawing/2014/main" id="{00000000-0008-0000-0700-00005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0" name="Check Box 862" hidden="1">
              <a:extLst>
                <a:ext uri="{63B3BB69-23CF-44E3-9099-C40C66FF867C}">
                  <a14:compatExt spid="_x0000_s13150"/>
                </a:ext>
                <a:ext uri="{FF2B5EF4-FFF2-40B4-BE49-F238E27FC236}">
                  <a16:creationId xmlns:a16="http://schemas.microsoft.com/office/drawing/2014/main" id="{00000000-0008-0000-0700-00005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1" name="Check Box 863" hidden="1">
              <a:extLst>
                <a:ext uri="{63B3BB69-23CF-44E3-9099-C40C66FF867C}">
                  <a14:compatExt spid="_x0000_s13151"/>
                </a:ext>
                <a:ext uri="{FF2B5EF4-FFF2-40B4-BE49-F238E27FC236}">
                  <a16:creationId xmlns:a16="http://schemas.microsoft.com/office/drawing/2014/main" id="{00000000-0008-0000-0700-00005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2" name="Check Box 864" hidden="1">
              <a:extLst>
                <a:ext uri="{63B3BB69-23CF-44E3-9099-C40C66FF867C}">
                  <a14:compatExt spid="_x0000_s13152"/>
                </a:ext>
                <a:ext uri="{FF2B5EF4-FFF2-40B4-BE49-F238E27FC236}">
                  <a16:creationId xmlns:a16="http://schemas.microsoft.com/office/drawing/2014/main" id="{00000000-0008-0000-0700-00006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3" name="Check Box 865" hidden="1">
              <a:extLst>
                <a:ext uri="{63B3BB69-23CF-44E3-9099-C40C66FF867C}">
                  <a14:compatExt spid="_x0000_s13153"/>
                </a:ext>
                <a:ext uri="{FF2B5EF4-FFF2-40B4-BE49-F238E27FC236}">
                  <a16:creationId xmlns:a16="http://schemas.microsoft.com/office/drawing/2014/main" id="{00000000-0008-0000-0700-00006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4" name="Check Box 866" hidden="1">
              <a:extLst>
                <a:ext uri="{63B3BB69-23CF-44E3-9099-C40C66FF867C}">
                  <a14:compatExt spid="_x0000_s13154"/>
                </a:ext>
                <a:ext uri="{FF2B5EF4-FFF2-40B4-BE49-F238E27FC236}">
                  <a16:creationId xmlns:a16="http://schemas.microsoft.com/office/drawing/2014/main" id="{00000000-0008-0000-0700-00006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5" name="Check Box 867" hidden="1">
              <a:extLst>
                <a:ext uri="{63B3BB69-23CF-44E3-9099-C40C66FF867C}">
                  <a14:compatExt spid="_x0000_s13155"/>
                </a:ext>
                <a:ext uri="{FF2B5EF4-FFF2-40B4-BE49-F238E27FC236}">
                  <a16:creationId xmlns:a16="http://schemas.microsoft.com/office/drawing/2014/main" id="{00000000-0008-0000-0700-00006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7620</xdr:rowOff>
        </xdr:to>
        <xdr:sp macro="" textlink="">
          <xdr:nvSpPr>
            <xdr:cNvPr id="13156" name="Check Box 868" hidden="1">
              <a:extLst>
                <a:ext uri="{63B3BB69-23CF-44E3-9099-C40C66FF867C}">
                  <a14:compatExt spid="_x0000_s13156"/>
                </a:ext>
                <a:ext uri="{FF2B5EF4-FFF2-40B4-BE49-F238E27FC236}">
                  <a16:creationId xmlns:a16="http://schemas.microsoft.com/office/drawing/2014/main" id="{00000000-0008-0000-0700-00006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57" name="Check Box 869" hidden="1">
              <a:extLst>
                <a:ext uri="{63B3BB69-23CF-44E3-9099-C40C66FF867C}">
                  <a14:compatExt spid="_x0000_s13157"/>
                </a:ext>
                <a:ext uri="{FF2B5EF4-FFF2-40B4-BE49-F238E27FC236}">
                  <a16:creationId xmlns:a16="http://schemas.microsoft.com/office/drawing/2014/main" id="{00000000-0008-0000-0700-00006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58" name="Check Box 870" hidden="1">
              <a:extLst>
                <a:ext uri="{63B3BB69-23CF-44E3-9099-C40C66FF867C}">
                  <a14:compatExt spid="_x0000_s13158"/>
                </a:ext>
                <a:ext uri="{FF2B5EF4-FFF2-40B4-BE49-F238E27FC236}">
                  <a16:creationId xmlns:a16="http://schemas.microsoft.com/office/drawing/2014/main" id="{00000000-0008-0000-0700-00006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59" name="Check Box 871" hidden="1">
              <a:extLst>
                <a:ext uri="{63B3BB69-23CF-44E3-9099-C40C66FF867C}">
                  <a14:compatExt spid="_x0000_s13159"/>
                </a:ext>
                <a:ext uri="{FF2B5EF4-FFF2-40B4-BE49-F238E27FC236}">
                  <a16:creationId xmlns:a16="http://schemas.microsoft.com/office/drawing/2014/main" id="{00000000-0008-0000-0700-00006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60" name="Check Box 872" hidden="1">
              <a:extLst>
                <a:ext uri="{63B3BB69-23CF-44E3-9099-C40C66FF867C}">
                  <a14:compatExt spid="_x0000_s13160"/>
                </a:ext>
                <a:ext uri="{FF2B5EF4-FFF2-40B4-BE49-F238E27FC236}">
                  <a16:creationId xmlns:a16="http://schemas.microsoft.com/office/drawing/2014/main" id="{00000000-0008-0000-0700-00006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1" name="Check Box 873" hidden="1">
              <a:extLst>
                <a:ext uri="{63B3BB69-23CF-44E3-9099-C40C66FF867C}">
                  <a14:compatExt spid="_x0000_s13161"/>
                </a:ext>
                <a:ext uri="{FF2B5EF4-FFF2-40B4-BE49-F238E27FC236}">
                  <a16:creationId xmlns:a16="http://schemas.microsoft.com/office/drawing/2014/main" id="{00000000-0008-0000-0700-00006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2" name="Check Box 874" hidden="1">
              <a:extLst>
                <a:ext uri="{63B3BB69-23CF-44E3-9099-C40C66FF867C}">
                  <a14:compatExt spid="_x0000_s13162"/>
                </a:ext>
                <a:ext uri="{FF2B5EF4-FFF2-40B4-BE49-F238E27FC236}">
                  <a16:creationId xmlns:a16="http://schemas.microsoft.com/office/drawing/2014/main" id="{00000000-0008-0000-0700-00006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3" name="Check Box 875" hidden="1">
              <a:extLst>
                <a:ext uri="{63B3BB69-23CF-44E3-9099-C40C66FF867C}">
                  <a14:compatExt spid="_x0000_s13163"/>
                </a:ext>
                <a:ext uri="{FF2B5EF4-FFF2-40B4-BE49-F238E27FC236}">
                  <a16:creationId xmlns:a16="http://schemas.microsoft.com/office/drawing/2014/main" id="{00000000-0008-0000-0700-00006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4" name="Check Box 876" hidden="1">
              <a:extLst>
                <a:ext uri="{63B3BB69-23CF-44E3-9099-C40C66FF867C}">
                  <a14:compatExt spid="_x0000_s13164"/>
                </a:ext>
                <a:ext uri="{FF2B5EF4-FFF2-40B4-BE49-F238E27FC236}">
                  <a16:creationId xmlns:a16="http://schemas.microsoft.com/office/drawing/2014/main" id="{00000000-0008-0000-0700-00006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5" name="Check Box 877" hidden="1">
              <a:extLst>
                <a:ext uri="{63B3BB69-23CF-44E3-9099-C40C66FF867C}">
                  <a14:compatExt spid="_x0000_s13165"/>
                </a:ext>
                <a:ext uri="{FF2B5EF4-FFF2-40B4-BE49-F238E27FC236}">
                  <a16:creationId xmlns:a16="http://schemas.microsoft.com/office/drawing/2014/main" id="{00000000-0008-0000-0700-00006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6" name="Check Box 878" hidden="1">
              <a:extLst>
                <a:ext uri="{63B3BB69-23CF-44E3-9099-C40C66FF867C}">
                  <a14:compatExt spid="_x0000_s13166"/>
                </a:ext>
                <a:ext uri="{FF2B5EF4-FFF2-40B4-BE49-F238E27FC236}">
                  <a16:creationId xmlns:a16="http://schemas.microsoft.com/office/drawing/2014/main" id="{00000000-0008-0000-0700-00006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7" name="Check Box 879" hidden="1">
              <a:extLst>
                <a:ext uri="{63B3BB69-23CF-44E3-9099-C40C66FF867C}">
                  <a14:compatExt spid="_x0000_s13167"/>
                </a:ext>
                <a:ext uri="{FF2B5EF4-FFF2-40B4-BE49-F238E27FC236}">
                  <a16:creationId xmlns:a16="http://schemas.microsoft.com/office/drawing/2014/main" id="{00000000-0008-0000-0700-00006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8" name="Check Box 880" hidden="1">
              <a:extLst>
                <a:ext uri="{63B3BB69-23CF-44E3-9099-C40C66FF867C}">
                  <a14:compatExt spid="_x0000_s13168"/>
                </a:ext>
                <a:ext uri="{FF2B5EF4-FFF2-40B4-BE49-F238E27FC236}">
                  <a16:creationId xmlns:a16="http://schemas.microsoft.com/office/drawing/2014/main" id="{00000000-0008-0000-0700-00007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69" name="Check Box 881" hidden="1">
              <a:extLst>
                <a:ext uri="{63B3BB69-23CF-44E3-9099-C40C66FF867C}">
                  <a14:compatExt spid="_x0000_s13169"/>
                </a:ext>
                <a:ext uri="{FF2B5EF4-FFF2-40B4-BE49-F238E27FC236}">
                  <a16:creationId xmlns:a16="http://schemas.microsoft.com/office/drawing/2014/main" id="{00000000-0008-0000-0700-00007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70" name="Check Box 882" hidden="1">
              <a:extLst>
                <a:ext uri="{63B3BB69-23CF-44E3-9099-C40C66FF867C}">
                  <a14:compatExt spid="_x0000_s13170"/>
                </a:ext>
                <a:ext uri="{FF2B5EF4-FFF2-40B4-BE49-F238E27FC236}">
                  <a16:creationId xmlns:a16="http://schemas.microsoft.com/office/drawing/2014/main" id="{00000000-0008-0000-0700-00007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71" name="Check Box 883" hidden="1">
              <a:extLst>
                <a:ext uri="{63B3BB69-23CF-44E3-9099-C40C66FF867C}">
                  <a14:compatExt spid="_x0000_s13171"/>
                </a:ext>
                <a:ext uri="{FF2B5EF4-FFF2-40B4-BE49-F238E27FC236}">
                  <a16:creationId xmlns:a16="http://schemas.microsoft.com/office/drawing/2014/main" id="{00000000-0008-0000-0700-00007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72" name="Check Box 884" hidden="1">
              <a:extLst>
                <a:ext uri="{63B3BB69-23CF-44E3-9099-C40C66FF867C}">
                  <a14:compatExt spid="_x0000_s13172"/>
                </a:ext>
                <a:ext uri="{FF2B5EF4-FFF2-40B4-BE49-F238E27FC236}">
                  <a16:creationId xmlns:a16="http://schemas.microsoft.com/office/drawing/2014/main" id="{00000000-0008-0000-0700-00007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73" name="Check Box 885" hidden="1">
              <a:extLst>
                <a:ext uri="{63B3BB69-23CF-44E3-9099-C40C66FF867C}">
                  <a14:compatExt spid="_x0000_s13173"/>
                </a:ext>
                <a:ext uri="{FF2B5EF4-FFF2-40B4-BE49-F238E27FC236}">
                  <a16:creationId xmlns:a16="http://schemas.microsoft.com/office/drawing/2014/main" id="{00000000-0008-0000-0700-00007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74" name="Check Box 886" hidden="1">
              <a:extLst>
                <a:ext uri="{63B3BB69-23CF-44E3-9099-C40C66FF867C}">
                  <a14:compatExt spid="_x0000_s13174"/>
                </a:ext>
                <a:ext uri="{FF2B5EF4-FFF2-40B4-BE49-F238E27FC236}">
                  <a16:creationId xmlns:a16="http://schemas.microsoft.com/office/drawing/2014/main" id="{00000000-0008-0000-0700-00007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5</xdr:col>
          <xdr:colOff>45720</xdr:colOff>
          <xdr:row>34</xdr:row>
          <xdr:rowOff>7620</xdr:rowOff>
        </xdr:to>
        <xdr:sp macro="" textlink="">
          <xdr:nvSpPr>
            <xdr:cNvPr id="13175" name="Check Box 887" hidden="1">
              <a:extLst>
                <a:ext uri="{63B3BB69-23CF-44E3-9099-C40C66FF867C}">
                  <a14:compatExt spid="_x0000_s13175"/>
                </a:ext>
                <a:ext uri="{FF2B5EF4-FFF2-40B4-BE49-F238E27FC236}">
                  <a16:creationId xmlns:a16="http://schemas.microsoft.com/office/drawing/2014/main" id="{00000000-0008-0000-0700-00007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5</xdr:col>
          <xdr:colOff>45720</xdr:colOff>
          <xdr:row>35</xdr:row>
          <xdr:rowOff>7620</xdr:rowOff>
        </xdr:to>
        <xdr:sp macro="" textlink="">
          <xdr:nvSpPr>
            <xdr:cNvPr id="13176" name="Check Box 888" hidden="1">
              <a:extLst>
                <a:ext uri="{63B3BB69-23CF-44E3-9099-C40C66FF867C}">
                  <a14:compatExt spid="_x0000_s13176"/>
                </a:ext>
                <a:ext uri="{FF2B5EF4-FFF2-40B4-BE49-F238E27FC236}">
                  <a16:creationId xmlns:a16="http://schemas.microsoft.com/office/drawing/2014/main" id="{00000000-0008-0000-0700-00007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78" name="Check Box 890" hidden="1">
              <a:extLst>
                <a:ext uri="{63B3BB69-23CF-44E3-9099-C40C66FF867C}">
                  <a14:compatExt spid="_x0000_s13178"/>
                </a:ext>
                <a:ext uri="{FF2B5EF4-FFF2-40B4-BE49-F238E27FC236}">
                  <a16:creationId xmlns:a16="http://schemas.microsoft.com/office/drawing/2014/main" id="{00000000-0008-0000-0700-00007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79" name="Check Box 891" hidden="1">
              <a:extLst>
                <a:ext uri="{63B3BB69-23CF-44E3-9099-C40C66FF867C}">
                  <a14:compatExt spid="_x0000_s13179"/>
                </a:ext>
                <a:ext uri="{FF2B5EF4-FFF2-40B4-BE49-F238E27FC236}">
                  <a16:creationId xmlns:a16="http://schemas.microsoft.com/office/drawing/2014/main" id="{00000000-0008-0000-0700-00007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80" name="Check Box 892" hidden="1">
              <a:extLst>
                <a:ext uri="{63B3BB69-23CF-44E3-9099-C40C66FF867C}">
                  <a14:compatExt spid="_x0000_s13180"/>
                </a:ext>
                <a:ext uri="{FF2B5EF4-FFF2-40B4-BE49-F238E27FC236}">
                  <a16:creationId xmlns:a16="http://schemas.microsoft.com/office/drawing/2014/main" id="{00000000-0008-0000-0700-00007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81" name="Check Box 893" hidden="1">
              <a:extLst>
                <a:ext uri="{63B3BB69-23CF-44E3-9099-C40C66FF867C}">
                  <a14:compatExt spid="_x0000_s13181"/>
                </a:ext>
                <a:ext uri="{FF2B5EF4-FFF2-40B4-BE49-F238E27FC236}">
                  <a16:creationId xmlns:a16="http://schemas.microsoft.com/office/drawing/2014/main" id="{00000000-0008-0000-0700-00007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82" name="Check Box 894" hidden="1">
              <a:extLst>
                <a:ext uri="{63B3BB69-23CF-44E3-9099-C40C66FF867C}">
                  <a14:compatExt spid="_x0000_s13182"/>
                </a:ext>
                <a:ext uri="{FF2B5EF4-FFF2-40B4-BE49-F238E27FC236}">
                  <a16:creationId xmlns:a16="http://schemas.microsoft.com/office/drawing/2014/main" id="{00000000-0008-0000-0700-00007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83" name="Check Box 895" hidden="1">
              <a:extLst>
                <a:ext uri="{63B3BB69-23CF-44E3-9099-C40C66FF867C}">
                  <a14:compatExt spid="_x0000_s13183"/>
                </a:ext>
                <a:ext uri="{FF2B5EF4-FFF2-40B4-BE49-F238E27FC236}">
                  <a16:creationId xmlns:a16="http://schemas.microsoft.com/office/drawing/2014/main" id="{00000000-0008-0000-0700-00007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84" name="Check Box 896" hidden="1">
              <a:extLst>
                <a:ext uri="{63B3BB69-23CF-44E3-9099-C40C66FF867C}">
                  <a14:compatExt spid="_x0000_s13184"/>
                </a:ext>
                <a:ext uri="{FF2B5EF4-FFF2-40B4-BE49-F238E27FC236}">
                  <a16:creationId xmlns:a16="http://schemas.microsoft.com/office/drawing/2014/main" id="{00000000-0008-0000-0700-00008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85" name="Check Box 897" hidden="1">
              <a:extLst>
                <a:ext uri="{63B3BB69-23CF-44E3-9099-C40C66FF867C}">
                  <a14:compatExt spid="_x0000_s13185"/>
                </a:ext>
                <a:ext uri="{FF2B5EF4-FFF2-40B4-BE49-F238E27FC236}">
                  <a16:creationId xmlns:a16="http://schemas.microsoft.com/office/drawing/2014/main" id="{00000000-0008-0000-0700-00008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86" name="Check Box 898" hidden="1">
              <a:extLst>
                <a:ext uri="{63B3BB69-23CF-44E3-9099-C40C66FF867C}">
                  <a14:compatExt spid="_x0000_s13186"/>
                </a:ext>
                <a:ext uri="{FF2B5EF4-FFF2-40B4-BE49-F238E27FC236}">
                  <a16:creationId xmlns:a16="http://schemas.microsoft.com/office/drawing/2014/main" id="{00000000-0008-0000-0700-00008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87" name="Check Box 899" hidden="1">
              <a:extLst>
                <a:ext uri="{63B3BB69-23CF-44E3-9099-C40C66FF867C}">
                  <a14:compatExt spid="_x0000_s13187"/>
                </a:ext>
                <a:ext uri="{FF2B5EF4-FFF2-40B4-BE49-F238E27FC236}">
                  <a16:creationId xmlns:a16="http://schemas.microsoft.com/office/drawing/2014/main" id="{00000000-0008-0000-0700-00008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88" name="Check Box 900" hidden="1">
              <a:extLst>
                <a:ext uri="{63B3BB69-23CF-44E3-9099-C40C66FF867C}">
                  <a14:compatExt spid="_x0000_s13188"/>
                </a:ext>
                <a:ext uri="{FF2B5EF4-FFF2-40B4-BE49-F238E27FC236}">
                  <a16:creationId xmlns:a16="http://schemas.microsoft.com/office/drawing/2014/main" id="{00000000-0008-0000-0700-00008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89" name="Check Box 901" hidden="1">
              <a:extLst>
                <a:ext uri="{63B3BB69-23CF-44E3-9099-C40C66FF867C}">
                  <a14:compatExt spid="_x0000_s13189"/>
                </a:ext>
                <a:ext uri="{FF2B5EF4-FFF2-40B4-BE49-F238E27FC236}">
                  <a16:creationId xmlns:a16="http://schemas.microsoft.com/office/drawing/2014/main" id="{00000000-0008-0000-0700-00008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90" name="Check Box 902" hidden="1">
              <a:extLst>
                <a:ext uri="{63B3BB69-23CF-44E3-9099-C40C66FF867C}">
                  <a14:compatExt spid="_x0000_s13190"/>
                </a:ext>
                <a:ext uri="{FF2B5EF4-FFF2-40B4-BE49-F238E27FC236}">
                  <a16:creationId xmlns:a16="http://schemas.microsoft.com/office/drawing/2014/main" id="{00000000-0008-0000-0700-00008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45720</xdr:colOff>
          <xdr:row>47</xdr:row>
          <xdr:rowOff>7620</xdr:rowOff>
        </xdr:to>
        <xdr:sp macro="" textlink="">
          <xdr:nvSpPr>
            <xdr:cNvPr id="13191" name="Check Box 903" hidden="1">
              <a:extLst>
                <a:ext uri="{63B3BB69-23CF-44E3-9099-C40C66FF867C}">
                  <a14:compatExt spid="_x0000_s13191"/>
                </a:ext>
                <a:ext uri="{FF2B5EF4-FFF2-40B4-BE49-F238E27FC236}">
                  <a16:creationId xmlns:a16="http://schemas.microsoft.com/office/drawing/2014/main" id="{00000000-0008-0000-0700-00008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92" name="Check Box 904" hidden="1">
              <a:extLst>
                <a:ext uri="{63B3BB69-23CF-44E3-9099-C40C66FF867C}">
                  <a14:compatExt spid="_x0000_s13192"/>
                </a:ext>
                <a:ext uri="{FF2B5EF4-FFF2-40B4-BE49-F238E27FC236}">
                  <a16:creationId xmlns:a16="http://schemas.microsoft.com/office/drawing/2014/main" id="{00000000-0008-0000-0700-00008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5</xdr:col>
          <xdr:colOff>45720</xdr:colOff>
          <xdr:row>46</xdr:row>
          <xdr:rowOff>7620</xdr:rowOff>
        </xdr:to>
        <xdr:sp macro="" textlink="">
          <xdr:nvSpPr>
            <xdr:cNvPr id="13193" name="Check Box 905" hidden="1">
              <a:extLst>
                <a:ext uri="{63B3BB69-23CF-44E3-9099-C40C66FF867C}">
                  <a14:compatExt spid="_x0000_s13193"/>
                </a:ext>
                <a:ext uri="{FF2B5EF4-FFF2-40B4-BE49-F238E27FC236}">
                  <a16:creationId xmlns:a16="http://schemas.microsoft.com/office/drawing/2014/main" id="{00000000-0008-0000-0700-00008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194" name="Check Box 906" hidden="1">
              <a:extLst>
                <a:ext uri="{63B3BB69-23CF-44E3-9099-C40C66FF867C}">
                  <a14:compatExt spid="_x0000_s13194"/>
                </a:ext>
                <a:ext uri="{FF2B5EF4-FFF2-40B4-BE49-F238E27FC236}">
                  <a16:creationId xmlns:a16="http://schemas.microsoft.com/office/drawing/2014/main" id="{00000000-0008-0000-0700-00008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195" name="Check Box 907" hidden="1">
              <a:extLst>
                <a:ext uri="{63B3BB69-23CF-44E3-9099-C40C66FF867C}">
                  <a14:compatExt spid="_x0000_s13195"/>
                </a:ext>
                <a:ext uri="{FF2B5EF4-FFF2-40B4-BE49-F238E27FC236}">
                  <a16:creationId xmlns:a16="http://schemas.microsoft.com/office/drawing/2014/main" id="{00000000-0008-0000-0700-00008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196" name="Check Box 908" hidden="1">
              <a:extLst>
                <a:ext uri="{63B3BB69-23CF-44E3-9099-C40C66FF867C}">
                  <a14:compatExt spid="_x0000_s13196"/>
                </a:ext>
                <a:ext uri="{FF2B5EF4-FFF2-40B4-BE49-F238E27FC236}">
                  <a16:creationId xmlns:a16="http://schemas.microsoft.com/office/drawing/2014/main" id="{00000000-0008-0000-0700-00008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197" name="Check Box 909" hidden="1">
              <a:extLst>
                <a:ext uri="{63B3BB69-23CF-44E3-9099-C40C66FF867C}">
                  <a14:compatExt spid="_x0000_s13197"/>
                </a:ext>
                <a:ext uri="{FF2B5EF4-FFF2-40B4-BE49-F238E27FC236}">
                  <a16:creationId xmlns:a16="http://schemas.microsoft.com/office/drawing/2014/main" id="{00000000-0008-0000-0700-00008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198" name="Check Box 910" hidden="1">
              <a:extLst>
                <a:ext uri="{63B3BB69-23CF-44E3-9099-C40C66FF867C}">
                  <a14:compatExt spid="_x0000_s13198"/>
                </a:ext>
                <a:ext uri="{FF2B5EF4-FFF2-40B4-BE49-F238E27FC236}">
                  <a16:creationId xmlns:a16="http://schemas.microsoft.com/office/drawing/2014/main" id="{00000000-0008-0000-0700-00008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199" name="Check Box 911" hidden="1">
              <a:extLst>
                <a:ext uri="{63B3BB69-23CF-44E3-9099-C40C66FF867C}">
                  <a14:compatExt spid="_x0000_s13199"/>
                </a:ext>
                <a:ext uri="{FF2B5EF4-FFF2-40B4-BE49-F238E27FC236}">
                  <a16:creationId xmlns:a16="http://schemas.microsoft.com/office/drawing/2014/main" id="{00000000-0008-0000-0700-00008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200" name="Check Box 912" hidden="1">
              <a:extLst>
                <a:ext uri="{63B3BB69-23CF-44E3-9099-C40C66FF867C}">
                  <a14:compatExt spid="_x0000_s13200"/>
                </a:ext>
                <a:ext uri="{FF2B5EF4-FFF2-40B4-BE49-F238E27FC236}">
                  <a16:creationId xmlns:a16="http://schemas.microsoft.com/office/drawing/2014/main" id="{00000000-0008-0000-0700-00009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45720</xdr:colOff>
          <xdr:row>48</xdr:row>
          <xdr:rowOff>7620</xdr:rowOff>
        </xdr:to>
        <xdr:sp macro="" textlink="">
          <xdr:nvSpPr>
            <xdr:cNvPr id="13201" name="Check Box 913" hidden="1">
              <a:extLst>
                <a:ext uri="{63B3BB69-23CF-44E3-9099-C40C66FF867C}">
                  <a14:compatExt spid="_x0000_s13201"/>
                </a:ext>
                <a:ext uri="{FF2B5EF4-FFF2-40B4-BE49-F238E27FC236}">
                  <a16:creationId xmlns:a16="http://schemas.microsoft.com/office/drawing/2014/main" id="{00000000-0008-0000-0700-00009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45720</xdr:colOff>
          <xdr:row>20</xdr:row>
          <xdr:rowOff>7620</xdr:rowOff>
        </xdr:to>
        <xdr:sp macro="" textlink="">
          <xdr:nvSpPr>
            <xdr:cNvPr id="13202" name="Check Box 914" hidden="1">
              <a:extLst>
                <a:ext uri="{63B3BB69-23CF-44E3-9099-C40C66FF867C}">
                  <a14:compatExt spid="_x0000_s13202"/>
                </a:ext>
                <a:ext uri="{FF2B5EF4-FFF2-40B4-BE49-F238E27FC236}">
                  <a16:creationId xmlns:a16="http://schemas.microsoft.com/office/drawing/2014/main" id="{00000000-0008-0000-0700-00009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45720</xdr:colOff>
          <xdr:row>20</xdr:row>
          <xdr:rowOff>7620</xdr:rowOff>
        </xdr:to>
        <xdr:sp macro="" textlink="">
          <xdr:nvSpPr>
            <xdr:cNvPr id="13203" name="Check Box 915" hidden="1">
              <a:extLst>
                <a:ext uri="{63B3BB69-23CF-44E3-9099-C40C66FF867C}">
                  <a14:compatExt spid="_x0000_s13203"/>
                </a:ext>
                <a:ext uri="{FF2B5EF4-FFF2-40B4-BE49-F238E27FC236}">
                  <a16:creationId xmlns:a16="http://schemas.microsoft.com/office/drawing/2014/main" id="{00000000-0008-0000-0700-00009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45720</xdr:colOff>
          <xdr:row>18</xdr:row>
          <xdr:rowOff>7620</xdr:rowOff>
        </xdr:to>
        <xdr:sp macro="" textlink="">
          <xdr:nvSpPr>
            <xdr:cNvPr id="13204" name="Check Box 916" hidden="1">
              <a:extLst>
                <a:ext uri="{63B3BB69-23CF-44E3-9099-C40C66FF867C}">
                  <a14:compatExt spid="_x0000_s13204"/>
                </a:ext>
                <a:ext uri="{FF2B5EF4-FFF2-40B4-BE49-F238E27FC236}">
                  <a16:creationId xmlns:a16="http://schemas.microsoft.com/office/drawing/2014/main" id="{00000000-0008-0000-0700-00009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45720</xdr:colOff>
          <xdr:row>18</xdr:row>
          <xdr:rowOff>7620</xdr:rowOff>
        </xdr:to>
        <xdr:sp macro="" textlink="">
          <xdr:nvSpPr>
            <xdr:cNvPr id="13205" name="Check Box 917" hidden="1">
              <a:extLst>
                <a:ext uri="{63B3BB69-23CF-44E3-9099-C40C66FF867C}">
                  <a14:compatExt spid="_x0000_s13205"/>
                </a:ext>
                <a:ext uri="{FF2B5EF4-FFF2-40B4-BE49-F238E27FC236}">
                  <a16:creationId xmlns:a16="http://schemas.microsoft.com/office/drawing/2014/main" id="{00000000-0008-0000-0700-00009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06" name="Check Box 918" hidden="1">
              <a:extLst>
                <a:ext uri="{63B3BB69-23CF-44E3-9099-C40C66FF867C}">
                  <a14:compatExt spid="_x0000_s13206"/>
                </a:ext>
                <a:ext uri="{FF2B5EF4-FFF2-40B4-BE49-F238E27FC236}">
                  <a16:creationId xmlns:a16="http://schemas.microsoft.com/office/drawing/2014/main" id="{00000000-0008-0000-0700-00009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07" name="Check Box 919" hidden="1">
              <a:extLst>
                <a:ext uri="{63B3BB69-23CF-44E3-9099-C40C66FF867C}">
                  <a14:compatExt spid="_x0000_s13207"/>
                </a:ext>
                <a:ext uri="{FF2B5EF4-FFF2-40B4-BE49-F238E27FC236}">
                  <a16:creationId xmlns:a16="http://schemas.microsoft.com/office/drawing/2014/main" id="{00000000-0008-0000-0700-00009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08" name="Check Box 920" hidden="1">
              <a:extLst>
                <a:ext uri="{63B3BB69-23CF-44E3-9099-C40C66FF867C}">
                  <a14:compatExt spid="_x0000_s13208"/>
                </a:ext>
                <a:ext uri="{FF2B5EF4-FFF2-40B4-BE49-F238E27FC236}">
                  <a16:creationId xmlns:a16="http://schemas.microsoft.com/office/drawing/2014/main" id="{00000000-0008-0000-0700-00009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09" name="Check Box 921" hidden="1">
              <a:extLst>
                <a:ext uri="{63B3BB69-23CF-44E3-9099-C40C66FF867C}">
                  <a14:compatExt spid="_x0000_s13209"/>
                </a:ext>
                <a:ext uri="{FF2B5EF4-FFF2-40B4-BE49-F238E27FC236}">
                  <a16:creationId xmlns:a16="http://schemas.microsoft.com/office/drawing/2014/main" id="{00000000-0008-0000-0700-00009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0" name="Check Box 922" hidden="1">
              <a:extLst>
                <a:ext uri="{63B3BB69-23CF-44E3-9099-C40C66FF867C}">
                  <a14:compatExt spid="_x0000_s13210"/>
                </a:ext>
                <a:ext uri="{FF2B5EF4-FFF2-40B4-BE49-F238E27FC236}">
                  <a16:creationId xmlns:a16="http://schemas.microsoft.com/office/drawing/2014/main" id="{00000000-0008-0000-0700-00009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1" name="Check Box 923" hidden="1">
              <a:extLst>
                <a:ext uri="{63B3BB69-23CF-44E3-9099-C40C66FF867C}">
                  <a14:compatExt spid="_x0000_s13211"/>
                </a:ext>
                <a:ext uri="{FF2B5EF4-FFF2-40B4-BE49-F238E27FC236}">
                  <a16:creationId xmlns:a16="http://schemas.microsoft.com/office/drawing/2014/main" id="{00000000-0008-0000-0700-00009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2" name="Check Box 924" hidden="1">
              <a:extLst>
                <a:ext uri="{63B3BB69-23CF-44E3-9099-C40C66FF867C}">
                  <a14:compatExt spid="_x0000_s13212"/>
                </a:ext>
                <a:ext uri="{FF2B5EF4-FFF2-40B4-BE49-F238E27FC236}">
                  <a16:creationId xmlns:a16="http://schemas.microsoft.com/office/drawing/2014/main" id="{00000000-0008-0000-0700-00009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3" name="Check Box 925" hidden="1">
              <a:extLst>
                <a:ext uri="{63B3BB69-23CF-44E3-9099-C40C66FF867C}">
                  <a14:compatExt spid="_x0000_s13213"/>
                </a:ext>
                <a:ext uri="{FF2B5EF4-FFF2-40B4-BE49-F238E27FC236}">
                  <a16:creationId xmlns:a16="http://schemas.microsoft.com/office/drawing/2014/main" id="{00000000-0008-0000-0700-00009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4" name="Check Box 926" hidden="1">
              <a:extLst>
                <a:ext uri="{63B3BB69-23CF-44E3-9099-C40C66FF867C}">
                  <a14:compatExt spid="_x0000_s13214"/>
                </a:ext>
                <a:ext uri="{FF2B5EF4-FFF2-40B4-BE49-F238E27FC236}">
                  <a16:creationId xmlns:a16="http://schemas.microsoft.com/office/drawing/2014/main" id="{00000000-0008-0000-0700-00009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5" name="Check Box 927" hidden="1">
              <a:extLst>
                <a:ext uri="{63B3BB69-23CF-44E3-9099-C40C66FF867C}">
                  <a14:compatExt spid="_x0000_s13215"/>
                </a:ext>
                <a:ext uri="{FF2B5EF4-FFF2-40B4-BE49-F238E27FC236}">
                  <a16:creationId xmlns:a16="http://schemas.microsoft.com/office/drawing/2014/main" id="{00000000-0008-0000-0700-00009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6" name="Check Box 928" hidden="1">
              <a:extLst>
                <a:ext uri="{63B3BB69-23CF-44E3-9099-C40C66FF867C}">
                  <a14:compatExt spid="_x0000_s13216"/>
                </a:ext>
                <a:ext uri="{FF2B5EF4-FFF2-40B4-BE49-F238E27FC236}">
                  <a16:creationId xmlns:a16="http://schemas.microsoft.com/office/drawing/2014/main" id="{00000000-0008-0000-0700-0000A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7" name="Check Box 929" hidden="1">
              <a:extLst>
                <a:ext uri="{63B3BB69-23CF-44E3-9099-C40C66FF867C}">
                  <a14:compatExt spid="_x0000_s13217"/>
                </a:ext>
                <a:ext uri="{FF2B5EF4-FFF2-40B4-BE49-F238E27FC236}">
                  <a16:creationId xmlns:a16="http://schemas.microsoft.com/office/drawing/2014/main" id="{00000000-0008-0000-0700-0000A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8" name="Check Box 930" hidden="1">
              <a:extLst>
                <a:ext uri="{63B3BB69-23CF-44E3-9099-C40C66FF867C}">
                  <a14:compatExt spid="_x0000_s13218"/>
                </a:ext>
                <a:ext uri="{FF2B5EF4-FFF2-40B4-BE49-F238E27FC236}">
                  <a16:creationId xmlns:a16="http://schemas.microsoft.com/office/drawing/2014/main" id="{00000000-0008-0000-0700-0000A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19" name="Check Box 931" hidden="1">
              <a:extLst>
                <a:ext uri="{63B3BB69-23CF-44E3-9099-C40C66FF867C}">
                  <a14:compatExt spid="_x0000_s13219"/>
                </a:ext>
                <a:ext uri="{FF2B5EF4-FFF2-40B4-BE49-F238E27FC236}">
                  <a16:creationId xmlns:a16="http://schemas.microsoft.com/office/drawing/2014/main" id="{00000000-0008-0000-0700-0000A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20" name="Check Box 932" hidden="1">
              <a:extLst>
                <a:ext uri="{63B3BB69-23CF-44E3-9099-C40C66FF867C}">
                  <a14:compatExt spid="_x0000_s13220"/>
                </a:ext>
                <a:ext uri="{FF2B5EF4-FFF2-40B4-BE49-F238E27FC236}">
                  <a16:creationId xmlns:a16="http://schemas.microsoft.com/office/drawing/2014/main" id="{00000000-0008-0000-0700-0000A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21" name="Check Box 933" hidden="1">
              <a:extLst>
                <a:ext uri="{63B3BB69-23CF-44E3-9099-C40C66FF867C}">
                  <a14:compatExt spid="_x0000_s13221"/>
                </a:ext>
                <a:ext uri="{FF2B5EF4-FFF2-40B4-BE49-F238E27FC236}">
                  <a16:creationId xmlns:a16="http://schemas.microsoft.com/office/drawing/2014/main" id="{00000000-0008-0000-0700-0000A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22" name="Check Box 934" hidden="1">
              <a:extLst>
                <a:ext uri="{63B3BB69-23CF-44E3-9099-C40C66FF867C}">
                  <a14:compatExt spid="_x0000_s13222"/>
                </a:ext>
                <a:ext uri="{FF2B5EF4-FFF2-40B4-BE49-F238E27FC236}">
                  <a16:creationId xmlns:a16="http://schemas.microsoft.com/office/drawing/2014/main" id="{00000000-0008-0000-0700-0000A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23" name="Check Box 935" hidden="1">
              <a:extLst>
                <a:ext uri="{63B3BB69-23CF-44E3-9099-C40C66FF867C}">
                  <a14:compatExt spid="_x0000_s13223"/>
                </a:ext>
                <a:ext uri="{FF2B5EF4-FFF2-40B4-BE49-F238E27FC236}">
                  <a16:creationId xmlns:a16="http://schemas.microsoft.com/office/drawing/2014/main" id="{00000000-0008-0000-0700-0000A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45720</xdr:colOff>
          <xdr:row>30</xdr:row>
          <xdr:rowOff>7620</xdr:rowOff>
        </xdr:to>
        <xdr:sp macro="" textlink="">
          <xdr:nvSpPr>
            <xdr:cNvPr id="13224" name="Check Box 936" hidden="1">
              <a:extLst>
                <a:ext uri="{63B3BB69-23CF-44E3-9099-C40C66FF867C}">
                  <a14:compatExt spid="_x0000_s13224"/>
                </a:ext>
                <a:ext uri="{FF2B5EF4-FFF2-40B4-BE49-F238E27FC236}">
                  <a16:creationId xmlns:a16="http://schemas.microsoft.com/office/drawing/2014/main" id="{00000000-0008-0000-0700-0000A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25" name="Check Box 937" hidden="1">
              <a:extLst>
                <a:ext uri="{63B3BB69-23CF-44E3-9099-C40C66FF867C}">
                  <a14:compatExt spid="_x0000_s13225"/>
                </a:ext>
                <a:ext uri="{FF2B5EF4-FFF2-40B4-BE49-F238E27FC236}">
                  <a16:creationId xmlns:a16="http://schemas.microsoft.com/office/drawing/2014/main" id="{00000000-0008-0000-0700-0000A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26" name="Check Box 938" hidden="1">
              <a:extLst>
                <a:ext uri="{63B3BB69-23CF-44E3-9099-C40C66FF867C}">
                  <a14:compatExt spid="_x0000_s13226"/>
                </a:ext>
                <a:ext uri="{FF2B5EF4-FFF2-40B4-BE49-F238E27FC236}">
                  <a16:creationId xmlns:a16="http://schemas.microsoft.com/office/drawing/2014/main" id="{00000000-0008-0000-0700-0000A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27" name="Check Box 939" hidden="1">
              <a:extLst>
                <a:ext uri="{63B3BB69-23CF-44E3-9099-C40C66FF867C}">
                  <a14:compatExt spid="_x0000_s13227"/>
                </a:ext>
                <a:ext uri="{FF2B5EF4-FFF2-40B4-BE49-F238E27FC236}">
                  <a16:creationId xmlns:a16="http://schemas.microsoft.com/office/drawing/2014/main" id="{00000000-0008-0000-0700-0000A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28" name="Check Box 940" hidden="1">
              <a:extLst>
                <a:ext uri="{63B3BB69-23CF-44E3-9099-C40C66FF867C}">
                  <a14:compatExt spid="_x0000_s13228"/>
                </a:ext>
                <a:ext uri="{FF2B5EF4-FFF2-40B4-BE49-F238E27FC236}">
                  <a16:creationId xmlns:a16="http://schemas.microsoft.com/office/drawing/2014/main" id="{00000000-0008-0000-0700-0000A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29" name="Check Box 941" hidden="1">
              <a:extLst>
                <a:ext uri="{63B3BB69-23CF-44E3-9099-C40C66FF867C}">
                  <a14:compatExt spid="_x0000_s13229"/>
                </a:ext>
                <a:ext uri="{FF2B5EF4-FFF2-40B4-BE49-F238E27FC236}">
                  <a16:creationId xmlns:a16="http://schemas.microsoft.com/office/drawing/2014/main" id="{00000000-0008-0000-0700-0000A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0" name="Check Box 942" hidden="1">
              <a:extLst>
                <a:ext uri="{63B3BB69-23CF-44E3-9099-C40C66FF867C}">
                  <a14:compatExt spid="_x0000_s13230"/>
                </a:ext>
                <a:ext uri="{FF2B5EF4-FFF2-40B4-BE49-F238E27FC236}">
                  <a16:creationId xmlns:a16="http://schemas.microsoft.com/office/drawing/2014/main" id="{00000000-0008-0000-0700-0000A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1" name="Check Box 943" hidden="1">
              <a:extLst>
                <a:ext uri="{63B3BB69-23CF-44E3-9099-C40C66FF867C}">
                  <a14:compatExt spid="_x0000_s13231"/>
                </a:ext>
                <a:ext uri="{FF2B5EF4-FFF2-40B4-BE49-F238E27FC236}">
                  <a16:creationId xmlns:a16="http://schemas.microsoft.com/office/drawing/2014/main" id="{00000000-0008-0000-0700-0000A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2" name="Check Box 944" hidden="1">
              <a:extLst>
                <a:ext uri="{63B3BB69-23CF-44E3-9099-C40C66FF867C}">
                  <a14:compatExt spid="_x0000_s13232"/>
                </a:ext>
                <a:ext uri="{FF2B5EF4-FFF2-40B4-BE49-F238E27FC236}">
                  <a16:creationId xmlns:a16="http://schemas.microsoft.com/office/drawing/2014/main" id="{00000000-0008-0000-0700-0000B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3" name="Check Box 945" hidden="1">
              <a:extLst>
                <a:ext uri="{63B3BB69-23CF-44E3-9099-C40C66FF867C}">
                  <a14:compatExt spid="_x0000_s13233"/>
                </a:ext>
                <a:ext uri="{FF2B5EF4-FFF2-40B4-BE49-F238E27FC236}">
                  <a16:creationId xmlns:a16="http://schemas.microsoft.com/office/drawing/2014/main" id="{00000000-0008-0000-0700-0000B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4" name="Check Box 946" hidden="1">
              <a:extLst>
                <a:ext uri="{63B3BB69-23CF-44E3-9099-C40C66FF867C}">
                  <a14:compatExt spid="_x0000_s13234"/>
                </a:ext>
                <a:ext uri="{FF2B5EF4-FFF2-40B4-BE49-F238E27FC236}">
                  <a16:creationId xmlns:a16="http://schemas.microsoft.com/office/drawing/2014/main" id="{00000000-0008-0000-0700-0000B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5" name="Check Box 947" hidden="1">
              <a:extLst>
                <a:ext uri="{63B3BB69-23CF-44E3-9099-C40C66FF867C}">
                  <a14:compatExt spid="_x0000_s13235"/>
                </a:ext>
                <a:ext uri="{FF2B5EF4-FFF2-40B4-BE49-F238E27FC236}">
                  <a16:creationId xmlns:a16="http://schemas.microsoft.com/office/drawing/2014/main" id="{00000000-0008-0000-0700-0000B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6" name="Check Box 948" hidden="1">
              <a:extLst>
                <a:ext uri="{63B3BB69-23CF-44E3-9099-C40C66FF867C}">
                  <a14:compatExt spid="_x0000_s13236"/>
                </a:ext>
                <a:ext uri="{FF2B5EF4-FFF2-40B4-BE49-F238E27FC236}">
                  <a16:creationId xmlns:a16="http://schemas.microsoft.com/office/drawing/2014/main" id="{00000000-0008-0000-0700-0000B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7" name="Check Box 949" hidden="1">
              <a:extLst>
                <a:ext uri="{63B3BB69-23CF-44E3-9099-C40C66FF867C}">
                  <a14:compatExt spid="_x0000_s13237"/>
                </a:ext>
                <a:ext uri="{FF2B5EF4-FFF2-40B4-BE49-F238E27FC236}">
                  <a16:creationId xmlns:a16="http://schemas.microsoft.com/office/drawing/2014/main" id="{00000000-0008-0000-0700-0000B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8" name="Check Box 950" hidden="1">
              <a:extLst>
                <a:ext uri="{63B3BB69-23CF-44E3-9099-C40C66FF867C}">
                  <a14:compatExt spid="_x0000_s13238"/>
                </a:ext>
                <a:ext uri="{FF2B5EF4-FFF2-40B4-BE49-F238E27FC236}">
                  <a16:creationId xmlns:a16="http://schemas.microsoft.com/office/drawing/2014/main" id="{00000000-0008-0000-0700-0000B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39" name="Check Box 951" hidden="1">
              <a:extLst>
                <a:ext uri="{63B3BB69-23CF-44E3-9099-C40C66FF867C}">
                  <a14:compatExt spid="_x0000_s13239"/>
                </a:ext>
                <a:ext uri="{FF2B5EF4-FFF2-40B4-BE49-F238E27FC236}">
                  <a16:creationId xmlns:a16="http://schemas.microsoft.com/office/drawing/2014/main" id="{00000000-0008-0000-0700-0000B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0" name="Check Box 952" hidden="1">
              <a:extLst>
                <a:ext uri="{63B3BB69-23CF-44E3-9099-C40C66FF867C}">
                  <a14:compatExt spid="_x0000_s13240"/>
                </a:ext>
                <a:ext uri="{FF2B5EF4-FFF2-40B4-BE49-F238E27FC236}">
                  <a16:creationId xmlns:a16="http://schemas.microsoft.com/office/drawing/2014/main" id="{00000000-0008-0000-0700-0000B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1" name="Check Box 953" hidden="1">
              <a:extLst>
                <a:ext uri="{63B3BB69-23CF-44E3-9099-C40C66FF867C}">
                  <a14:compatExt spid="_x0000_s13241"/>
                </a:ext>
                <a:ext uri="{FF2B5EF4-FFF2-40B4-BE49-F238E27FC236}">
                  <a16:creationId xmlns:a16="http://schemas.microsoft.com/office/drawing/2014/main" id="{00000000-0008-0000-0700-0000B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2" name="Check Box 954" hidden="1">
              <a:extLst>
                <a:ext uri="{63B3BB69-23CF-44E3-9099-C40C66FF867C}">
                  <a14:compatExt spid="_x0000_s13242"/>
                </a:ext>
                <a:ext uri="{FF2B5EF4-FFF2-40B4-BE49-F238E27FC236}">
                  <a16:creationId xmlns:a16="http://schemas.microsoft.com/office/drawing/2014/main" id="{00000000-0008-0000-0700-0000B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3" name="Check Box 955" hidden="1">
              <a:extLst>
                <a:ext uri="{63B3BB69-23CF-44E3-9099-C40C66FF867C}">
                  <a14:compatExt spid="_x0000_s13243"/>
                </a:ext>
                <a:ext uri="{FF2B5EF4-FFF2-40B4-BE49-F238E27FC236}">
                  <a16:creationId xmlns:a16="http://schemas.microsoft.com/office/drawing/2014/main" id="{00000000-0008-0000-0700-0000B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4" name="Check Box 956" hidden="1">
              <a:extLst>
                <a:ext uri="{63B3BB69-23CF-44E3-9099-C40C66FF867C}">
                  <a14:compatExt spid="_x0000_s13244"/>
                </a:ext>
                <a:ext uri="{FF2B5EF4-FFF2-40B4-BE49-F238E27FC236}">
                  <a16:creationId xmlns:a16="http://schemas.microsoft.com/office/drawing/2014/main" id="{00000000-0008-0000-0700-0000B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5" name="Check Box 957" hidden="1">
              <a:extLst>
                <a:ext uri="{63B3BB69-23CF-44E3-9099-C40C66FF867C}">
                  <a14:compatExt spid="_x0000_s13245"/>
                </a:ext>
                <a:ext uri="{FF2B5EF4-FFF2-40B4-BE49-F238E27FC236}">
                  <a16:creationId xmlns:a16="http://schemas.microsoft.com/office/drawing/2014/main" id="{00000000-0008-0000-0700-0000B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6" name="Check Box 958" hidden="1">
              <a:extLst>
                <a:ext uri="{63B3BB69-23CF-44E3-9099-C40C66FF867C}">
                  <a14:compatExt spid="_x0000_s13246"/>
                </a:ext>
                <a:ext uri="{FF2B5EF4-FFF2-40B4-BE49-F238E27FC236}">
                  <a16:creationId xmlns:a16="http://schemas.microsoft.com/office/drawing/2014/main" id="{00000000-0008-0000-0700-0000B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7" name="Check Box 959" hidden="1">
              <a:extLst>
                <a:ext uri="{63B3BB69-23CF-44E3-9099-C40C66FF867C}">
                  <a14:compatExt spid="_x0000_s13247"/>
                </a:ext>
                <a:ext uri="{FF2B5EF4-FFF2-40B4-BE49-F238E27FC236}">
                  <a16:creationId xmlns:a16="http://schemas.microsoft.com/office/drawing/2014/main" id="{00000000-0008-0000-0700-0000B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8" name="Check Box 960" hidden="1">
              <a:extLst>
                <a:ext uri="{63B3BB69-23CF-44E3-9099-C40C66FF867C}">
                  <a14:compatExt spid="_x0000_s13248"/>
                </a:ext>
                <a:ext uri="{FF2B5EF4-FFF2-40B4-BE49-F238E27FC236}">
                  <a16:creationId xmlns:a16="http://schemas.microsoft.com/office/drawing/2014/main" id="{00000000-0008-0000-0700-0000C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49" name="Check Box 961" hidden="1">
              <a:extLst>
                <a:ext uri="{63B3BB69-23CF-44E3-9099-C40C66FF867C}">
                  <a14:compatExt spid="_x0000_s13249"/>
                </a:ext>
                <a:ext uri="{FF2B5EF4-FFF2-40B4-BE49-F238E27FC236}">
                  <a16:creationId xmlns:a16="http://schemas.microsoft.com/office/drawing/2014/main" id="{00000000-0008-0000-0700-0000C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0" name="Check Box 962" hidden="1">
              <a:extLst>
                <a:ext uri="{63B3BB69-23CF-44E3-9099-C40C66FF867C}">
                  <a14:compatExt spid="_x0000_s13250"/>
                </a:ext>
                <a:ext uri="{FF2B5EF4-FFF2-40B4-BE49-F238E27FC236}">
                  <a16:creationId xmlns:a16="http://schemas.microsoft.com/office/drawing/2014/main" id="{00000000-0008-0000-0700-0000C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1" name="Check Box 963" hidden="1">
              <a:extLst>
                <a:ext uri="{63B3BB69-23CF-44E3-9099-C40C66FF867C}">
                  <a14:compatExt spid="_x0000_s13251"/>
                </a:ext>
                <a:ext uri="{FF2B5EF4-FFF2-40B4-BE49-F238E27FC236}">
                  <a16:creationId xmlns:a16="http://schemas.microsoft.com/office/drawing/2014/main" id="{00000000-0008-0000-0700-0000C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2" name="Check Box 964" hidden="1">
              <a:extLst>
                <a:ext uri="{63B3BB69-23CF-44E3-9099-C40C66FF867C}">
                  <a14:compatExt spid="_x0000_s13252"/>
                </a:ext>
                <a:ext uri="{FF2B5EF4-FFF2-40B4-BE49-F238E27FC236}">
                  <a16:creationId xmlns:a16="http://schemas.microsoft.com/office/drawing/2014/main" id="{00000000-0008-0000-0700-0000C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3" name="Check Box 965" hidden="1">
              <a:extLst>
                <a:ext uri="{63B3BB69-23CF-44E3-9099-C40C66FF867C}">
                  <a14:compatExt spid="_x0000_s13253"/>
                </a:ext>
                <a:ext uri="{FF2B5EF4-FFF2-40B4-BE49-F238E27FC236}">
                  <a16:creationId xmlns:a16="http://schemas.microsoft.com/office/drawing/2014/main" id="{00000000-0008-0000-0700-0000C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4" name="Check Box 966" hidden="1">
              <a:extLst>
                <a:ext uri="{63B3BB69-23CF-44E3-9099-C40C66FF867C}">
                  <a14:compatExt spid="_x0000_s13254"/>
                </a:ext>
                <a:ext uri="{FF2B5EF4-FFF2-40B4-BE49-F238E27FC236}">
                  <a16:creationId xmlns:a16="http://schemas.microsoft.com/office/drawing/2014/main" id="{00000000-0008-0000-0700-0000C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5" name="Check Box 967" hidden="1">
              <a:extLst>
                <a:ext uri="{63B3BB69-23CF-44E3-9099-C40C66FF867C}">
                  <a14:compatExt spid="_x0000_s13255"/>
                </a:ext>
                <a:ext uri="{FF2B5EF4-FFF2-40B4-BE49-F238E27FC236}">
                  <a16:creationId xmlns:a16="http://schemas.microsoft.com/office/drawing/2014/main" id="{00000000-0008-0000-0700-0000C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6" name="Check Box 968" hidden="1">
              <a:extLst>
                <a:ext uri="{63B3BB69-23CF-44E3-9099-C40C66FF867C}">
                  <a14:compatExt spid="_x0000_s13256"/>
                </a:ext>
                <a:ext uri="{FF2B5EF4-FFF2-40B4-BE49-F238E27FC236}">
                  <a16:creationId xmlns:a16="http://schemas.microsoft.com/office/drawing/2014/main" id="{00000000-0008-0000-0700-0000C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7" name="Check Box 969" hidden="1">
              <a:extLst>
                <a:ext uri="{63B3BB69-23CF-44E3-9099-C40C66FF867C}">
                  <a14:compatExt spid="_x0000_s13257"/>
                </a:ext>
                <a:ext uri="{FF2B5EF4-FFF2-40B4-BE49-F238E27FC236}">
                  <a16:creationId xmlns:a16="http://schemas.microsoft.com/office/drawing/2014/main" id="{00000000-0008-0000-0700-0000C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8" name="Check Box 970" hidden="1">
              <a:extLst>
                <a:ext uri="{63B3BB69-23CF-44E3-9099-C40C66FF867C}">
                  <a14:compatExt spid="_x0000_s13258"/>
                </a:ext>
                <a:ext uri="{FF2B5EF4-FFF2-40B4-BE49-F238E27FC236}">
                  <a16:creationId xmlns:a16="http://schemas.microsoft.com/office/drawing/2014/main" id="{00000000-0008-0000-0700-0000C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59" name="Check Box 971" hidden="1">
              <a:extLst>
                <a:ext uri="{63B3BB69-23CF-44E3-9099-C40C66FF867C}">
                  <a14:compatExt spid="_x0000_s13259"/>
                </a:ext>
                <a:ext uri="{FF2B5EF4-FFF2-40B4-BE49-F238E27FC236}">
                  <a16:creationId xmlns:a16="http://schemas.microsoft.com/office/drawing/2014/main" id="{00000000-0008-0000-0700-0000C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60" name="Check Box 972" hidden="1">
              <a:extLst>
                <a:ext uri="{63B3BB69-23CF-44E3-9099-C40C66FF867C}">
                  <a14:compatExt spid="_x0000_s13260"/>
                </a:ext>
                <a:ext uri="{FF2B5EF4-FFF2-40B4-BE49-F238E27FC236}">
                  <a16:creationId xmlns:a16="http://schemas.microsoft.com/office/drawing/2014/main" id="{00000000-0008-0000-0700-0000C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61" name="Check Box 973" hidden="1">
              <a:extLst>
                <a:ext uri="{63B3BB69-23CF-44E3-9099-C40C66FF867C}">
                  <a14:compatExt spid="_x0000_s13261"/>
                </a:ext>
                <a:ext uri="{FF2B5EF4-FFF2-40B4-BE49-F238E27FC236}">
                  <a16:creationId xmlns:a16="http://schemas.microsoft.com/office/drawing/2014/main" id="{00000000-0008-0000-0700-0000C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45720</xdr:colOff>
          <xdr:row>31</xdr:row>
          <xdr:rowOff>7620</xdr:rowOff>
        </xdr:to>
        <xdr:sp macro="" textlink="">
          <xdr:nvSpPr>
            <xdr:cNvPr id="13262" name="Check Box 974" hidden="1">
              <a:extLst>
                <a:ext uri="{63B3BB69-23CF-44E3-9099-C40C66FF867C}">
                  <a14:compatExt spid="_x0000_s13262"/>
                </a:ext>
                <a:ext uri="{FF2B5EF4-FFF2-40B4-BE49-F238E27FC236}">
                  <a16:creationId xmlns:a16="http://schemas.microsoft.com/office/drawing/2014/main" id="{00000000-0008-0000-0700-0000C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3" name="Check Box 975" hidden="1">
              <a:extLst>
                <a:ext uri="{63B3BB69-23CF-44E3-9099-C40C66FF867C}">
                  <a14:compatExt spid="_x0000_s13263"/>
                </a:ext>
                <a:ext uri="{FF2B5EF4-FFF2-40B4-BE49-F238E27FC236}">
                  <a16:creationId xmlns:a16="http://schemas.microsoft.com/office/drawing/2014/main" id="{00000000-0008-0000-0700-0000C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4" name="Check Box 976" hidden="1">
              <a:extLst>
                <a:ext uri="{63B3BB69-23CF-44E3-9099-C40C66FF867C}">
                  <a14:compatExt spid="_x0000_s13264"/>
                </a:ext>
                <a:ext uri="{FF2B5EF4-FFF2-40B4-BE49-F238E27FC236}">
                  <a16:creationId xmlns:a16="http://schemas.microsoft.com/office/drawing/2014/main" id="{00000000-0008-0000-0700-0000D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5" name="Check Box 977" hidden="1">
              <a:extLst>
                <a:ext uri="{63B3BB69-23CF-44E3-9099-C40C66FF867C}">
                  <a14:compatExt spid="_x0000_s13265"/>
                </a:ext>
                <a:ext uri="{FF2B5EF4-FFF2-40B4-BE49-F238E27FC236}">
                  <a16:creationId xmlns:a16="http://schemas.microsoft.com/office/drawing/2014/main" id="{00000000-0008-0000-0700-0000D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6" name="Check Box 978" hidden="1">
              <a:extLst>
                <a:ext uri="{63B3BB69-23CF-44E3-9099-C40C66FF867C}">
                  <a14:compatExt spid="_x0000_s13266"/>
                </a:ext>
                <a:ext uri="{FF2B5EF4-FFF2-40B4-BE49-F238E27FC236}">
                  <a16:creationId xmlns:a16="http://schemas.microsoft.com/office/drawing/2014/main" id="{00000000-0008-0000-0700-0000D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7" name="Check Box 979" hidden="1">
              <a:extLst>
                <a:ext uri="{63B3BB69-23CF-44E3-9099-C40C66FF867C}">
                  <a14:compatExt spid="_x0000_s13267"/>
                </a:ext>
                <a:ext uri="{FF2B5EF4-FFF2-40B4-BE49-F238E27FC236}">
                  <a16:creationId xmlns:a16="http://schemas.microsoft.com/office/drawing/2014/main" id="{00000000-0008-0000-0700-0000D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8" name="Check Box 980" hidden="1">
              <a:extLst>
                <a:ext uri="{63B3BB69-23CF-44E3-9099-C40C66FF867C}">
                  <a14:compatExt spid="_x0000_s13268"/>
                </a:ext>
                <a:ext uri="{FF2B5EF4-FFF2-40B4-BE49-F238E27FC236}">
                  <a16:creationId xmlns:a16="http://schemas.microsoft.com/office/drawing/2014/main" id="{00000000-0008-0000-0700-0000D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69" name="Check Box 981" hidden="1">
              <a:extLst>
                <a:ext uri="{63B3BB69-23CF-44E3-9099-C40C66FF867C}">
                  <a14:compatExt spid="_x0000_s13269"/>
                </a:ext>
                <a:ext uri="{FF2B5EF4-FFF2-40B4-BE49-F238E27FC236}">
                  <a16:creationId xmlns:a16="http://schemas.microsoft.com/office/drawing/2014/main" id="{00000000-0008-0000-0700-0000D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0" name="Check Box 982" hidden="1">
              <a:extLst>
                <a:ext uri="{63B3BB69-23CF-44E3-9099-C40C66FF867C}">
                  <a14:compatExt spid="_x0000_s13270"/>
                </a:ext>
                <a:ext uri="{FF2B5EF4-FFF2-40B4-BE49-F238E27FC236}">
                  <a16:creationId xmlns:a16="http://schemas.microsoft.com/office/drawing/2014/main" id="{00000000-0008-0000-0700-0000D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1" name="Check Box 983" hidden="1">
              <a:extLst>
                <a:ext uri="{63B3BB69-23CF-44E3-9099-C40C66FF867C}">
                  <a14:compatExt spid="_x0000_s13271"/>
                </a:ext>
                <a:ext uri="{FF2B5EF4-FFF2-40B4-BE49-F238E27FC236}">
                  <a16:creationId xmlns:a16="http://schemas.microsoft.com/office/drawing/2014/main" id="{00000000-0008-0000-0700-0000D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2" name="Check Box 984" hidden="1">
              <a:extLst>
                <a:ext uri="{63B3BB69-23CF-44E3-9099-C40C66FF867C}">
                  <a14:compatExt spid="_x0000_s13272"/>
                </a:ext>
                <a:ext uri="{FF2B5EF4-FFF2-40B4-BE49-F238E27FC236}">
                  <a16:creationId xmlns:a16="http://schemas.microsoft.com/office/drawing/2014/main" id="{00000000-0008-0000-0700-0000D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3" name="Check Box 985" hidden="1">
              <a:extLst>
                <a:ext uri="{63B3BB69-23CF-44E3-9099-C40C66FF867C}">
                  <a14:compatExt spid="_x0000_s13273"/>
                </a:ext>
                <a:ext uri="{FF2B5EF4-FFF2-40B4-BE49-F238E27FC236}">
                  <a16:creationId xmlns:a16="http://schemas.microsoft.com/office/drawing/2014/main" id="{00000000-0008-0000-0700-0000D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4" name="Check Box 986" hidden="1">
              <a:extLst>
                <a:ext uri="{63B3BB69-23CF-44E3-9099-C40C66FF867C}">
                  <a14:compatExt spid="_x0000_s13274"/>
                </a:ext>
                <a:ext uri="{FF2B5EF4-FFF2-40B4-BE49-F238E27FC236}">
                  <a16:creationId xmlns:a16="http://schemas.microsoft.com/office/drawing/2014/main" id="{00000000-0008-0000-0700-0000D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5" name="Check Box 987" hidden="1">
              <a:extLst>
                <a:ext uri="{63B3BB69-23CF-44E3-9099-C40C66FF867C}">
                  <a14:compatExt spid="_x0000_s13275"/>
                </a:ext>
                <a:ext uri="{FF2B5EF4-FFF2-40B4-BE49-F238E27FC236}">
                  <a16:creationId xmlns:a16="http://schemas.microsoft.com/office/drawing/2014/main" id="{00000000-0008-0000-0700-0000D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6" name="Check Box 988" hidden="1">
              <a:extLst>
                <a:ext uri="{63B3BB69-23CF-44E3-9099-C40C66FF867C}">
                  <a14:compatExt spid="_x0000_s13276"/>
                </a:ext>
                <a:ext uri="{FF2B5EF4-FFF2-40B4-BE49-F238E27FC236}">
                  <a16:creationId xmlns:a16="http://schemas.microsoft.com/office/drawing/2014/main" id="{00000000-0008-0000-0700-0000D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7" name="Check Box 989" hidden="1">
              <a:extLst>
                <a:ext uri="{63B3BB69-23CF-44E3-9099-C40C66FF867C}">
                  <a14:compatExt spid="_x0000_s13277"/>
                </a:ext>
                <a:ext uri="{FF2B5EF4-FFF2-40B4-BE49-F238E27FC236}">
                  <a16:creationId xmlns:a16="http://schemas.microsoft.com/office/drawing/2014/main" id="{00000000-0008-0000-0700-0000D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8" name="Check Box 990" hidden="1">
              <a:extLst>
                <a:ext uri="{63B3BB69-23CF-44E3-9099-C40C66FF867C}">
                  <a14:compatExt spid="_x0000_s13278"/>
                </a:ext>
                <a:ext uri="{FF2B5EF4-FFF2-40B4-BE49-F238E27FC236}">
                  <a16:creationId xmlns:a16="http://schemas.microsoft.com/office/drawing/2014/main" id="{00000000-0008-0000-0700-0000D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79" name="Check Box 991" hidden="1">
              <a:extLst>
                <a:ext uri="{63B3BB69-23CF-44E3-9099-C40C66FF867C}">
                  <a14:compatExt spid="_x0000_s13279"/>
                </a:ext>
                <a:ext uri="{FF2B5EF4-FFF2-40B4-BE49-F238E27FC236}">
                  <a16:creationId xmlns:a16="http://schemas.microsoft.com/office/drawing/2014/main" id="{00000000-0008-0000-0700-0000D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0" name="Check Box 992" hidden="1">
              <a:extLst>
                <a:ext uri="{63B3BB69-23CF-44E3-9099-C40C66FF867C}">
                  <a14:compatExt spid="_x0000_s13280"/>
                </a:ext>
                <a:ext uri="{FF2B5EF4-FFF2-40B4-BE49-F238E27FC236}">
                  <a16:creationId xmlns:a16="http://schemas.microsoft.com/office/drawing/2014/main" id="{00000000-0008-0000-0700-0000E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1" name="Check Box 993" hidden="1">
              <a:extLst>
                <a:ext uri="{63B3BB69-23CF-44E3-9099-C40C66FF867C}">
                  <a14:compatExt spid="_x0000_s13281"/>
                </a:ext>
                <a:ext uri="{FF2B5EF4-FFF2-40B4-BE49-F238E27FC236}">
                  <a16:creationId xmlns:a16="http://schemas.microsoft.com/office/drawing/2014/main" id="{00000000-0008-0000-0700-0000E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2" name="Check Box 994" hidden="1">
              <a:extLst>
                <a:ext uri="{63B3BB69-23CF-44E3-9099-C40C66FF867C}">
                  <a14:compatExt spid="_x0000_s13282"/>
                </a:ext>
                <a:ext uri="{FF2B5EF4-FFF2-40B4-BE49-F238E27FC236}">
                  <a16:creationId xmlns:a16="http://schemas.microsoft.com/office/drawing/2014/main" id="{00000000-0008-0000-0700-0000E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3" name="Check Box 995" hidden="1">
              <a:extLst>
                <a:ext uri="{63B3BB69-23CF-44E3-9099-C40C66FF867C}">
                  <a14:compatExt spid="_x0000_s13283"/>
                </a:ext>
                <a:ext uri="{FF2B5EF4-FFF2-40B4-BE49-F238E27FC236}">
                  <a16:creationId xmlns:a16="http://schemas.microsoft.com/office/drawing/2014/main" id="{00000000-0008-0000-0700-0000E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4" name="Check Box 996" hidden="1">
              <a:extLst>
                <a:ext uri="{63B3BB69-23CF-44E3-9099-C40C66FF867C}">
                  <a14:compatExt spid="_x0000_s13284"/>
                </a:ext>
                <a:ext uri="{FF2B5EF4-FFF2-40B4-BE49-F238E27FC236}">
                  <a16:creationId xmlns:a16="http://schemas.microsoft.com/office/drawing/2014/main" id="{00000000-0008-0000-0700-0000E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5" name="Check Box 997" hidden="1">
              <a:extLst>
                <a:ext uri="{63B3BB69-23CF-44E3-9099-C40C66FF867C}">
                  <a14:compatExt spid="_x0000_s13285"/>
                </a:ext>
                <a:ext uri="{FF2B5EF4-FFF2-40B4-BE49-F238E27FC236}">
                  <a16:creationId xmlns:a16="http://schemas.microsoft.com/office/drawing/2014/main" id="{00000000-0008-0000-0700-0000E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6" name="Check Box 998" hidden="1">
              <a:extLst>
                <a:ext uri="{63B3BB69-23CF-44E3-9099-C40C66FF867C}">
                  <a14:compatExt spid="_x0000_s13286"/>
                </a:ext>
                <a:ext uri="{FF2B5EF4-FFF2-40B4-BE49-F238E27FC236}">
                  <a16:creationId xmlns:a16="http://schemas.microsoft.com/office/drawing/2014/main" id="{00000000-0008-0000-0700-0000E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7" name="Check Box 999" hidden="1">
              <a:extLst>
                <a:ext uri="{63B3BB69-23CF-44E3-9099-C40C66FF867C}">
                  <a14:compatExt spid="_x0000_s13287"/>
                </a:ext>
                <a:ext uri="{FF2B5EF4-FFF2-40B4-BE49-F238E27FC236}">
                  <a16:creationId xmlns:a16="http://schemas.microsoft.com/office/drawing/2014/main" id="{00000000-0008-0000-0700-0000E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8" name="Check Box 1000" hidden="1">
              <a:extLst>
                <a:ext uri="{63B3BB69-23CF-44E3-9099-C40C66FF867C}">
                  <a14:compatExt spid="_x0000_s13288"/>
                </a:ext>
                <a:ext uri="{FF2B5EF4-FFF2-40B4-BE49-F238E27FC236}">
                  <a16:creationId xmlns:a16="http://schemas.microsoft.com/office/drawing/2014/main" id="{00000000-0008-0000-0700-0000E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89" name="Check Box 1001" hidden="1">
              <a:extLst>
                <a:ext uri="{63B3BB69-23CF-44E3-9099-C40C66FF867C}">
                  <a14:compatExt spid="_x0000_s13289"/>
                </a:ext>
                <a:ext uri="{FF2B5EF4-FFF2-40B4-BE49-F238E27FC236}">
                  <a16:creationId xmlns:a16="http://schemas.microsoft.com/office/drawing/2014/main" id="{00000000-0008-0000-0700-0000E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0" name="Check Box 1002" hidden="1">
              <a:extLst>
                <a:ext uri="{63B3BB69-23CF-44E3-9099-C40C66FF867C}">
                  <a14:compatExt spid="_x0000_s13290"/>
                </a:ext>
                <a:ext uri="{FF2B5EF4-FFF2-40B4-BE49-F238E27FC236}">
                  <a16:creationId xmlns:a16="http://schemas.microsoft.com/office/drawing/2014/main" id="{00000000-0008-0000-0700-0000E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1" name="Check Box 1003" hidden="1">
              <a:extLst>
                <a:ext uri="{63B3BB69-23CF-44E3-9099-C40C66FF867C}">
                  <a14:compatExt spid="_x0000_s13291"/>
                </a:ext>
                <a:ext uri="{FF2B5EF4-FFF2-40B4-BE49-F238E27FC236}">
                  <a16:creationId xmlns:a16="http://schemas.microsoft.com/office/drawing/2014/main" id="{00000000-0008-0000-0700-0000E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2" name="Check Box 1004" hidden="1">
              <a:extLst>
                <a:ext uri="{63B3BB69-23CF-44E3-9099-C40C66FF867C}">
                  <a14:compatExt spid="_x0000_s13292"/>
                </a:ext>
                <a:ext uri="{FF2B5EF4-FFF2-40B4-BE49-F238E27FC236}">
                  <a16:creationId xmlns:a16="http://schemas.microsoft.com/office/drawing/2014/main" id="{00000000-0008-0000-0700-0000E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3" name="Check Box 1005" hidden="1">
              <a:extLst>
                <a:ext uri="{63B3BB69-23CF-44E3-9099-C40C66FF867C}">
                  <a14:compatExt spid="_x0000_s13293"/>
                </a:ext>
                <a:ext uri="{FF2B5EF4-FFF2-40B4-BE49-F238E27FC236}">
                  <a16:creationId xmlns:a16="http://schemas.microsoft.com/office/drawing/2014/main" id="{00000000-0008-0000-0700-0000E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4" name="Check Box 1006" hidden="1">
              <a:extLst>
                <a:ext uri="{63B3BB69-23CF-44E3-9099-C40C66FF867C}">
                  <a14:compatExt spid="_x0000_s13294"/>
                </a:ext>
                <a:ext uri="{FF2B5EF4-FFF2-40B4-BE49-F238E27FC236}">
                  <a16:creationId xmlns:a16="http://schemas.microsoft.com/office/drawing/2014/main" id="{00000000-0008-0000-0700-0000E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5" name="Check Box 1007" hidden="1">
              <a:extLst>
                <a:ext uri="{63B3BB69-23CF-44E3-9099-C40C66FF867C}">
                  <a14:compatExt spid="_x0000_s13295"/>
                </a:ext>
                <a:ext uri="{FF2B5EF4-FFF2-40B4-BE49-F238E27FC236}">
                  <a16:creationId xmlns:a16="http://schemas.microsoft.com/office/drawing/2014/main" id="{00000000-0008-0000-0700-0000E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6" name="Check Box 1008" hidden="1">
              <a:extLst>
                <a:ext uri="{63B3BB69-23CF-44E3-9099-C40C66FF867C}">
                  <a14:compatExt spid="_x0000_s13296"/>
                </a:ext>
                <a:ext uri="{FF2B5EF4-FFF2-40B4-BE49-F238E27FC236}">
                  <a16:creationId xmlns:a16="http://schemas.microsoft.com/office/drawing/2014/main" id="{00000000-0008-0000-0700-0000F0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7" name="Check Box 1009" hidden="1">
              <a:extLst>
                <a:ext uri="{63B3BB69-23CF-44E3-9099-C40C66FF867C}">
                  <a14:compatExt spid="_x0000_s13297"/>
                </a:ext>
                <a:ext uri="{FF2B5EF4-FFF2-40B4-BE49-F238E27FC236}">
                  <a16:creationId xmlns:a16="http://schemas.microsoft.com/office/drawing/2014/main" id="{00000000-0008-0000-0700-0000F1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8" name="Check Box 1010" hidden="1">
              <a:extLst>
                <a:ext uri="{63B3BB69-23CF-44E3-9099-C40C66FF867C}">
                  <a14:compatExt spid="_x0000_s13298"/>
                </a:ext>
                <a:ext uri="{FF2B5EF4-FFF2-40B4-BE49-F238E27FC236}">
                  <a16:creationId xmlns:a16="http://schemas.microsoft.com/office/drawing/2014/main" id="{00000000-0008-0000-0700-0000F2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299" name="Check Box 1011" hidden="1">
              <a:extLst>
                <a:ext uri="{63B3BB69-23CF-44E3-9099-C40C66FF867C}">
                  <a14:compatExt spid="_x0000_s13299"/>
                </a:ext>
                <a:ext uri="{FF2B5EF4-FFF2-40B4-BE49-F238E27FC236}">
                  <a16:creationId xmlns:a16="http://schemas.microsoft.com/office/drawing/2014/main" id="{00000000-0008-0000-0700-0000F3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0" name="Check Box 1012" hidden="1">
              <a:extLst>
                <a:ext uri="{63B3BB69-23CF-44E3-9099-C40C66FF867C}">
                  <a14:compatExt spid="_x0000_s13300"/>
                </a:ext>
                <a:ext uri="{FF2B5EF4-FFF2-40B4-BE49-F238E27FC236}">
                  <a16:creationId xmlns:a16="http://schemas.microsoft.com/office/drawing/2014/main" id="{00000000-0008-0000-0700-0000F4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1" name="Check Box 1013" hidden="1">
              <a:extLst>
                <a:ext uri="{63B3BB69-23CF-44E3-9099-C40C66FF867C}">
                  <a14:compatExt spid="_x0000_s13301"/>
                </a:ext>
                <a:ext uri="{FF2B5EF4-FFF2-40B4-BE49-F238E27FC236}">
                  <a16:creationId xmlns:a16="http://schemas.microsoft.com/office/drawing/2014/main" id="{00000000-0008-0000-0700-0000F5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2" name="Check Box 1014" hidden="1">
              <a:extLst>
                <a:ext uri="{63B3BB69-23CF-44E3-9099-C40C66FF867C}">
                  <a14:compatExt spid="_x0000_s13302"/>
                </a:ext>
                <a:ext uri="{FF2B5EF4-FFF2-40B4-BE49-F238E27FC236}">
                  <a16:creationId xmlns:a16="http://schemas.microsoft.com/office/drawing/2014/main" id="{00000000-0008-0000-0700-0000F6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3" name="Check Box 1015" hidden="1">
              <a:extLst>
                <a:ext uri="{63B3BB69-23CF-44E3-9099-C40C66FF867C}">
                  <a14:compatExt spid="_x0000_s13303"/>
                </a:ext>
                <a:ext uri="{FF2B5EF4-FFF2-40B4-BE49-F238E27FC236}">
                  <a16:creationId xmlns:a16="http://schemas.microsoft.com/office/drawing/2014/main" id="{00000000-0008-0000-0700-0000F7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4" name="Check Box 1016" hidden="1">
              <a:extLst>
                <a:ext uri="{63B3BB69-23CF-44E3-9099-C40C66FF867C}">
                  <a14:compatExt spid="_x0000_s13304"/>
                </a:ext>
                <a:ext uri="{FF2B5EF4-FFF2-40B4-BE49-F238E27FC236}">
                  <a16:creationId xmlns:a16="http://schemas.microsoft.com/office/drawing/2014/main" id="{00000000-0008-0000-0700-0000F8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5" name="Check Box 1017" hidden="1">
              <a:extLst>
                <a:ext uri="{63B3BB69-23CF-44E3-9099-C40C66FF867C}">
                  <a14:compatExt spid="_x0000_s13305"/>
                </a:ext>
                <a:ext uri="{FF2B5EF4-FFF2-40B4-BE49-F238E27FC236}">
                  <a16:creationId xmlns:a16="http://schemas.microsoft.com/office/drawing/2014/main" id="{00000000-0008-0000-0700-0000F9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6" name="Check Box 1018" hidden="1">
              <a:extLst>
                <a:ext uri="{63B3BB69-23CF-44E3-9099-C40C66FF867C}">
                  <a14:compatExt spid="_x0000_s13306"/>
                </a:ext>
                <a:ext uri="{FF2B5EF4-FFF2-40B4-BE49-F238E27FC236}">
                  <a16:creationId xmlns:a16="http://schemas.microsoft.com/office/drawing/2014/main" id="{00000000-0008-0000-0700-0000FA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7" name="Check Box 1019" hidden="1">
              <a:extLst>
                <a:ext uri="{63B3BB69-23CF-44E3-9099-C40C66FF867C}">
                  <a14:compatExt spid="_x0000_s13307"/>
                </a:ext>
                <a:ext uri="{FF2B5EF4-FFF2-40B4-BE49-F238E27FC236}">
                  <a16:creationId xmlns:a16="http://schemas.microsoft.com/office/drawing/2014/main" id="{00000000-0008-0000-0700-0000FB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8" name="Check Box 1020" hidden="1">
              <a:extLst>
                <a:ext uri="{63B3BB69-23CF-44E3-9099-C40C66FF867C}">
                  <a14:compatExt spid="_x0000_s13308"/>
                </a:ext>
                <a:ext uri="{FF2B5EF4-FFF2-40B4-BE49-F238E27FC236}">
                  <a16:creationId xmlns:a16="http://schemas.microsoft.com/office/drawing/2014/main" id="{00000000-0008-0000-0700-0000FC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09" name="Check Box 1021" hidden="1">
              <a:extLst>
                <a:ext uri="{63B3BB69-23CF-44E3-9099-C40C66FF867C}">
                  <a14:compatExt spid="_x0000_s13309"/>
                </a:ext>
                <a:ext uri="{FF2B5EF4-FFF2-40B4-BE49-F238E27FC236}">
                  <a16:creationId xmlns:a16="http://schemas.microsoft.com/office/drawing/2014/main" id="{00000000-0008-0000-0700-0000FD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10" name="Check Box 1022" hidden="1">
              <a:extLst>
                <a:ext uri="{63B3BB69-23CF-44E3-9099-C40C66FF867C}">
                  <a14:compatExt spid="_x0000_s13310"/>
                </a:ext>
                <a:ext uri="{FF2B5EF4-FFF2-40B4-BE49-F238E27FC236}">
                  <a16:creationId xmlns:a16="http://schemas.microsoft.com/office/drawing/2014/main" id="{00000000-0008-0000-0700-0000FE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13311" name="Check Box 1023" hidden="1">
              <a:extLst>
                <a:ext uri="{63B3BB69-23CF-44E3-9099-C40C66FF867C}">
                  <a14:compatExt spid="_x0000_s13311"/>
                </a:ext>
                <a:ext uri="{FF2B5EF4-FFF2-40B4-BE49-F238E27FC236}">
                  <a16:creationId xmlns:a16="http://schemas.microsoft.com/office/drawing/2014/main" id="{00000000-0008-0000-0700-0000FF3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24" name="Check Box 1024" hidden="1">
              <a:extLst>
                <a:ext uri="{63B3BB69-23CF-44E3-9099-C40C66FF867C}">
                  <a14:compatExt spid="_x0000_s77824"/>
                </a:ext>
                <a:ext uri="{FF2B5EF4-FFF2-40B4-BE49-F238E27FC236}">
                  <a16:creationId xmlns:a16="http://schemas.microsoft.com/office/drawing/2014/main" id="{00000000-0008-0000-0700-00000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25" name="Check Box 1025" hidden="1">
              <a:extLst>
                <a:ext uri="{63B3BB69-23CF-44E3-9099-C40C66FF867C}">
                  <a14:compatExt spid="_x0000_s77825"/>
                </a:ext>
                <a:ext uri="{FF2B5EF4-FFF2-40B4-BE49-F238E27FC236}">
                  <a16:creationId xmlns:a16="http://schemas.microsoft.com/office/drawing/2014/main" id="{00000000-0008-0000-07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26" name="Check Box 1026" hidden="1">
              <a:extLst>
                <a:ext uri="{63B3BB69-23CF-44E3-9099-C40C66FF867C}">
                  <a14:compatExt spid="_x0000_s77826"/>
                </a:ext>
                <a:ext uri="{FF2B5EF4-FFF2-40B4-BE49-F238E27FC236}">
                  <a16:creationId xmlns:a16="http://schemas.microsoft.com/office/drawing/2014/main" id="{00000000-0008-0000-07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27" name="Check Box 1027" hidden="1">
              <a:extLst>
                <a:ext uri="{63B3BB69-23CF-44E3-9099-C40C66FF867C}">
                  <a14:compatExt spid="_x0000_s77827"/>
                </a:ext>
                <a:ext uri="{FF2B5EF4-FFF2-40B4-BE49-F238E27FC236}">
                  <a16:creationId xmlns:a16="http://schemas.microsoft.com/office/drawing/2014/main" id="{00000000-0008-0000-07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28" name="Check Box 1028" hidden="1">
              <a:extLst>
                <a:ext uri="{63B3BB69-23CF-44E3-9099-C40C66FF867C}">
                  <a14:compatExt spid="_x0000_s77828"/>
                </a:ext>
                <a:ext uri="{FF2B5EF4-FFF2-40B4-BE49-F238E27FC236}">
                  <a16:creationId xmlns:a16="http://schemas.microsoft.com/office/drawing/2014/main" id="{00000000-0008-0000-07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29" name="Check Box 1029" hidden="1">
              <a:extLst>
                <a:ext uri="{63B3BB69-23CF-44E3-9099-C40C66FF867C}">
                  <a14:compatExt spid="_x0000_s77829"/>
                </a:ext>
                <a:ext uri="{FF2B5EF4-FFF2-40B4-BE49-F238E27FC236}">
                  <a16:creationId xmlns:a16="http://schemas.microsoft.com/office/drawing/2014/main" id="{00000000-0008-0000-07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30" name="Check Box 1030" hidden="1">
              <a:extLst>
                <a:ext uri="{63B3BB69-23CF-44E3-9099-C40C66FF867C}">
                  <a14:compatExt spid="_x0000_s77830"/>
                </a:ext>
                <a:ext uri="{FF2B5EF4-FFF2-40B4-BE49-F238E27FC236}">
                  <a16:creationId xmlns:a16="http://schemas.microsoft.com/office/drawing/2014/main" id="{00000000-0008-0000-07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5</xdr:col>
          <xdr:colOff>45720</xdr:colOff>
          <xdr:row>32</xdr:row>
          <xdr:rowOff>7620</xdr:rowOff>
        </xdr:to>
        <xdr:sp macro="" textlink="">
          <xdr:nvSpPr>
            <xdr:cNvPr id="77831" name="Check Box 1031" hidden="1">
              <a:extLst>
                <a:ext uri="{63B3BB69-23CF-44E3-9099-C40C66FF867C}">
                  <a14:compatExt spid="_x0000_s77831"/>
                </a:ext>
                <a:ext uri="{FF2B5EF4-FFF2-40B4-BE49-F238E27FC236}">
                  <a16:creationId xmlns:a16="http://schemas.microsoft.com/office/drawing/2014/main" id="{00000000-0008-0000-07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2" name="Check Box 1032" hidden="1">
              <a:extLst>
                <a:ext uri="{63B3BB69-23CF-44E3-9099-C40C66FF867C}">
                  <a14:compatExt spid="_x0000_s77832"/>
                </a:ext>
                <a:ext uri="{FF2B5EF4-FFF2-40B4-BE49-F238E27FC236}">
                  <a16:creationId xmlns:a16="http://schemas.microsoft.com/office/drawing/2014/main" id="{00000000-0008-0000-07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3" name="Check Box 1033" hidden="1">
              <a:extLst>
                <a:ext uri="{63B3BB69-23CF-44E3-9099-C40C66FF867C}">
                  <a14:compatExt spid="_x0000_s77833"/>
                </a:ext>
                <a:ext uri="{FF2B5EF4-FFF2-40B4-BE49-F238E27FC236}">
                  <a16:creationId xmlns:a16="http://schemas.microsoft.com/office/drawing/2014/main" id="{00000000-0008-0000-0700-00000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4" name="Check Box 1034" hidden="1">
              <a:extLst>
                <a:ext uri="{63B3BB69-23CF-44E3-9099-C40C66FF867C}">
                  <a14:compatExt spid="_x0000_s77834"/>
                </a:ext>
                <a:ext uri="{FF2B5EF4-FFF2-40B4-BE49-F238E27FC236}">
                  <a16:creationId xmlns:a16="http://schemas.microsoft.com/office/drawing/2014/main" id="{00000000-0008-0000-0700-00000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5" name="Check Box 1035" hidden="1">
              <a:extLst>
                <a:ext uri="{63B3BB69-23CF-44E3-9099-C40C66FF867C}">
                  <a14:compatExt spid="_x0000_s77835"/>
                </a:ext>
                <a:ext uri="{FF2B5EF4-FFF2-40B4-BE49-F238E27FC236}">
                  <a16:creationId xmlns:a16="http://schemas.microsoft.com/office/drawing/2014/main" id="{00000000-0008-0000-0700-00000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6" name="Check Box 1036" hidden="1">
              <a:extLst>
                <a:ext uri="{63B3BB69-23CF-44E3-9099-C40C66FF867C}">
                  <a14:compatExt spid="_x0000_s77836"/>
                </a:ext>
                <a:ext uri="{FF2B5EF4-FFF2-40B4-BE49-F238E27FC236}">
                  <a16:creationId xmlns:a16="http://schemas.microsoft.com/office/drawing/2014/main" id="{00000000-0008-0000-0700-00000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7" name="Check Box 1037" hidden="1">
              <a:extLst>
                <a:ext uri="{63B3BB69-23CF-44E3-9099-C40C66FF867C}">
                  <a14:compatExt spid="_x0000_s77837"/>
                </a:ext>
                <a:ext uri="{FF2B5EF4-FFF2-40B4-BE49-F238E27FC236}">
                  <a16:creationId xmlns:a16="http://schemas.microsoft.com/office/drawing/2014/main" id="{00000000-0008-0000-0700-00000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8" name="Check Box 1038" hidden="1">
              <a:extLst>
                <a:ext uri="{63B3BB69-23CF-44E3-9099-C40C66FF867C}">
                  <a14:compatExt spid="_x0000_s77838"/>
                </a:ext>
                <a:ext uri="{FF2B5EF4-FFF2-40B4-BE49-F238E27FC236}">
                  <a16:creationId xmlns:a16="http://schemas.microsoft.com/office/drawing/2014/main" id="{00000000-0008-0000-0700-00000E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39" name="Check Box 1039" hidden="1">
              <a:extLst>
                <a:ext uri="{63B3BB69-23CF-44E3-9099-C40C66FF867C}">
                  <a14:compatExt spid="_x0000_s77839"/>
                </a:ext>
                <a:ext uri="{FF2B5EF4-FFF2-40B4-BE49-F238E27FC236}">
                  <a16:creationId xmlns:a16="http://schemas.microsoft.com/office/drawing/2014/main" id="{00000000-0008-0000-0700-00000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0" name="Check Box 1040" hidden="1">
              <a:extLst>
                <a:ext uri="{63B3BB69-23CF-44E3-9099-C40C66FF867C}">
                  <a14:compatExt spid="_x0000_s77840"/>
                </a:ext>
                <a:ext uri="{FF2B5EF4-FFF2-40B4-BE49-F238E27FC236}">
                  <a16:creationId xmlns:a16="http://schemas.microsoft.com/office/drawing/2014/main" id="{00000000-0008-0000-0700-00001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1" name="Check Box 1041" hidden="1">
              <a:extLst>
                <a:ext uri="{63B3BB69-23CF-44E3-9099-C40C66FF867C}">
                  <a14:compatExt spid="_x0000_s77841"/>
                </a:ext>
                <a:ext uri="{FF2B5EF4-FFF2-40B4-BE49-F238E27FC236}">
                  <a16:creationId xmlns:a16="http://schemas.microsoft.com/office/drawing/2014/main" id="{00000000-0008-0000-0700-00001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2" name="Check Box 1042" hidden="1">
              <a:extLst>
                <a:ext uri="{63B3BB69-23CF-44E3-9099-C40C66FF867C}">
                  <a14:compatExt spid="_x0000_s77842"/>
                </a:ext>
                <a:ext uri="{FF2B5EF4-FFF2-40B4-BE49-F238E27FC236}">
                  <a16:creationId xmlns:a16="http://schemas.microsoft.com/office/drawing/2014/main" id="{00000000-0008-0000-0700-00001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3" name="Check Box 1043" hidden="1">
              <a:extLst>
                <a:ext uri="{63B3BB69-23CF-44E3-9099-C40C66FF867C}">
                  <a14:compatExt spid="_x0000_s77843"/>
                </a:ext>
                <a:ext uri="{FF2B5EF4-FFF2-40B4-BE49-F238E27FC236}">
                  <a16:creationId xmlns:a16="http://schemas.microsoft.com/office/drawing/2014/main" id="{00000000-0008-0000-0700-00001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4" name="Check Box 1044" hidden="1">
              <a:extLst>
                <a:ext uri="{63B3BB69-23CF-44E3-9099-C40C66FF867C}">
                  <a14:compatExt spid="_x0000_s77844"/>
                </a:ext>
                <a:ext uri="{FF2B5EF4-FFF2-40B4-BE49-F238E27FC236}">
                  <a16:creationId xmlns:a16="http://schemas.microsoft.com/office/drawing/2014/main" id="{00000000-0008-0000-0700-00001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5" name="Check Box 1045" hidden="1">
              <a:extLst>
                <a:ext uri="{63B3BB69-23CF-44E3-9099-C40C66FF867C}">
                  <a14:compatExt spid="_x0000_s77845"/>
                </a:ext>
                <a:ext uri="{FF2B5EF4-FFF2-40B4-BE49-F238E27FC236}">
                  <a16:creationId xmlns:a16="http://schemas.microsoft.com/office/drawing/2014/main" id="{00000000-0008-0000-0700-00001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6" name="Check Box 1046" hidden="1">
              <a:extLst>
                <a:ext uri="{63B3BB69-23CF-44E3-9099-C40C66FF867C}">
                  <a14:compatExt spid="_x0000_s77846"/>
                </a:ext>
                <a:ext uri="{FF2B5EF4-FFF2-40B4-BE49-F238E27FC236}">
                  <a16:creationId xmlns:a16="http://schemas.microsoft.com/office/drawing/2014/main" id="{00000000-0008-0000-0700-00001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7" name="Check Box 1047" hidden="1">
              <a:extLst>
                <a:ext uri="{63B3BB69-23CF-44E3-9099-C40C66FF867C}">
                  <a14:compatExt spid="_x0000_s77847"/>
                </a:ext>
                <a:ext uri="{FF2B5EF4-FFF2-40B4-BE49-F238E27FC236}">
                  <a16:creationId xmlns:a16="http://schemas.microsoft.com/office/drawing/2014/main" id="{00000000-0008-0000-0700-00001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8" name="Check Box 1048" hidden="1">
              <a:extLst>
                <a:ext uri="{63B3BB69-23CF-44E3-9099-C40C66FF867C}">
                  <a14:compatExt spid="_x0000_s77848"/>
                </a:ext>
                <a:ext uri="{FF2B5EF4-FFF2-40B4-BE49-F238E27FC236}">
                  <a16:creationId xmlns:a16="http://schemas.microsoft.com/office/drawing/2014/main" id="{00000000-0008-0000-07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49" name="Check Box 1049" hidden="1">
              <a:extLst>
                <a:ext uri="{63B3BB69-23CF-44E3-9099-C40C66FF867C}">
                  <a14:compatExt spid="_x0000_s77849"/>
                </a:ext>
                <a:ext uri="{FF2B5EF4-FFF2-40B4-BE49-F238E27FC236}">
                  <a16:creationId xmlns:a16="http://schemas.microsoft.com/office/drawing/2014/main" id="{00000000-0008-0000-07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45720</xdr:colOff>
          <xdr:row>33</xdr:row>
          <xdr:rowOff>7620</xdr:rowOff>
        </xdr:to>
        <xdr:sp macro="" textlink="">
          <xdr:nvSpPr>
            <xdr:cNvPr id="77850" name="Check Box 1050" hidden="1">
              <a:extLst>
                <a:ext uri="{63B3BB69-23CF-44E3-9099-C40C66FF867C}">
                  <a14:compatExt spid="_x0000_s77850"/>
                </a:ext>
                <a:ext uri="{FF2B5EF4-FFF2-40B4-BE49-F238E27FC236}">
                  <a16:creationId xmlns:a16="http://schemas.microsoft.com/office/drawing/2014/main" id="{00000000-0008-0000-07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0</xdr:rowOff>
        </xdr:from>
        <xdr:to>
          <xdr:col>5</xdr:col>
          <xdr:colOff>45720</xdr:colOff>
          <xdr:row>25</xdr:row>
          <xdr:rowOff>7620</xdr:rowOff>
        </xdr:to>
        <xdr:sp macro="" textlink="">
          <xdr:nvSpPr>
            <xdr:cNvPr id="77851" name="Check Box 1051" hidden="1">
              <a:extLst>
                <a:ext uri="{63B3BB69-23CF-44E3-9099-C40C66FF867C}">
                  <a14:compatExt spid="_x0000_s77851"/>
                </a:ext>
                <a:ext uri="{FF2B5EF4-FFF2-40B4-BE49-F238E27FC236}">
                  <a16:creationId xmlns:a16="http://schemas.microsoft.com/office/drawing/2014/main" id="{00000000-0008-0000-0700-00001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0</xdr:rowOff>
        </xdr:from>
        <xdr:to>
          <xdr:col>5</xdr:col>
          <xdr:colOff>45720</xdr:colOff>
          <xdr:row>25</xdr:row>
          <xdr:rowOff>7620</xdr:rowOff>
        </xdr:to>
        <xdr:sp macro="" textlink="">
          <xdr:nvSpPr>
            <xdr:cNvPr id="77852" name="Check Box 1052" hidden="1">
              <a:extLst>
                <a:ext uri="{63B3BB69-23CF-44E3-9099-C40C66FF867C}">
                  <a14:compatExt spid="_x0000_s77852"/>
                </a:ext>
                <a:ext uri="{FF2B5EF4-FFF2-40B4-BE49-F238E27FC236}">
                  <a16:creationId xmlns:a16="http://schemas.microsoft.com/office/drawing/2014/main" id="{00000000-0008-0000-0700-00001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48</xdr:row>
          <xdr:rowOff>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8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0</xdr:colOff>
          <xdr:row>63</xdr:row>
          <xdr:rowOff>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8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0</xdr:colOff>
          <xdr:row>67</xdr:row>
          <xdr:rowOff>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8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0</xdr:colOff>
          <xdr:row>74</xdr:row>
          <xdr:rowOff>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8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0</xdr:colOff>
          <xdr:row>76</xdr:row>
          <xdr:rowOff>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8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0</xdr:colOff>
          <xdr:row>78</xdr:row>
          <xdr:rowOff>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8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0</xdr:colOff>
          <xdr:row>80</xdr:row>
          <xdr:rowOff>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8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0</xdr:colOff>
          <xdr:row>82</xdr:row>
          <xdr:rowOff>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8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105</xdr:row>
          <xdr:rowOff>0</xdr:rowOff>
        </xdr:from>
        <xdr:to>
          <xdr:col>2</xdr:col>
          <xdr:colOff>0</xdr:colOff>
          <xdr:row>106</xdr:row>
          <xdr:rowOff>0</xdr:rowOff>
        </xdr:to>
        <xdr:sp macro="" textlink="">
          <xdr:nvSpPr>
            <xdr:cNvPr id="40974" name="Check Box 14" descr="3 Fahrstreifen" hidden="1">
              <a:extLst>
                <a:ext uri="{63B3BB69-23CF-44E3-9099-C40C66FF867C}">
                  <a14:compatExt spid="_x0000_s40974"/>
                </a:ext>
                <a:ext uri="{FF2B5EF4-FFF2-40B4-BE49-F238E27FC236}">
                  <a16:creationId xmlns:a16="http://schemas.microsoft.com/office/drawing/2014/main" id="{00000000-0008-0000-08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0</xdr:colOff>
          <xdr:row>89</xdr:row>
          <xdr:rowOff>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8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0</xdr:colOff>
          <xdr:row>87</xdr:row>
          <xdr:rowOff>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8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0</xdr:colOff>
          <xdr:row>91</xdr:row>
          <xdr:rowOff>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8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0</xdr:colOff>
          <xdr:row>93</xdr:row>
          <xdr:rowOff>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8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0</xdr:colOff>
          <xdr:row>72</xdr:row>
          <xdr:rowOff>0</xdr:rowOff>
        </xdr:to>
        <xdr:sp macro="" textlink="">
          <xdr:nvSpPr>
            <xdr:cNvPr id="40985" name="Check Box 25" hidden="1">
              <a:extLst>
                <a:ext uri="{63B3BB69-23CF-44E3-9099-C40C66FF867C}">
                  <a14:compatExt spid="_x0000_s40985"/>
                </a:ext>
                <a:ext uri="{FF2B5EF4-FFF2-40B4-BE49-F238E27FC236}">
                  <a16:creationId xmlns:a16="http://schemas.microsoft.com/office/drawing/2014/main" id="{00000000-0008-0000-0800-00001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0</xdr:colOff>
          <xdr:row>58</xdr:row>
          <xdr:rowOff>228600</xdr:rowOff>
        </xdr:to>
        <xdr:sp macro="" textlink="">
          <xdr:nvSpPr>
            <xdr:cNvPr id="40986" name="Check Box 26" hidden="1">
              <a:extLst>
                <a:ext uri="{63B3BB69-23CF-44E3-9099-C40C66FF867C}">
                  <a14:compatExt spid="_x0000_s40986"/>
                </a:ext>
                <a:ext uri="{FF2B5EF4-FFF2-40B4-BE49-F238E27FC236}">
                  <a16:creationId xmlns:a16="http://schemas.microsoft.com/office/drawing/2014/main" id="{00000000-0008-0000-0800-00001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0</xdr:rowOff>
        </xdr:from>
        <xdr:to>
          <xdr:col>2</xdr:col>
          <xdr:colOff>0</xdr:colOff>
          <xdr:row>53</xdr:row>
          <xdr:rowOff>22860</xdr:rowOff>
        </xdr:to>
        <xdr:sp macro="" textlink="">
          <xdr:nvSpPr>
            <xdr:cNvPr id="40990" name="Check Box 30" hidden="1">
              <a:extLst>
                <a:ext uri="{63B3BB69-23CF-44E3-9099-C40C66FF867C}">
                  <a14:compatExt spid="_x0000_s40990"/>
                </a:ext>
                <a:ext uri="{FF2B5EF4-FFF2-40B4-BE49-F238E27FC236}">
                  <a16:creationId xmlns:a16="http://schemas.microsoft.com/office/drawing/2014/main" id="{00000000-0008-0000-0800-00001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0</xdr:colOff>
          <xdr:row>61</xdr:row>
          <xdr:rowOff>0</xdr:rowOff>
        </xdr:to>
        <xdr:sp macro="" textlink="">
          <xdr:nvSpPr>
            <xdr:cNvPr id="40991" name="Check Box 31" hidden="1">
              <a:extLst>
                <a:ext uri="{63B3BB69-23CF-44E3-9099-C40C66FF867C}">
                  <a14:compatExt spid="_x0000_s40991"/>
                </a:ext>
                <a:ext uri="{FF2B5EF4-FFF2-40B4-BE49-F238E27FC236}">
                  <a16:creationId xmlns:a16="http://schemas.microsoft.com/office/drawing/2014/main" id="{00000000-0008-0000-0800-00001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0</xdr:colOff>
          <xdr:row>65</xdr:row>
          <xdr:rowOff>0</xdr:rowOff>
        </xdr:to>
        <xdr:sp macro="" textlink="">
          <xdr:nvSpPr>
            <xdr:cNvPr id="40992" name="Check Box 32" hidden="1">
              <a:extLst>
                <a:ext uri="{63B3BB69-23CF-44E3-9099-C40C66FF867C}">
                  <a14:compatExt spid="_x0000_s40992"/>
                </a:ext>
                <a:ext uri="{FF2B5EF4-FFF2-40B4-BE49-F238E27FC236}">
                  <a16:creationId xmlns:a16="http://schemas.microsoft.com/office/drawing/2014/main" id="{00000000-0008-0000-0800-00002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0</xdr:colOff>
          <xdr:row>65</xdr:row>
          <xdr:rowOff>0</xdr:rowOff>
        </xdr:to>
        <xdr:sp macro="" textlink="">
          <xdr:nvSpPr>
            <xdr:cNvPr id="40993" name="Check Box 33" hidden="1">
              <a:extLst>
                <a:ext uri="{63B3BB69-23CF-44E3-9099-C40C66FF867C}">
                  <a14:compatExt spid="_x0000_s40993"/>
                </a:ext>
                <a:ext uri="{FF2B5EF4-FFF2-40B4-BE49-F238E27FC236}">
                  <a16:creationId xmlns:a16="http://schemas.microsoft.com/office/drawing/2014/main" id="{00000000-0008-0000-0800-00002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0</xdr:colOff>
          <xdr:row>95</xdr:row>
          <xdr:rowOff>7620</xdr:rowOff>
        </xdr:to>
        <xdr:sp macro="" textlink="">
          <xdr:nvSpPr>
            <xdr:cNvPr id="41002" name="Check Box 42" hidden="1">
              <a:extLst>
                <a:ext uri="{63B3BB69-23CF-44E3-9099-C40C66FF867C}">
                  <a14:compatExt spid="_x0000_s41002"/>
                </a:ext>
                <a:ext uri="{FF2B5EF4-FFF2-40B4-BE49-F238E27FC236}">
                  <a16:creationId xmlns:a16="http://schemas.microsoft.com/office/drawing/2014/main" id="{00000000-0008-0000-0800-00002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0</xdr:colOff>
          <xdr:row>97</xdr:row>
          <xdr:rowOff>0</xdr:rowOff>
        </xdr:to>
        <xdr:sp macro="" textlink="">
          <xdr:nvSpPr>
            <xdr:cNvPr id="41003" name="Check Box 43" hidden="1">
              <a:extLst>
                <a:ext uri="{63B3BB69-23CF-44E3-9099-C40C66FF867C}">
                  <a14:compatExt spid="_x0000_s41003"/>
                </a:ext>
                <a:ext uri="{FF2B5EF4-FFF2-40B4-BE49-F238E27FC236}">
                  <a16:creationId xmlns:a16="http://schemas.microsoft.com/office/drawing/2014/main" id="{00000000-0008-0000-0800-00002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0</xdr:colOff>
          <xdr:row>101</xdr:row>
          <xdr:rowOff>7620</xdr:rowOff>
        </xdr:to>
        <xdr:sp macro="" textlink="">
          <xdr:nvSpPr>
            <xdr:cNvPr id="41004" name="Check Box 44" hidden="1">
              <a:extLst>
                <a:ext uri="{63B3BB69-23CF-44E3-9099-C40C66FF867C}">
                  <a14:compatExt spid="_x0000_s41004"/>
                </a:ext>
                <a:ext uri="{FF2B5EF4-FFF2-40B4-BE49-F238E27FC236}">
                  <a16:creationId xmlns:a16="http://schemas.microsoft.com/office/drawing/2014/main" id="{00000000-0008-0000-0800-00002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129</xdr:row>
          <xdr:rowOff>0</xdr:rowOff>
        </xdr:from>
        <xdr:to>
          <xdr:col>2</xdr:col>
          <xdr:colOff>0</xdr:colOff>
          <xdr:row>130</xdr:row>
          <xdr:rowOff>0</xdr:rowOff>
        </xdr:to>
        <xdr:sp macro="" textlink="">
          <xdr:nvSpPr>
            <xdr:cNvPr id="41005" name="Check Box 45" descr="3 Fahrstreifen" hidden="1">
              <a:extLst>
                <a:ext uri="{63B3BB69-23CF-44E3-9099-C40C66FF867C}">
                  <a14:compatExt spid="_x0000_s41005"/>
                </a:ext>
                <a:ext uri="{FF2B5EF4-FFF2-40B4-BE49-F238E27FC236}">
                  <a16:creationId xmlns:a16="http://schemas.microsoft.com/office/drawing/2014/main" id="{00000000-0008-0000-0800-00002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131</xdr:row>
          <xdr:rowOff>0</xdr:rowOff>
        </xdr:from>
        <xdr:to>
          <xdr:col>2</xdr:col>
          <xdr:colOff>0</xdr:colOff>
          <xdr:row>132</xdr:row>
          <xdr:rowOff>0</xdr:rowOff>
        </xdr:to>
        <xdr:sp macro="" textlink="">
          <xdr:nvSpPr>
            <xdr:cNvPr id="41006" name="Check Box 46" descr="3 Fahrstreifen" hidden="1">
              <a:extLst>
                <a:ext uri="{63B3BB69-23CF-44E3-9099-C40C66FF867C}">
                  <a14:compatExt spid="_x0000_s41006"/>
                </a:ext>
                <a:ext uri="{FF2B5EF4-FFF2-40B4-BE49-F238E27FC236}">
                  <a16:creationId xmlns:a16="http://schemas.microsoft.com/office/drawing/2014/main" id="{00000000-0008-0000-0800-00002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133</xdr:row>
          <xdr:rowOff>0</xdr:rowOff>
        </xdr:from>
        <xdr:to>
          <xdr:col>2</xdr:col>
          <xdr:colOff>0</xdr:colOff>
          <xdr:row>134</xdr:row>
          <xdr:rowOff>0</xdr:rowOff>
        </xdr:to>
        <xdr:sp macro="" textlink="">
          <xdr:nvSpPr>
            <xdr:cNvPr id="41007" name="Check Box 47" descr="3 Fahrstreifen" hidden="1">
              <a:extLst>
                <a:ext uri="{63B3BB69-23CF-44E3-9099-C40C66FF867C}">
                  <a14:compatExt spid="_x0000_s41007"/>
                </a:ext>
                <a:ext uri="{FF2B5EF4-FFF2-40B4-BE49-F238E27FC236}">
                  <a16:creationId xmlns:a16="http://schemas.microsoft.com/office/drawing/2014/main" id="{00000000-0008-0000-0800-00002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135</xdr:row>
          <xdr:rowOff>0</xdr:rowOff>
        </xdr:from>
        <xdr:to>
          <xdr:col>2</xdr:col>
          <xdr:colOff>0</xdr:colOff>
          <xdr:row>135</xdr:row>
          <xdr:rowOff>213360</xdr:rowOff>
        </xdr:to>
        <xdr:sp macro="" textlink="">
          <xdr:nvSpPr>
            <xdr:cNvPr id="41008" name="Check Box 48" descr="3 Fahrstreifen" hidden="1">
              <a:extLst>
                <a:ext uri="{63B3BB69-23CF-44E3-9099-C40C66FF867C}">
                  <a14:compatExt spid="_x0000_s41008"/>
                </a:ext>
                <a:ext uri="{FF2B5EF4-FFF2-40B4-BE49-F238E27FC236}">
                  <a16:creationId xmlns:a16="http://schemas.microsoft.com/office/drawing/2014/main" id="{00000000-0008-0000-0800-00003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48</xdr:row>
          <xdr:rowOff>0</xdr:rowOff>
        </xdr:to>
        <xdr:sp macro="" textlink="">
          <xdr:nvSpPr>
            <xdr:cNvPr id="41012" name="Check Box 52" hidden="1">
              <a:extLst>
                <a:ext uri="{63B3BB69-23CF-44E3-9099-C40C66FF867C}">
                  <a14:compatExt spid="_x0000_s41012"/>
                </a:ext>
                <a:ext uri="{FF2B5EF4-FFF2-40B4-BE49-F238E27FC236}">
                  <a16:creationId xmlns:a16="http://schemas.microsoft.com/office/drawing/2014/main" id="{00000000-0008-0000-0800-00003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48</xdr:row>
          <xdr:rowOff>0</xdr:rowOff>
        </xdr:to>
        <xdr:sp macro="" textlink="">
          <xdr:nvSpPr>
            <xdr:cNvPr id="41013" name="Check Box 53" hidden="1">
              <a:extLst>
                <a:ext uri="{63B3BB69-23CF-44E3-9099-C40C66FF867C}">
                  <a14:compatExt spid="_x0000_s41013"/>
                </a:ext>
                <a:ext uri="{FF2B5EF4-FFF2-40B4-BE49-F238E27FC236}">
                  <a16:creationId xmlns:a16="http://schemas.microsoft.com/office/drawing/2014/main" id="{00000000-0008-0000-0800-00003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0</xdr:colOff>
          <xdr:row>65</xdr:row>
          <xdr:rowOff>0</xdr:rowOff>
        </xdr:to>
        <xdr:sp macro="" textlink="">
          <xdr:nvSpPr>
            <xdr:cNvPr id="41014" name="Check Box 54" hidden="1">
              <a:extLst>
                <a:ext uri="{63B3BB69-23CF-44E3-9099-C40C66FF867C}">
                  <a14:compatExt spid="_x0000_s41014"/>
                </a:ext>
                <a:ext uri="{FF2B5EF4-FFF2-40B4-BE49-F238E27FC236}">
                  <a16:creationId xmlns:a16="http://schemas.microsoft.com/office/drawing/2014/main" id="{00000000-0008-0000-0800-00003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0</xdr:colOff>
          <xdr:row>65</xdr:row>
          <xdr:rowOff>0</xdr:rowOff>
        </xdr:to>
        <xdr:sp macro="" textlink="">
          <xdr:nvSpPr>
            <xdr:cNvPr id="41015" name="Check Box 55" hidden="1">
              <a:extLst>
                <a:ext uri="{63B3BB69-23CF-44E3-9099-C40C66FF867C}">
                  <a14:compatExt spid="_x0000_s41015"/>
                </a:ext>
                <a:ext uri="{FF2B5EF4-FFF2-40B4-BE49-F238E27FC236}">
                  <a16:creationId xmlns:a16="http://schemas.microsoft.com/office/drawing/2014/main" id="{00000000-0008-0000-0800-00003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0</xdr:colOff>
          <xdr:row>65</xdr:row>
          <xdr:rowOff>0</xdr:rowOff>
        </xdr:to>
        <xdr:sp macro="" textlink="">
          <xdr:nvSpPr>
            <xdr:cNvPr id="41016" name="Check Box 56" hidden="1">
              <a:extLst>
                <a:ext uri="{63B3BB69-23CF-44E3-9099-C40C66FF867C}">
                  <a14:compatExt spid="_x0000_s41016"/>
                </a:ext>
                <a:ext uri="{FF2B5EF4-FFF2-40B4-BE49-F238E27FC236}">
                  <a16:creationId xmlns:a16="http://schemas.microsoft.com/office/drawing/2014/main" id="{00000000-0008-0000-0800-00003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105</xdr:row>
          <xdr:rowOff>0</xdr:rowOff>
        </xdr:from>
        <xdr:to>
          <xdr:col>2</xdr:col>
          <xdr:colOff>0</xdr:colOff>
          <xdr:row>106</xdr:row>
          <xdr:rowOff>0</xdr:rowOff>
        </xdr:to>
        <xdr:sp macro="" textlink="">
          <xdr:nvSpPr>
            <xdr:cNvPr id="41021" name="Check Box 61" descr="3 Fahrstreifen" hidden="1">
              <a:extLst>
                <a:ext uri="{63B3BB69-23CF-44E3-9099-C40C66FF867C}">
                  <a14:compatExt spid="_x0000_s41021"/>
                </a:ext>
                <a:ext uri="{FF2B5EF4-FFF2-40B4-BE49-F238E27FC236}">
                  <a16:creationId xmlns:a16="http://schemas.microsoft.com/office/drawing/2014/main" id="{00000000-0008-0000-0800-00003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0</xdr:colOff>
          <xdr:row>99</xdr:row>
          <xdr:rowOff>7620</xdr:rowOff>
        </xdr:to>
        <xdr:sp macro="" textlink="">
          <xdr:nvSpPr>
            <xdr:cNvPr id="41023" name="Check Box 63" hidden="1">
              <a:extLst>
                <a:ext uri="{63B3BB69-23CF-44E3-9099-C40C66FF867C}">
                  <a14:compatExt spid="_x0000_s41023"/>
                </a:ext>
                <a:ext uri="{FF2B5EF4-FFF2-40B4-BE49-F238E27FC236}">
                  <a16:creationId xmlns:a16="http://schemas.microsoft.com/office/drawing/2014/main" id="{00000000-0008-0000-0800-00003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0</xdr:colOff>
          <xdr:row>46</xdr:row>
          <xdr:rowOff>0</xdr:rowOff>
        </xdr:to>
        <xdr:sp macro="" textlink="">
          <xdr:nvSpPr>
            <xdr:cNvPr id="41034" name="Check Box 74" hidden="1">
              <a:extLst>
                <a:ext uri="{63B3BB69-23CF-44E3-9099-C40C66FF867C}">
                  <a14:compatExt spid="_x0000_s41034"/>
                </a:ext>
                <a:ext uri="{FF2B5EF4-FFF2-40B4-BE49-F238E27FC236}">
                  <a16:creationId xmlns:a16="http://schemas.microsoft.com/office/drawing/2014/main" id="{00000000-0008-0000-0800-00004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0</xdr:colOff>
          <xdr:row>28</xdr:row>
          <xdr:rowOff>0</xdr:rowOff>
        </xdr:to>
        <xdr:sp macro="" textlink="">
          <xdr:nvSpPr>
            <xdr:cNvPr id="41035" name="Kontrollkästchen 5" hidden="1">
              <a:extLst>
                <a:ext uri="{63B3BB69-23CF-44E3-9099-C40C66FF867C}">
                  <a14:compatExt spid="_x0000_s41035"/>
                </a:ext>
                <a:ext uri="{FF2B5EF4-FFF2-40B4-BE49-F238E27FC236}">
                  <a16:creationId xmlns:a16="http://schemas.microsoft.com/office/drawing/2014/main" id="{00000000-0008-0000-0800-00004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0</xdr:colOff>
          <xdr:row>32</xdr:row>
          <xdr:rowOff>0</xdr:rowOff>
        </xdr:to>
        <xdr:sp macro="" textlink="">
          <xdr:nvSpPr>
            <xdr:cNvPr id="41045" name="Kontrollkästchen 5" hidden="1">
              <a:extLst>
                <a:ext uri="{63B3BB69-23CF-44E3-9099-C40C66FF867C}">
                  <a14:compatExt spid="_x0000_s41045"/>
                </a:ext>
                <a:ext uri="{FF2B5EF4-FFF2-40B4-BE49-F238E27FC236}">
                  <a16:creationId xmlns:a16="http://schemas.microsoft.com/office/drawing/2014/main" id="{00000000-0008-0000-0800-00005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0</xdr:colOff>
          <xdr:row>30</xdr:row>
          <xdr:rowOff>0</xdr:rowOff>
        </xdr:to>
        <xdr:sp macro="" textlink="">
          <xdr:nvSpPr>
            <xdr:cNvPr id="41046" name="Check Box 86" hidden="1">
              <a:extLst>
                <a:ext uri="{63B3BB69-23CF-44E3-9099-C40C66FF867C}">
                  <a14:compatExt spid="_x0000_s41046"/>
                </a:ext>
                <a:ext uri="{FF2B5EF4-FFF2-40B4-BE49-F238E27FC236}">
                  <a16:creationId xmlns:a16="http://schemas.microsoft.com/office/drawing/2014/main" id="{00000000-0008-0000-0800-00005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0</xdr:colOff>
          <xdr:row>34</xdr:row>
          <xdr:rowOff>0</xdr:rowOff>
        </xdr:to>
        <xdr:sp macro="" textlink="">
          <xdr:nvSpPr>
            <xdr:cNvPr id="41050" name="Check Box 90" hidden="1">
              <a:extLst>
                <a:ext uri="{63B3BB69-23CF-44E3-9099-C40C66FF867C}">
                  <a14:compatExt spid="_x0000_s41050"/>
                </a:ext>
                <a:ext uri="{FF2B5EF4-FFF2-40B4-BE49-F238E27FC236}">
                  <a16:creationId xmlns:a16="http://schemas.microsoft.com/office/drawing/2014/main" id="{00000000-0008-0000-0800-00005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0</xdr:colOff>
          <xdr:row>36</xdr:row>
          <xdr:rowOff>0</xdr:rowOff>
        </xdr:to>
        <xdr:sp macro="" textlink="">
          <xdr:nvSpPr>
            <xdr:cNvPr id="41051" name="Check Box 91" hidden="1">
              <a:extLst>
                <a:ext uri="{63B3BB69-23CF-44E3-9099-C40C66FF867C}">
                  <a14:compatExt spid="_x0000_s41051"/>
                </a:ext>
                <a:ext uri="{FF2B5EF4-FFF2-40B4-BE49-F238E27FC236}">
                  <a16:creationId xmlns:a16="http://schemas.microsoft.com/office/drawing/2014/main" id="{00000000-0008-0000-0800-00005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0</xdr:colOff>
          <xdr:row>38</xdr:row>
          <xdr:rowOff>0</xdr:rowOff>
        </xdr:to>
        <xdr:sp macro="" textlink="">
          <xdr:nvSpPr>
            <xdr:cNvPr id="41052" name="Check Box 92" hidden="1">
              <a:extLst>
                <a:ext uri="{63B3BB69-23CF-44E3-9099-C40C66FF867C}">
                  <a14:compatExt spid="_x0000_s41052"/>
                </a:ext>
                <a:ext uri="{FF2B5EF4-FFF2-40B4-BE49-F238E27FC236}">
                  <a16:creationId xmlns:a16="http://schemas.microsoft.com/office/drawing/2014/main" id="{00000000-0008-0000-0800-00005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44</xdr:row>
          <xdr:rowOff>0</xdr:rowOff>
        </xdr:to>
        <xdr:sp macro="" textlink="">
          <xdr:nvSpPr>
            <xdr:cNvPr id="41053" name="Check Box 93" hidden="1">
              <a:extLst>
                <a:ext uri="{63B3BB69-23CF-44E3-9099-C40C66FF867C}">
                  <a14:compatExt spid="_x0000_s41053"/>
                </a:ext>
                <a:ext uri="{FF2B5EF4-FFF2-40B4-BE49-F238E27FC236}">
                  <a16:creationId xmlns:a16="http://schemas.microsoft.com/office/drawing/2014/main" id="{00000000-0008-0000-0800-00005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107</xdr:row>
          <xdr:rowOff>0</xdr:rowOff>
        </xdr:from>
        <xdr:to>
          <xdr:col>2</xdr:col>
          <xdr:colOff>0</xdr:colOff>
          <xdr:row>108</xdr:row>
          <xdr:rowOff>0</xdr:rowOff>
        </xdr:to>
        <xdr:sp macro="" textlink="">
          <xdr:nvSpPr>
            <xdr:cNvPr id="41054" name="Check Box 94" descr="3 Fahrstreifen" hidden="1">
              <a:extLst>
                <a:ext uri="{63B3BB69-23CF-44E3-9099-C40C66FF867C}">
                  <a14:compatExt spid="_x0000_s41054"/>
                </a:ext>
                <a:ext uri="{FF2B5EF4-FFF2-40B4-BE49-F238E27FC236}">
                  <a16:creationId xmlns:a16="http://schemas.microsoft.com/office/drawing/2014/main" id="{00000000-0008-0000-0800-00005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109</xdr:row>
          <xdr:rowOff>0</xdr:rowOff>
        </xdr:from>
        <xdr:to>
          <xdr:col>2</xdr:col>
          <xdr:colOff>0</xdr:colOff>
          <xdr:row>110</xdr:row>
          <xdr:rowOff>0</xdr:rowOff>
        </xdr:to>
        <xdr:sp macro="" textlink="">
          <xdr:nvSpPr>
            <xdr:cNvPr id="41055" name="Check Box 95" descr="3 Fahrstreifen" hidden="1">
              <a:extLst>
                <a:ext uri="{63B3BB69-23CF-44E3-9099-C40C66FF867C}">
                  <a14:compatExt spid="_x0000_s41055"/>
                </a:ext>
                <a:ext uri="{FF2B5EF4-FFF2-40B4-BE49-F238E27FC236}">
                  <a16:creationId xmlns:a16="http://schemas.microsoft.com/office/drawing/2014/main" id="{00000000-0008-0000-0800-00005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115</xdr:row>
          <xdr:rowOff>0</xdr:rowOff>
        </xdr:from>
        <xdr:to>
          <xdr:col>2</xdr:col>
          <xdr:colOff>0</xdr:colOff>
          <xdr:row>116</xdr:row>
          <xdr:rowOff>0</xdr:rowOff>
        </xdr:to>
        <xdr:sp macro="" textlink="">
          <xdr:nvSpPr>
            <xdr:cNvPr id="41056" name="Check Box 96" descr="3 Fahrstreifen" hidden="1">
              <a:extLst>
                <a:ext uri="{63B3BB69-23CF-44E3-9099-C40C66FF867C}">
                  <a14:compatExt spid="_x0000_s41056"/>
                </a:ext>
                <a:ext uri="{FF2B5EF4-FFF2-40B4-BE49-F238E27FC236}">
                  <a16:creationId xmlns:a16="http://schemas.microsoft.com/office/drawing/2014/main" id="{00000000-0008-0000-0800-00006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111</xdr:row>
          <xdr:rowOff>0</xdr:rowOff>
        </xdr:from>
        <xdr:to>
          <xdr:col>5</xdr:col>
          <xdr:colOff>45720</xdr:colOff>
          <xdr:row>112</xdr:row>
          <xdr:rowOff>0</xdr:rowOff>
        </xdr:to>
        <xdr:sp macro="" textlink="">
          <xdr:nvSpPr>
            <xdr:cNvPr id="41058" name="Check Box 98" hidden="1">
              <a:extLst>
                <a:ext uri="{63B3BB69-23CF-44E3-9099-C40C66FF867C}">
                  <a14:compatExt spid="_x0000_s41058"/>
                </a:ext>
                <a:ext uri="{FF2B5EF4-FFF2-40B4-BE49-F238E27FC236}">
                  <a16:creationId xmlns:a16="http://schemas.microsoft.com/office/drawing/2014/main" id="{00000000-0008-0000-0800-00006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113</xdr:row>
          <xdr:rowOff>0</xdr:rowOff>
        </xdr:from>
        <xdr:to>
          <xdr:col>5</xdr:col>
          <xdr:colOff>45720</xdr:colOff>
          <xdr:row>114</xdr:row>
          <xdr:rowOff>0</xdr:rowOff>
        </xdr:to>
        <xdr:sp macro="" textlink="">
          <xdr:nvSpPr>
            <xdr:cNvPr id="41059" name="Check Box 99" hidden="1">
              <a:extLst>
                <a:ext uri="{63B3BB69-23CF-44E3-9099-C40C66FF867C}">
                  <a14:compatExt spid="_x0000_s41059"/>
                </a:ext>
                <a:ext uri="{FF2B5EF4-FFF2-40B4-BE49-F238E27FC236}">
                  <a16:creationId xmlns:a16="http://schemas.microsoft.com/office/drawing/2014/main" id="{00000000-0008-0000-0800-00006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18</xdr:row>
          <xdr:rowOff>0</xdr:rowOff>
        </xdr:to>
        <xdr:sp macro="" textlink="">
          <xdr:nvSpPr>
            <xdr:cNvPr id="41060" name="Kontrollkästchen 5" hidden="1">
              <a:extLst>
                <a:ext uri="{63B3BB69-23CF-44E3-9099-C40C66FF867C}">
                  <a14:compatExt spid="_x0000_s41060"/>
                </a:ext>
                <a:ext uri="{FF2B5EF4-FFF2-40B4-BE49-F238E27FC236}">
                  <a16:creationId xmlns:a16="http://schemas.microsoft.com/office/drawing/2014/main" id="{00000000-0008-0000-0800-00006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0</xdr:colOff>
          <xdr:row>16</xdr:row>
          <xdr:rowOff>0</xdr:rowOff>
        </xdr:to>
        <xdr:sp macro="" textlink="">
          <xdr:nvSpPr>
            <xdr:cNvPr id="41061" name="Check Box 101" hidden="1">
              <a:extLst>
                <a:ext uri="{63B3BB69-23CF-44E3-9099-C40C66FF867C}">
                  <a14:compatExt spid="_x0000_s41061"/>
                </a:ext>
                <a:ext uri="{FF2B5EF4-FFF2-40B4-BE49-F238E27FC236}">
                  <a16:creationId xmlns:a16="http://schemas.microsoft.com/office/drawing/2014/main" id="{00000000-0008-0000-0800-00006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0</xdr:colOff>
          <xdr:row>20</xdr:row>
          <xdr:rowOff>0</xdr:rowOff>
        </xdr:to>
        <xdr:sp macro="" textlink="">
          <xdr:nvSpPr>
            <xdr:cNvPr id="41062" name="Check Box 102" hidden="1">
              <a:extLst>
                <a:ext uri="{63B3BB69-23CF-44E3-9099-C40C66FF867C}">
                  <a14:compatExt spid="_x0000_s41062"/>
                </a:ext>
                <a:ext uri="{FF2B5EF4-FFF2-40B4-BE49-F238E27FC236}">
                  <a16:creationId xmlns:a16="http://schemas.microsoft.com/office/drawing/2014/main" id="{00000000-0008-0000-0800-00006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0</xdr:colOff>
          <xdr:row>22</xdr:row>
          <xdr:rowOff>0</xdr:rowOff>
        </xdr:to>
        <xdr:sp macro="" textlink="">
          <xdr:nvSpPr>
            <xdr:cNvPr id="41063" name="Check Box 103" hidden="1">
              <a:extLst>
                <a:ext uri="{63B3BB69-23CF-44E3-9099-C40C66FF867C}">
                  <a14:compatExt spid="_x0000_s41063"/>
                </a:ext>
                <a:ext uri="{FF2B5EF4-FFF2-40B4-BE49-F238E27FC236}">
                  <a16:creationId xmlns:a16="http://schemas.microsoft.com/office/drawing/2014/main" id="{00000000-0008-0000-0800-00006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0</xdr:colOff>
          <xdr:row>24</xdr:row>
          <xdr:rowOff>0</xdr:rowOff>
        </xdr:to>
        <xdr:sp macro="" textlink="">
          <xdr:nvSpPr>
            <xdr:cNvPr id="41064" name="Check Box 104" hidden="1">
              <a:extLst>
                <a:ext uri="{63B3BB69-23CF-44E3-9099-C40C66FF867C}">
                  <a14:compatExt spid="_x0000_s41064"/>
                </a:ext>
                <a:ext uri="{FF2B5EF4-FFF2-40B4-BE49-F238E27FC236}">
                  <a16:creationId xmlns:a16="http://schemas.microsoft.com/office/drawing/2014/main" id="{00000000-0008-0000-0800-00006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0</xdr:colOff>
          <xdr:row>26</xdr:row>
          <xdr:rowOff>0</xdr:rowOff>
        </xdr:to>
        <xdr:sp macro="" textlink="">
          <xdr:nvSpPr>
            <xdr:cNvPr id="41065" name="Check Box 105" hidden="1">
              <a:extLst>
                <a:ext uri="{63B3BB69-23CF-44E3-9099-C40C66FF867C}">
                  <a14:compatExt spid="_x0000_s41065"/>
                </a:ext>
                <a:ext uri="{FF2B5EF4-FFF2-40B4-BE49-F238E27FC236}">
                  <a16:creationId xmlns:a16="http://schemas.microsoft.com/office/drawing/2014/main" id="{00000000-0008-0000-0800-00006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45720</xdr:colOff>
          <xdr:row>41</xdr:row>
          <xdr:rowOff>0</xdr:rowOff>
        </xdr:to>
        <xdr:sp macro="" textlink="">
          <xdr:nvSpPr>
            <xdr:cNvPr id="41066" name="Check Box 106" hidden="1">
              <a:extLst>
                <a:ext uri="{63B3BB69-23CF-44E3-9099-C40C66FF867C}">
                  <a14:compatExt spid="_x0000_s41066"/>
                </a:ext>
                <a:ext uri="{FF2B5EF4-FFF2-40B4-BE49-F238E27FC236}">
                  <a16:creationId xmlns:a16="http://schemas.microsoft.com/office/drawing/2014/main" id="{00000000-0008-0000-0800-00006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45720</xdr:colOff>
          <xdr:row>42</xdr:row>
          <xdr:rowOff>0</xdr:rowOff>
        </xdr:to>
        <xdr:sp macro="" textlink="">
          <xdr:nvSpPr>
            <xdr:cNvPr id="41067" name="Check Box 107" hidden="1">
              <a:extLst>
                <a:ext uri="{63B3BB69-23CF-44E3-9099-C40C66FF867C}">
                  <a14:compatExt spid="_x0000_s41067"/>
                </a:ext>
                <a:ext uri="{FF2B5EF4-FFF2-40B4-BE49-F238E27FC236}">
                  <a16:creationId xmlns:a16="http://schemas.microsoft.com/office/drawing/2014/main" id="{00000000-0008-0000-0800-00006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45720</xdr:colOff>
          <xdr:row>39</xdr:row>
          <xdr:rowOff>0</xdr:rowOff>
        </xdr:to>
        <xdr:sp macro="" textlink="">
          <xdr:nvSpPr>
            <xdr:cNvPr id="41070" name="Check Box 110" hidden="1">
              <a:extLst>
                <a:ext uri="{63B3BB69-23CF-44E3-9099-C40C66FF867C}">
                  <a14:compatExt spid="_x0000_s41070"/>
                </a:ext>
                <a:ext uri="{FF2B5EF4-FFF2-40B4-BE49-F238E27FC236}">
                  <a16:creationId xmlns:a16="http://schemas.microsoft.com/office/drawing/2014/main" id="{00000000-0008-0000-0800-00006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45720</xdr:colOff>
          <xdr:row>40</xdr:row>
          <xdr:rowOff>0</xdr:rowOff>
        </xdr:to>
        <xdr:sp macro="" textlink="">
          <xdr:nvSpPr>
            <xdr:cNvPr id="41071" name="Check Box 111" hidden="1">
              <a:extLst>
                <a:ext uri="{63B3BB69-23CF-44E3-9099-C40C66FF867C}">
                  <a14:compatExt spid="_x0000_s41071"/>
                </a:ext>
                <a:ext uri="{FF2B5EF4-FFF2-40B4-BE49-F238E27FC236}">
                  <a16:creationId xmlns:a16="http://schemas.microsoft.com/office/drawing/2014/main" id="{00000000-0008-0000-0800-00006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0</xdr:rowOff>
        </xdr:from>
        <xdr:to>
          <xdr:col>5</xdr:col>
          <xdr:colOff>45720</xdr:colOff>
          <xdr:row>56</xdr:row>
          <xdr:rowOff>0</xdr:rowOff>
        </xdr:to>
        <xdr:sp macro="" textlink="">
          <xdr:nvSpPr>
            <xdr:cNvPr id="41074" name="Check Box 114" hidden="1">
              <a:extLst>
                <a:ext uri="{63B3BB69-23CF-44E3-9099-C40C66FF867C}">
                  <a14:compatExt spid="_x0000_s41074"/>
                </a:ext>
                <a:ext uri="{FF2B5EF4-FFF2-40B4-BE49-F238E27FC236}">
                  <a16:creationId xmlns:a16="http://schemas.microsoft.com/office/drawing/2014/main" id="{00000000-0008-0000-0800-00007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0</xdr:rowOff>
        </xdr:from>
        <xdr:to>
          <xdr:col>5</xdr:col>
          <xdr:colOff>45720</xdr:colOff>
          <xdr:row>57</xdr:row>
          <xdr:rowOff>0</xdr:rowOff>
        </xdr:to>
        <xdr:sp macro="" textlink="">
          <xdr:nvSpPr>
            <xdr:cNvPr id="41075" name="Check Box 115" hidden="1">
              <a:extLst>
                <a:ext uri="{63B3BB69-23CF-44E3-9099-C40C66FF867C}">
                  <a14:compatExt spid="_x0000_s41075"/>
                </a:ext>
                <a:ext uri="{FF2B5EF4-FFF2-40B4-BE49-F238E27FC236}">
                  <a16:creationId xmlns:a16="http://schemas.microsoft.com/office/drawing/2014/main" id="{00000000-0008-0000-0800-00007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0</xdr:rowOff>
        </xdr:from>
        <xdr:to>
          <xdr:col>5</xdr:col>
          <xdr:colOff>45720</xdr:colOff>
          <xdr:row>56</xdr:row>
          <xdr:rowOff>0</xdr:rowOff>
        </xdr:to>
        <xdr:sp macro="" textlink="">
          <xdr:nvSpPr>
            <xdr:cNvPr id="41076" name="Check Box 116" hidden="1">
              <a:extLst>
                <a:ext uri="{63B3BB69-23CF-44E3-9099-C40C66FF867C}">
                  <a14:compatExt spid="_x0000_s41076"/>
                </a:ext>
                <a:ext uri="{FF2B5EF4-FFF2-40B4-BE49-F238E27FC236}">
                  <a16:creationId xmlns:a16="http://schemas.microsoft.com/office/drawing/2014/main" id="{00000000-0008-0000-0800-00007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0</xdr:rowOff>
        </xdr:from>
        <xdr:to>
          <xdr:col>5</xdr:col>
          <xdr:colOff>45720</xdr:colOff>
          <xdr:row>57</xdr:row>
          <xdr:rowOff>0</xdr:rowOff>
        </xdr:to>
        <xdr:sp macro="" textlink="">
          <xdr:nvSpPr>
            <xdr:cNvPr id="41077" name="Check Box 117" hidden="1">
              <a:extLst>
                <a:ext uri="{63B3BB69-23CF-44E3-9099-C40C66FF867C}">
                  <a14:compatExt spid="_x0000_s41077"/>
                </a:ext>
                <a:ext uri="{FF2B5EF4-FFF2-40B4-BE49-F238E27FC236}">
                  <a16:creationId xmlns:a16="http://schemas.microsoft.com/office/drawing/2014/main" id="{00000000-0008-0000-0800-00007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53</xdr:row>
          <xdr:rowOff>0</xdr:rowOff>
        </xdr:from>
        <xdr:to>
          <xdr:col>5</xdr:col>
          <xdr:colOff>45720</xdr:colOff>
          <xdr:row>54</xdr:row>
          <xdr:rowOff>0</xdr:rowOff>
        </xdr:to>
        <xdr:sp macro="" textlink="">
          <xdr:nvSpPr>
            <xdr:cNvPr id="41078" name="Check Box 118" hidden="1">
              <a:extLst>
                <a:ext uri="{63B3BB69-23CF-44E3-9099-C40C66FF867C}">
                  <a14:compatExt spid="_x0000_s41078"/>
                </a:ext>
                <a:ext uri="{FF2B5EF4-FFF2-40B4-BE49-F238E27FC236}">
                  <a16:creationId xmlns:a16="http://schemas.microsoft.com/office/drawing/2014/main" id="{00000000-0008-0000-0800-00007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45720</xdr:colOff>
          <xdr:row>55</xdr:row>
          <xdr:rowOff>0</xdr:rowOff>
        </xdr:to>
        <xdr:sp macro="" textlink="">
          <xdr:nvSpPr>
            <xdr:cNvPr id="41079" name="Check Box 119" hidden="1">
              <a:extLst>
                <a:ext uri="{63B3BB69-23CF-44E3-9099-C40C66FF867C}">
                  <a14:compatExt spid="_x0000_s41079"/>
                </a:ext>
                <a:ext uri="{FF2B5EF4-FFF2-40B4-BE49-F238E27FC236}">
                  <a16:creationId xmlns:a16="http://schemas.microsoft.com/office/drawing/2014/main" id="{00000000-0008-0000-0800-00007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123</xdr:row>
          <xdr:rowOff>0</xdr:rowOff>
        </xdr:from>
        <xdr:to>
          <xdr:col>5</xdr:col>
          <xdr:colOff>45720</xdr:colOff>
          <xdr:row>124</xdr:row>
          <xdr:rowOff>0</xdr:rowOff>
        </xdr:to>
        <xdr:sp macro="" textlink="">
          <xdr:nvSpPr>
            <xdr:cNvPr id="41082" name="Check Box 122" hidden="1">
              <a:extLst>
                <a:ext uri="{63B3BB69-23CF-44E3-9099-C40C66FF867C}">
                  <a14:compatExt spid="_x0000_s41082"/>
                </a:ext>
                <a:ext uri="{FF2B5EF4-FFF2-40B4-BE49-F238E27FC236}">
                  <a16:creationId xmlns:a16="http://schemas.microsoft.com/office/drawing/2014/main" id="{00000000-0008-0000-0800-00007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127</xdr:row>
          <xdr:rowOff>0</xdr:rowOff>
        </xdr:from>
        <xdr:to>
          <xdr:col>5</xdr:col>
          <xdr:colOff>45720</xdr:colOff>
          <xdr:row>128</xdr:row>
          <xdr:rowOff>0</xdr:rowOff>
        </xdr:to>
        <xdr:sp macro="" textlink="">
          <xdr:nvSpPr>
            <xdr:cNvPr id="41083" name="Check Box 123" hidden="1">
              <a:extLst>
                <a:ext uri="{63B3BB69-23CF-44E3-9099-C40C66FF867C}">
                  <a14:compatExt spid="_x0000_s41083"/>
                </a:ext>
                <a:ext uri="{FF2B5EF4-FFF2-40B4-BE49-F238E27FC236}">
                  <a16:creationId xmlns:a16="http://schemas.microsoft.com/office/drawing/2014/main" id="{00000000-0008-0000-0800-00007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121</xdr:row>
          <xdr:rowOff>0</xdr:rowOff>
        </xdr:from>
        <xdr:to>
          <xdr:col>5</xdr:col>
          <xdr:colOff>45720</xdr:colOff>
          <xdr:row>122</xdr:row>
          <xdr:rowOff>0</xdr:rowOff>
        </xdr:to>
        <xdr:sp macro="" textlink="">
          <xdr:nvSpPr>
            <xdr:cNvPr id="41086" name="Check Box 126" hidden="1">
              <a:extLst>
                <a:ext uri="{63B3BB69-23CF-44E3-9099-C40C66FF867C}">
                  <a14:compatExt spid="_x0000_s41086"/>
                </a:ext>
                <a:ext uri="{FF2B5EF4-FFF2-40B4-BE49-F238E27FC236}">
                  <a16:creationId xmlns:a16="http://schemas.microsoft.com/office/drawing/2014/main" id="{00000000-0008-0000-0800-00007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122</xdr:row>
          <xdr:rowOff>0</xdr:rowOff>
        </xdr:from>
        <xdr:to>
          <xdr:col>5</xdr:col>
          <xdr:colOff>45720</xdr:colOff>
          <xdr:row>123</xdr:row>
          <xdr:rowOff>0</xdr:rowOff>
        </xdr:to>
        <xdr:sp macro="" textlink="">
          <xdr:nvSpPr>
            <xdr:cNvPr id="41087" name="Check Box 127" hidden="1">
              <a:extLst>
                <a:ext uri="{63B3BB69-23CF-44E3-9099-C40C66FF867C}">
                  <a14:compatExt spid="_x0000_s41087"/>
                </a:ext>
                <a:ext uri="{FF2B5EF4-FFF2-40B4-BE49-F238E27FC236}">
                  <a16:creationId xmlns:a16="http://schemas.microsoft.com/office/drawing/2014/main" id="{00000000-0008-0000-0800-00007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124</xdr:row>
          <xdr:rowOff>0</xdr:rowOff>
        </xdr:from>
        <xdr:to>
          <xdr:col>5</xdr:col>
          <xdr:colOff>45720</xdr:colOff>
          <xdr:row>125</xdr:row>
          <xdr:rowOff>0</xdr:rowOff>
        </xdr:to>
        <xdr:sp macro="" textlink="">
          <xdr:nvSpPr>
            <xdr:cNvPr id="41088" name="Check Box 128" hidden="1">
              <a:extLst>
                <a:ext uri="{63B3BB69-23CF-44E3-9099-C40C66FF867C}">
                  <a14:compatExt spid="_x0000_s41088"/>
                </a:ext>
                <a:ext uri="{FF2B5EF4-FFF2-40B4-BE49-F238E27FC236}">
                  <a16:creationId xmlns:a16="http://schemas.microsoft.com/office/drawing/2014/main" id="{00000000-0008-0000-0800-00008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125</xdr:row>
          <xdr:rowOff>0</xdr:rowOff>
        </xdr:from>
        <xdr:to>
          <xdr:col>5</xdr:col>
          <xdr:colOff>45720</xdr:colOff>
          <xdr:row>126</xdr:row>
          <xdr:rowOff>0</xdr:rowOff>
        </xdr:to>
        <xdr:sp macro="" textlink="">
          <xdr:nvSpPr>
            <xdr:cNvPr id="41090" name="Check Box 130" hidden="1">
              <a:extLst>
                <a:ext uri="{63B3BB69-23CF-44E3-9099-C40C66FF867C}">
                  <a14:compatExt spid="_x0000_s41090"/>
                </a:ext>
                <a:ext uri="{FF2B5EF4-FFF2-40B4-BE49-F238E27FC236}">
                  <a16:creationId xmlns:a16="http://schemas.microsoft.com/office/drawing/2014/main" id="{00000000-0008-0000-0800-00008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117</xdr:row>
          <xdr:rowOff>0</xdr:rowOff>
        </xdr:from>
        <xdr:to>
          <xdr:col>5</xdr:col>
          <xdr:colOff>45720</xdr:colOff>
          <xdr:row>118</xdr:row>
          <xdr:rowOff>0</xdr:rowOff>
        </xdr:to>
        <xdr:sp macro="" textlink="">
          <xdr:nvSpPr>
            <xdr:cNvPr id="41096" name="Check Box 136" hidden="1">
              <a:extLst>
                <a:ext uri="{63B3BB69-23CF-44E3-9099-C40C66FF867C}">
                  <a14:compatExt spid="_x0000_s41096"/>
                </a:ext>
                <a:ext uri="{FF2B5EF4-FFF2-40B4-BE49-F238E27FC236}">
                  <a16:creationId xmlns:a16="http://schemas.microsoft.com/office/drawing/2014/main" id="{00000000-0008-0000-0800-00008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119</xdr:row>
          <xdr:rowOff>0</xdr:rowOff>
        </xdr:from>
        <xdr:to>
          <xdr:col>2</xdr:col>
          <xdr:colOff>0</xdr:colOff>
          <xdr:row>120</xdr:row>
          <xdr:rowOff>0</xdr:rowOff>
        </xdr:to>
        <xdr:sp macro="" textlink="">
          <xdr:nvSpPr>
            <xdr:cNvPr id="41097" name="Check Box 137" descr="3 Fahrstreifen" hidden="1">
              <a:extLst>
                <a:ext uri="{63B3BB69-23CF-44E3-9099-C40C66FF867C}">
                  <a14:compatExt spid="_x0000_s41097"/>
                </a:ext>
                <a:ext uri="{FF2B5EF4-FFF2-40B4-BE49-F238E27FC236}">
                  <a16:creationId xmlns:a16="http://schemas.microsoft.com/office/drawing/2014/main" id="{00000000-0008-0000-0800-00008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14</xdr:row>
          <xdr:rowOff>0</xdr:rowOff>
        </xdr:to>
        <xdr:sp macro="" textlink="">
          <xdr:nvSpPr>
            <xdr:cNvPr id="41098" name="Check Box 138" hidden="1">
              <a:extLst>
                <a:ext uri="{63B3BB69-23CF-44E3-9099-C40C66FF867C}">
                  <a14:compatExt spid="_x0000_s41098"/>
                </a:ext>
                <a:ext uri="{FF2B5EF4-FFF2-40B4-BE49-F238E27FC236}">
                  <a16:creationId xmlns:a16="http://schemas.microsoft.com/office/drawing/2014/main" id="{00000000-0008-0000-0800-00008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Pers&#246;nliche%20Daten\Techn.%20Gesch&#228;ftsf\abt_t\17_FBT-Vertr&#228;ge\02_Vorlagen%20Vertragsmuster_Mustervertr&#228;ge\01_Geb&#228;udeplanung\Brandschutz\Vorlage_VII-10-4_Honorarangebot_LU-Geb_mit%20BS_ENTWURF_T119_23-06-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Pers&#246;nliche%20Daten\Techn.%20Gesch&#228;ftsf\abt_t\17_FBT-Vertr&#228;ge\10_VgV-F_Verfahren\23_D_0440_LRZ_Exascale_TBM1_TGA-E_Markantonatos\01_Vergabe_VgV\00_Auftragswert\23_D_0440_VII-11-4_KGR-440_T119_23-06-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m2-israels\Documents\Brandschutz\Vorlage_VII-10-4_Honorarangebot_LU-Geb_mit%20BS_ENTWURF_T119_23-06-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ktgrundlagen"/>
      <sheetName val="A anrechb Kosten"/>
      <sheetName val="B HZone"/>
      <sheetName val="StB-C1 Grundlstg -entfällt-"/>
      <sheetName val="HB-C1 Grundlstg Land"/>
      <sheetName val="HB-C2 Grundlstg Bund"/>
      <sheetName val="StB-D1 BesondereLstg -entfällt-"/>
      <sheetName val="HB-D1 Besondere Lstg Land"/>
      <sheetName val="HB-D2 Besondere Lstg Bund"/>
      <sheetName val="HB-D2 Besondere Lstg BS"/>
      <sheetName val="E Honorarberechnung"/>
      <sheetName val="F Honorarübersicht"/>
      <sheetName val="G Honorarabrechnung"/>
      <sheetName val="H §35 HOAI"/>
      <sheetName val="RifT"/>
    </sheetNames>
    <sheetDataSet>
      <sheetData sheetId="0">
        <row r="2">
          <cell r="F2" t="str">
            <v>VII.10.4</v>
          </cell>
        </row>
        <row r="3">
          <cell r="F3" t="str">
            <v>Aktenzeichen:</v>
          </cell>
        </row>
        <row r="5">
          <cell r="B5" t="str">
            <v>Maßnahmennr:</v>
          </cell>
          <cell r="E5" t="str">
            <v>a</v>
          </cell>
          <cell r="F5" t="str">
            <v>Vergabenr.:</v>
          </cell>
          <cell r="G5" t="str">
            <v>b</v>
          </cell>
        </row>
        <row r="6">
          <cell r="B6" t="str">
            <v>Maßnahme:</v>
          </cell>
          <cell r="E6" t="str">
            <v>c</v>
          </cell>
        </row>
        <row r="8">
          <cell r="B8" t="str">
            <v>Bieter:</v>
          </cell>
        </row>
        <row r="20">
          <cell r="L20" t="str">
            <v>Objektplanung Gebäude</v>
          </cell>
        </row>
      </sheetData>
      <sheetData sheetId="1"/>
      <sheetData sheetId="2"/>
      <sheetData sheetId="3"/>
      <sheetData sheetId="4"/>
      <sheetData sheetId="5"/>
      <sheetData sheetId="6"/>
      <sheetData sheetId="7"/>
      <sheetData sheetId="8"/>
      <sheetData sheetId="9"/>
      <sheetData sheetId="10">
        <row r="14">
          <cell r="L14" t="b">
            <v>1</v>
          </cell>
        </row>
      </sheetData>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ktgrundlagen"/>
      <sheetName val="A-B anrechb Kosten-HZone"/>
      <sheetName val="StB-C1 Grundlstg"/>
      <sheetName val="HB-C1 Grundlstg Land"/>
      <sheetName val="HB-C2 Grundlstg Bund"/>
      <sheetName val="StB-D1 Besondere Lstg"/>
      <sheetName val="HB-D1 Besondere Lstg Land"/>
      <sheetName val="HB-D2 Besondere Lstg Bund"/>
      <sheetName val="E Honorarberechnung"/>
      <sheetName val="F Honorarübersicht"/>
      <sheetName val="G Honorarabrechnung"/>
      <sheetName val="H §56 HOAI"/>
      <sheetName val="RifT-Tabelle Starkstrom"/>
    </sheetNames>
    <sheetDataSet>
      <sheetData sheetId="0">
        <row r="5">
          <cell r="E5" t="str">
            <v>15502 E 5803</v>
          </cell>
          <cell r="G5" t="str">
            <v>23D0440</v>
          </cell>
        </row>
        <row r="6">
          <cell r="E6" t="str">
            <v>LRZ Exascale - 1.TBM, Erweiterung und Ertüchtigung Rechnergebäude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E7">
            <v>22900321.009999998</v>
          </cell>
        </row>
      </sheetData>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ktgrundlagen"/>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Herzog, Roneta (StBA München 2)" id="{EE4D6C66-5853-431C-BAAB-0C915815947B}" userId="S::bm2-herzogr@by.bayern.de::aad818c1-a0a0-4dd2-8718-667c5bb8aab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B2:G3" totalsRowShown="0">
  <autoFilter ref="B2:G3" xr:uid="{00000000-0009-0000-0100-000001000000}"/>
  <tableColumns count="6">
    <tableColumn id="1" xr3:uid="{00000000-0010-0000-0000-000001000000}" name="Fachbereich">
      <calculatedColumnFormula>Projektgrundlagen!F2&amp;" "&amp;Projektgrundlagen!B2</calculatedColumnFormula>
    </tableColumn>
    <tableColumn id="2" xr3:uid="{00000000-0010-0000-0000-000002000000}" name="Maßnahmennr"/>
    <tableColumn id="3" xr3:uid="{00000000-0010-0000-0000-000003000000}" name="Maßnahme"/>
    <tableColumn id="4" xr3:uid="{00000000-0010-0000-0000-000004000000}" name="Vergabenr"/>
    <tableColumn id="5" xr3:uid="{00000000-0010-0000-0000-000005000000}" name="Bieter"/>
    <tableColumn id="6" xr3:uid="{00000000-0010-0000-0000-000006000000}" name="Wertungssumme" dataCellStyle="Währung">
      <calculatedColumnFormula>'E Honorarberechnung'!J144</calculatedColumnFormula>
    </tableColumn>
  </tableColumns>
  <tableStyleInfo name="TableStyleMedium2" showFirstColumn="0" showLastColumn="0" showRowStripes="1" showColumnStripes="0"/>
  <extLst>
    <ext xmlns:x14="http://schemas.microsoft.com/office/spreadsheetml/2009/9/main" uri="{504A1905-F514-4f6f-8877-14C23A59335A}">
      <x14:table altText="Grunddate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2" displayName="Tabelle2" ref="B7:D53" totalsRowShown="0">
  <autoFilter ref="B7:D53" xr:uid="{00000000-0009-0000-0100-000002000000}"/>
  <tableColumns count="3">
    <tableColumn id="1" xr3:uid="{00000000-0010-0000-0100-000001000000}" name="Bezeichnung"/>
    <tableColumn id="2" xr3:uid="{00000000-0010-0000-0100-000002000000}" name="Angebot" dataDxfId="2509"/>
    <tableColumn id="3" xr3:uid="{00000000-0010-0000-0100-000003000000}" name="Index" dataDxfId="2508">
      <calculatedColumnFormula>'E Honorarberechnung'!A35</calculatedColumnFormula>
    </tableColumn>
  </tableColumns>
  <tableStyleInfo name="TableStyleMedium2" showFirstColumn="0" showLastColumn="0" showRowStripes="1" showColumnStripes="0"/>
  <extLst>
    <ext xmlns:x14="http://schemas.microsoft.com/office/spreadsheetml/2009/9/main" uri="{504A1905-F514-4f6f-8877-14C23A59335A}">
      <x14:table altText="Angebotsdat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3" displayName="Tabelle3" ref="B58:F250" totalsRowShown="0" headerRowDxfId="2507" headerRowBorderDxfId="2506" tableBorderDxfId="2505">
  <autoFilter ref="B58:F250" xr:uid="{00000000-0009-0000-0100-000003000000}"/>
  <tableColumns count="5">
    <tableColumn id="1" xr3:uid="{00000000-0010-0000-0200-000001000000}" name="Bezeichnung Besond Lstg" dataDxfId="2504">
      <calculatedColumnFormula>IF(AND(Projektgrundlagen!$I$25,'HB-D1 Besondere Lstg Land'!M13=TRUE),'HB-D1 Besondere Lstg Land'!C13&amp;" "&amp;'HB-D1 Besondere Lstg Land'!F13&amp;" "&amp;'HB-D1 Besondere Lstg Land'!F14,IF(AND(Projektgrundlagen!$I$26,'HB-D2 Besondere Lstg Bund'!M13=TRUE),'HB-D2 Besondere Lstg Bund'!C13&amp;" "&amp;'HB-D2 Besondere Lstg Bund'!F13&amp;" "&amp;'HB-D2 Besondere Lstg Bund'!F14,""))</calculatedColumnFormula>
    </tableColumn>
    <tableColumn id="3" xr3:uid="{00000000-0010-0000-0200-000003000000}" name="Menge" dataDxfId="2503"/>
    <tableColumn id="5" xr3:uid="{00000000-0010-0000-0200-000005000000}" name="Einheit" dataDxfId="2502">
      <calculatedColumnFormula>IF(AND(Projektgrundlagen!$I$25,'HB-D1 Besondere Lstg Land'!M13=TRUE),(IF('HB-D1 Besondere Lstg Land'!H13&gt;0,"v.H.","pauschal")),IF(AND(Projektgrundlagen!$I$26,'HB-D2 Besondere Lstg Bund'!M13=TRUE),(IF('HB-D2 Besondere Lstg Bund'!H13&gt;0,"v.H.","pauschal")),""))</calculatedColumnFormula>
    </tableColumn>
    <tableColumn id="4" xr3:uid="{00000000-0010-0000-0200-000004000000}" name="EP-Preis" dataDxfId="2501">
      <calculatedColumnFormula>IF(AND(Projektgrundlagen!$I$25,'HB-D1 Besondere Lstg Land'!M13=TRUE),'HB-D1 Besondere Lstg Land'!H13+'HB-D1 Besondere Lstg Land'!J13,IF(AND(Projektgrundlagen!$I$26,'HB-D2 Besondere Lstg Bund'!M13=TRUE),'HB-D2 Besondere Lstg Bund'!H13+'HB-D2 Besondere Lstg Bund'!J13,""))</calculatedColumnFormula>
    </tableColumn>
    <tableColumn id="2" xr3:uid="{00000000-0010-0000-0200-000002000000}" name="Netto-GP-Preis" dataDxfId="2500">
      <calculatedColumnFormula>IF(AND(Projektgrundlagen!$I$25,'HB-D1 Besondere Lstg Land'!M13=TRUE),'HB-D1 Besondere Lstg Land'!K13,IF(AND(Projektgrundlagen!$I$26,'HB-D2 Besondere Lstg Bund'!M13=TRUE),'HB-D2 Besondere Lstg Bund'!K13,""))</calculatedColumnFormula>
    </tableColumn>
  </tableColumns>
  <tableStyleInfo name="TableStyleMedium2" showFirstColumn="0" showLastColumn="0" showRowStripes="1" showColumnStripes="0"/>
  <extLst>
    <ext xmlns:x14="http://schemas.microsoft.com/office/spreadsheetml/2009/9/main" uri="{504A1905-F514-4f6f-8877-14C23A59335A}">
      <x14:table altText="BesondereLeistungen"/>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81" dT="2025-12-12T10:34:51.69" personId="{EE4D6C66-5853-431C-BAAB-0C915815947B}" id="{E8526FB4-4EAA-4D62-BC7B-CF1B18E6E497}">
    <text>Wir das normalerweise mitvergeben oder als Aufgabe der PL gesehen</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633.xml"/><Relationship Id="rId18" Type="http://schemas.openxmlformats.org/officeDocument/2006/relationships/ctrlProp" Target="../ctrlProps/ctrlProp638.xml"/><Relationship Id="rId26" Type="http://schemas.openxmlformats.org/officeDocument/2006/relationships/ctrlProp" Target="../ctrlProps/ctrlProp646.xml"/><Relationship Id="rId3" Type="http://schemas.openxmlformats.org/officeDocument/2006/relationships/vmlDrawing" Target="../drawings/vmlDrawing10.vml"/><Relationship Id="rId21" Type="http://schemas.openxmlformats.org/officeDocument/2006/relationships/ctrlProp" Target="../ctrlProps/ctrlProp641.xml"/><Relationship Id="rId7" Type="http://schemas.openxmlformats.org/officeDocument/2006/relationships/ctrlProp" Target="../ctrlProps/ctrlProp627.xml"/><Relationship Id="rId12" Type="http://schemas.openxmlformats.org/officeDocument/2006/relationships/ctrlProp" Target="../ctrlProps/ctrlProp632.xml"/><Relationship Id="rId17" Type="http://schemas.openxmlformats.org/officeDocument/2006/relationships/ctrlProp" Target="../ctrlProps/ctrlProp637.xml"/><Relationship Id="rId25" Type="http://schemas.openxmlformats.org/officeDocument/2006/relationships/ctrlProp" Target="../ctrlProps/ctrlProp645.xml"/><Relationship Id="rId33" Type="http://schemas.openxmlformats.org/officeDocument/2006/relationships/ctrlProp" Target="../ctrlProps/ctrlProp653.xml"/><Relationship Id="rId2" Type="http://schemas.openxmlformats.org/officeDocument/2006/relationships/drawing" Target="../drawings/drawing10.xml"/><Relationship Id="rId16" Type="http://schemas.openxmlformats.org/officeDocument/2006/relationships/ctrlProp" Target="../ctrlProps/ctrlProp636.xml"/><Relationship Id="rId20" Type="http://schemas.openxmlformats.org/officeDocument/2006/relationships/ctrlProp" Target="../ctrlProps/ctrlProp640.xml"/><Relationship Id="rId29" Type="http://schemas.openxmlformats.org/officeDocument/2006/relationships/ctrlProp" Target="../ctrlProps/ctrlProp649.xml"/><Relationship Id="rId1" Type="http://schemas.openxmlformats.org/officeDocument/2006/relationships/printerSettings" Target="../printerSettings/printerSettings10.bin"/><Relationship Id="rId6" Type="http://schemas.openxmlformats.org/officeDocument/2006/relationships/ctrlProp" Target="../ctrlProps/ctrlProp626.xml"/><Relationship Id="rId11" Type="http://schemas.openxmlformats.org/officeDocument/2006/relationships/ctrlProp" Target="../ctrlProps/ctrlProp631.xml"/><Relationship Id="rId24" Type="http://schemas.openxmlformats.org/officeDocument/2006/relationships/ctrlProp" Target="../ctrlProps/ctrlProp644.xml"/><Relationship Id="rId32" Type="http://schemas.openxmlformats.org/officeDocument/2006/relationships/ctrlProp" Target="../ctrlProps/ctrlProp652.xml"/><Relationship Id="rId5" Type="http://schemas.openxmlformats.org/officeDocument/2006/relationships/ctrlProp" Target="../ctrlProps/ctrlProp625.xml"/><Relationship Id="rId15" Type="http://schemas.openxmlformats.org/officeDocument/2006/relationships/ctrlProp" Target="../ctrlProps/ctrlProp635.xml"/><Relationship Id="rId23" Type="http://schemas.openxmlformats.org/officeDocument/2006/relationships/ctrlProp" Target="../ctrlProps/ctrlProp643.xml"/><Relationship Id="rId28" Type="http://schemas.openxmlformats.org/officeDocument/2006/relationships/ctrlProp" Target="../ctrlProps/ctrlProp648.xml"/><Relationship Id="rId10" Type="http://schemas.openxmlformats.org/officeDocument/2006/relationships/ctrlProp" Target="../ctrlProps/ctrlProp630.xml"/><Relationship Id="rId19" Type="http://schemas.openxmlformats.org/officeDocument/2006/relationships/ctrlProp" Target="../ctrlProps/ctrlProp639.xml"/><Relationship Id="rId31" Type="http://schemas.openxmlformats.org/officeDocument/2006/relationships/ctrlProp" Target="../ctrlProps/ctrlProp651.xml"/><Relationship Id="rId4" Type="http://schemas.openxmlformats.org/officeDocument/2006/relationships/ctrlProp" Target="../ctrlProps/ctrlProp624.xml"/><Relationship Id="rId9" Type="http://schemas.openxmlformats.org/officeDocument/2006/relationships/ctrlProp" Target="../ctrlProps/ctrlProp629.xml"/><Relationship Id="rId14" Type="http://schemas.openxmlformats.org/officeDocument/2006/relationships/ctrlProp" Target="../ctrlProps/ctrlProp634.xml"/><Relationship Id="rId22" Type="http://schemas.openxmlformats.org/officeDocument/2006/relationships/ctrlProp" Target="../ctrlProps/ctrlProp642.xml"/><Relationship Id="rId27" Type="http://schemas.openxmlformats.org/officeDocument/2006/relationships/ctrlProp" Target="../ctrlProps/ctrlProp647.xml"/><Relationship Id="rId30" Type="http://schemas.openxmlformats.org/officeDocument/2006/relationships/ctrlProp" Target="../ctrlProps/ctrlProp650.xml"/><Relationship Id="rId8" Type="http://schemas.openxmlformats.org/officeDocument/2006/relationships/ctrlProp" Target="../ctrlProps/ctrlProp628.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58.xml"/><Relationship Id="rId13" Type="http://schemas.openxmlformats.org/officeDocument/2006/relationships/ctrlProp" Target="../ctrlProps/ctrlProp663.xml"/><Relationship Id="rId18" Type="http://schemas.openxmlformats.org/officeDocument/2006/relationships/ctrlProp" Target="../ctrlProps/ctrlProp668.xml"/><Relationship Id="rId3" Type="http://schemas.openxmlformats.org/officeDocument/2006/relationships/vmlDrawing" Target="../drawings/vmlDrawing11.vml"/><Relationship Id="rId21" Type="http://schemas.openxmlformats.org/officeDocument/2006/relationships/ctrlProp" Target="../ctrlProps/ctrlProp671.xml"/><Relationship Id="rId7" Type="http://schemas.openxmlformats.org/officeDocument/2006/relationships/ctrlProp" Target="../ctrlProps/ctrlProp657.xml"/><Relationship Id="rId12" Type="http://schemas.openxmlformats.org/officeDocument/2006/relationships/ctrlProp" Target="../ctrlProps/ctrlProp662.xml"/><Relationship Id="rId17" Type="http://schemas.openxmlformats.org/officeDocument/2006/relationships/ctrlProp" Target="../ctrlProps/ctrlProp667.xml"/><Relationship Id="rId25" Type="http://schemas.openxmlformats.org/officeDocument/2006/relationships/ctrlProp" Target="../ctrlProps/ctrlProp675.xml"/><Relationship Id="rId2" Type="http://schemas.openxmlformats.org/officeDocument/2006/relationships/drawing" Target="../drawings/drawing11.xml"/><Relationship Id="rId16" Type="http://schemas.openxmlformats.org/officeDocument/2006/relationships/ctrlProp" Target="../ctrlProps/ctrlProp666.xml"/><Relationship Id="rId20" Type="http://schemas.openxmlformats.org/officeDocument/2006/relationships/ctrlProp" Target="../ctrlProps/ctrlProp670.xml"/><Relationship Id="rId1" Type="http://schemas.openxmlformats.org/officeDocument/2006/relationships/printerSettings" Target="../printerSettings/printerSettings11.bin"/><Relationship Id="rId6" Type="http://schemas.openxmlformats.org/officeDocument/2006/relationships/ctrlProp" Target="../ctrlProps/ctrlProp656.xml"/><Relationship Id="rId11" Type="http://schemas.openxmlformats.org/officeDocument/2006/relationships/ctrlProp" Target="../ctrlProps/ctrlProp661.xml"/><Relationship Id="rId24" Type="http://schemas.openxmlformats.org/officeDocument/2006/relationships/ctrlProp" Target="../ctrlProps/ctrlProp674.xml"/><Relationship Id="rId5" Type="http://schemas.openxmlformats.org/officeDocument/2006/relationships/ctrlProp" Target="../ctrlProps/ctrlProp655.xml"/><Relationship Id="rId15" Type="http://schemas.openxmlformats.org/officeDocument/2006/relationships/ctrlProp" Target="../ctrlProps/ctrlProp665.xml"/><Relationship Id="rId23" Type="http://schemas.openxmlformats.org/officeDocument/2006/relationships/ctrlProp" Target="../ctrlProps/ctrlProp673.xml"/><Relationship Id="rId10" Type="http://schemas.openxmlformats.org/officeDocument/2006/relationships/ctrlProp" Target="../ctrlProps/ctrlProp660.xml"/><Relationship Id="rId19" Type="http://schemas.openxmlformats.org/officeDocument/2006/relationships/ctrlProp" Target="../ctrlProps/ctrlProp669.xml"/><Relationship Id="rId4" Type="http://schemas.openxmlformats.org/officeDocument/2006/relationships/ctrlProp" Target="../ctrlProps/ctrlProp654.xml"/><Relationship Id="rId9" Type="http://schemas.openxmlformats.org/officeDocument/2006/relationships/ctrlProp" Target="../ctrlProps/ctrlProp659.xml"/><Relationship Id="rId14" Type="http://schemas.openxmlformats.org/officeDocument/2006/relationships/ctrlProp" Target="../ctrlProps/ctrlProp664.xml"/><Relationship Id="rId22" Type="http://schemas.openxmlformats.org/officeDocument/2006/relationships/ctrlProp" Target="../ctrlProps/ctrlProp67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680.xml"/><Relationship Id="rId13" Type="http://schemas.openxmlformats.org/officeDocument/2006/relationships/ctrlProp" Target="../ctrlProps/ctrlProp685.xml"/><Relationship Id="rId3" Type="http://schemas.openxmlformats.org/officeDocument/2006/relationships/vmlDrawing" Target="../drawings/vmlDrawing12.vml"/><Relationship Id="rId7" Type="http://schemas.openxmlformats.org/officeDocument/2006/relationships/ctrlProp" Target="../ctrlProps/ctrlProp679.xml"/><Relationship Id="rId12" Type="http://schemas.openxmlformats.org/officeDocument/2006/relationships/ctrlProp" Target="../ctrlProps/ctrlProp684.xml"/><Relationship Id="rId2" Type="http://schemas.openxmlformats.org/officeDocument/2006/relationships/drawing" Target="../drawings/drawing12.xml"/><Relationship Id="rId1" Type="http://schemas.openxmlformats.org/officeDocument/2006/relationships/printerSettings" Target="../printerSettings/printerSettings13.bin"/><Relationship Id="rId6" Type="http://schemas.openxmlformats.org/officeDocument/2006/relationships/ctrlProp" Target="../ctrlProps/ctrlProp678.xml"/><Relationship Id="rId11" Type="http://schemas.openxmlformats.org/officeDocument/2006/relationships/ctrlProp" Target="../ctrlProps/ctrlProp683.xml"/><Relationship Id="rId5" Type="http://schemas.openxmlformats.org/officeDocument/2006/relationships/ctrlProp" Target="../ctrlProps/ctrlProp677.xml"/><Relationship Id="rId10" Type="http://schemas.openxmlformats.org/officeDocument/2006/relationships/ctrlProp" Target="../ctrlProps/ctrlProp682.xml"/><Relationship Id="rId4" Type="http://schemas.openxmlformats.org/officeDocument/2006/relationships/ctrlProp" Target="../ctrlProps/ctrlProp676.xml"/><Relationship Id="rId9" Type="http://schemas.openxmlformats.org/officeDocument/2006/relationships/ctrlProp" Target="../ctrlProps/ctrlProp681.xml"/><Relationship Id="rId14" Type="http://schemas.openxmlformats.org/officeDocument/2006/relationships/ctrlProp" Target="../ctrlProps/ctrlProp68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6.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4.vml"/><Relationship Id="rId21" Type="http://schemas.openxmlformats.org/officeDocument/2006/relationships/ctrlProp" Target="../ctrlProps/ctrlProp30.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2" Type="http://schemas.openxmlformats.org/officeDocument/2006/relationships/drawing" Target="../drawings/drawing4.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63.xml"/><Relationship Id="rId21" Type="http://schemas.openxmlformats.org/officeDocument/2006/relationships/ctrlProp" Target="../ctrlProps/ctrlProp58.xml"/><Relationship Id="rId42" Type="http://schemas.openxmlformats.org/officeDocument/2006/relationships/ctrlProp" Target="../ctrlProps/ctrlProp79.xml"/><Relationship Id="rId47" Type="http://schemas.openxmlformats.org/officeDocument/2006/relationships/ctrlProp" Target="../ctrlProps/ctrlProp84.xml"/><Relationship Id="rId63" Type="http://schemas.openxmlformats.org/officeDocument/2006/relationships/ctrlProp" Target="../ctrlProps/ctrlProp100.xml"/><Relationship Id="rId68" Type="http://schemas.openxmlformats.org/officeDocument/2006/relationships/ctrlProp" Target="../ctrlProps/ctrlProp105.xml"/><Relationship Id="rId16" Type="http://schemas.openxmlformats.org/officeDocument/2006/relationships/ctrlProp" Target="../ctrlProps/ctrlProp53.xml"/><Relationship Id="rId11" Type="http://schemas.openxmlformats.org/officeDocument/2006/relationships/ctrlProp" Target="../ctrlProps/ctrlProp48.xml"/><Relationship Id="rId24" Type="http://schemas.openxmlformats.org/officeDocument/2006/relationships/ctrlProp" Target="../ctrlProps/ctrlProp61.xml"/><Relationship Id="rId32" Type="http://schemas.openxmlformats.org/officeDocument/2006/relationships/ctrlProp" Target="../ctrlProps/ctrlProp69.xml"/><Relationship Id="rId37" Type="http://schemas.openxmlformats.org/officeDocument/2006/relationships/ctrlProp" Target="../ctrlProps/ctrlProp74.xml"/><Relationship Id="rId40" Type="http://schemas.openxmlformats.org/officeDocument/2006/relationships/ctrlProp" Target="../ctrlProps/ctrlProp77.xml"/><Relationship Id="rId45" Type="http://schemas.openxmlformats.org/officeDocument/2006/relationships/ctrlProp" Target="../ctrlProps/ctrlProp82.xml"/><Relationship Id="rId53" Type="http://schemas.openxmlformats.org/officeDocument/2006/relationships/ctrlProp" Target="../ctrlProps/ctrlProp90.xml"/><Relationship Id="rId58" Type="http://schemas.openxmlformats.org/officeDocument/2006/relationships/ctrlProp" Target="../ctrlProps/ctrlProp95.xml"/><Relationship Id="rId66" Type="http://schemas.openxmlformats.org/officeDocument/2006/relationships/ctrlProp" Target="../ctrlProps/ctrlProp103.xml"/><Relationship Id="rId74" Type="http://schemas.openxmlformats.org/officeDocument/2006/relationships/ctrlProp" Target="../ctrlProps/ctrlProp111.xml"/><Relationship Id="rId5" Type="http://schemas.openxmlformats.org/officeDocument/2006/relationships/ctrlProp" Target="../ctrlProps/ctrlProp42.xml"/><Relationship Id="rId61" Type="http://schemas.openxmlformats.org/officeDocument/2006/relationships/ctrlProp" Target="../ctrlProps/ctrlProp98.xml"/><Relationship Id="rId19" Type="http://schemas.openxmlformats.org/officeDocument/2006/relationships/ctrlProp" Target="../ctrlProps/ctrlProp56.xml"/><Relationship Id="rId14" Type="http://schemas.openxmlformats.org/officeDocument/2006/relationships/ctrlProp" Target="../ctrlProps/ctrlProp51.xml"/><Relationship Id="rId22" Type="http://schemas.openxmlformats.org/officeDocument/2006/relationships/ctrlProp" Target="../ctrlProps/ctrlProp59.xml"/><Relationship Id="rId27" Type="http://schemas.openxmlformats.org/officeDocument/2006/relationships/ctrlProp" Target="../ctrlProps/ctrlProp64.xml"/><Relationship Id="rId30" Type="http://schemas.openxmlformats.org/officeDocument/2006/relationships/ctrlProp" Target="../ctrlProps/ctrlProp67.xml"/><Relationship Id="rId35" Type="http://schemas.openxmlformats.org/officeDocument/2006/relationships/ctrlProp" Target="../ctrlProps/ctrlProp72.xml"/><Relationship Id="rId43" Type="http://schemas.openxmlformats.org/officeDocument/2006/relationships/ctrlProp" Target="../ctrlProps/ctrlProp80.xml"/><Relationship Id="rId48" Type="http://schemas.openxmlformats.org/officeDocument/2006/relationships/ctrlProp" Target="../ctrlProps/ctrlProp85.xml"/><Relationship Id="rId56" Type="http://schemas.openxmlformats.org/officeDocument/2006/relationships/ctrlProp" Target="../ctrlProps/ctrlProp93.xml"/><Relationship Id="rId64" Type="http://schemas.openxmlformats.org/officeDocument/2006/relationships/ctrlProp" Target="../ctrlProps/ctrlProp101.xml"/><Relationship Id="rId69" Type="http://schemas.openxmlformats.org/officeDocument/2006/relationships/ctrlProp" Target="../ctrlProps/ctrlProp106.xml"/><Relationship Id="rId77" Type="http://schemas.openxmlformats.org/officeDocument/2006/relationships/comments" Target="../comments1.xml"/><Relationship Id="rId8" Type="http://schemas.openxmlformats.org/officeDocument/2006/relationships/ctrlProp" Target="../ctrlProps/ctrlProp45.xml"/><Relationship Id="rId51" Type="http://schemas.openxmlformats.org/officeDocument/2006/relationships/ctrlProp" Target="../ctrlProps/ctrlProp88.xml"/><Relationship Id="rId72" Type="http://schemas.openxmlformats.org/officeDocument/2006/relationships/ctrlProp" Target="../ctrlProps/ctrlProp109.xml"/><Relationship Id="rId3" Type="http://schemas.openxmlformats.org/officeDocument/2006/relationships/vmlDrawing" Target="../drawings/vmlDrawing5.v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33" Type="http://schemas.openxmlformats.org/officeDocument/2006/relationships/ctrlProp" Target="../ctrlProps/ctrlProp70.xml"/><Relationship Id="rId38" Type="http://schemas.openxmlformats.org/officeDocument/2006/relationships/ctrlProp" Target="../ctrlProps/ctrlProp75.xml"/><Relationship Id="rId46" Type="http://schemas.openxmlformats.org/officeDocument/2006/relationships/ctrlProp" Target="../ctrlProps/ctrlProp83.xml"/><Relationship Id="rId59" Type="http://schemas.openxmlformats.org/officeDocument/2006/relationships/ctrlProp" Target="../ctrlProps/ctrlProp96.xml"/><Relationship Id="rId67" Type="http://schemas.openxmlformats.org/officeDocument/2006/relationships/ctrlProp" Target="../ctrlProps/ctrlProp104.xml"/><Relationship Id="rId20" Type="http://schemas.openxmlformats.org/officeDocument/2006/relationships/ctrlProp" Target="../ctrlProps/ctrlProp57.xml"/><Relationship Id="rId41" Type="http://schemas.openxmlformats.org/officeDocument/2006/relationships/ctrlProp" Target="../ctrlProps/ctrlProp78.xml"/><Relationship Id="rId54" Type="http://schemas.openxmlformats.org/officeDocument/2006/relationships/ctrlProp" Target="../ctrlProps/ctrlProp91.xml"/><Relationship Id="rId62" Type="http://schemas.openxmlformats.org/officeDocument/2006/relationships/ctrlProp" Target="../ctrlProps/ctrlProp99.xml"/><Relationship Id="rId70" Type="http://schemas.openxmlformats.org/officeDocument/2006/relationships/ctrlProp" Target="../ctrlProps/ctrlProp107.xml"/><Relationship Id="rId75" Type="http://schemas.openxmlformats.org/officeDocument/2006/relationships/ctrlProp" Target="../ctrlProps/ctrlProp112.xml"/><Relationship Id="rId1" Type="http://schemas.openxmlformats.org/officeDocument/2006/relationships/printerSettings" Target="../printerSettings/printerSettings5.bin"/><Relationship Id="rId6" Type="http://schemas.openxmlformats.org/officeDocument/2006/relationships/ctrlProp" Target="../ctrlProps/ctrlProp43.xml"/><Relationship Id="rId15" Type="http://schemas.openxmlformats.org/officeDocument/2006/relationships/ctrlProp" Target="../ctrlProps/ctrlProp52.xml"/><Relationship Id="rId23" Type="http://schemas.openxmlformats.org/officeDocument/2006/relationships/ctrlProp" Target="../ctrlProps/ctrlProp60.xml"/><Relationship Id="rId28" Type="http://schemas.openxmlformats.org/officeDocument/2006/relationships/ctrlProp" Target="../ctrlProps/ctrlProp65.xml"/><Relationship Id="rId36" Type="http://schemas.openxmlformats.org/officeDocument/2006/relationships/ctrlProp" Target="../ctrlProps/ctrlProp73.xml"/><Relationship Id="rId49" Type="http://schemas.openxmlformats.org/officeDocument/2006/relationships/ctrlProp" Target="../ctrlProps/ctrlProp86.xml"/><Relationship Id="rId57" Type="http://schemas.openxmlformats.org/officeDocument/2006/relationships/ctrlProp" Target="../ctrlProps/ctrlProp94.xml"/><Relationship Id="rId10" Type="http://schemas.openxmlformats.org/officeDocument/2006/relationships/ctrlProp" Target="../ctrlProps/ctrlProp47.xml"/><Relationship Id="rId31" Type="http://schemas.openxmlformats.org/officeDocument/2006/relationships/ctrlProp" Target="../ctrlProps/ctrlProp68.xml"/><Relationship Id="rId44" Type="http://schemas.openxmlformats.org/officeDocument/2006/relationships/ctrlProp" Target="../ctrlProps/ctrlProp81.xml"/><Relationship Id="rId52" Type="http://schemas.openxmlformats.org/officeDocument/2006/relationships/ctrlProp" Target="../ctrlProps/ctrlProp89.xml"/><Relationship Id="rId60" Type="http://schemas.openxmlformats.org/officeDocument/2006/relationships/ctrlProp" Target="../ctrlProps/ctrlProp97.xml"/><Relationship Id="rId65" Type="http://schemas.openxmlformats.org/officeDocument/2006/relationships/ctrlProp" Target="../ctrlProps/ctrlProp102.xml"/><Relationship Id="rId73" Type="http://schemas.openxmlformats.org/officeDocument/2006/relationships/ctrlProp" Target="../ctrlProps/ctrlProp110.xml"/><Relationship Id="rId78" Type="http://schemas.microsoft.com/office/2017/10/relationships/threadedComment" Target="../threadedComments/threadedComment1.xml"/><Relationship Id="rId4" Type="http://schemas.openxmlformats.org/officeDocument/2006/relationships/ctrlProp" Target="../ctrlProps/ctrlProp41.xml"/><Relationship Id="rId9" Type="http://schemas.openxmlformats.org/officeDocument/2006/relationships/ctrlProp" Target="../ctrlProps/ctrlProp46.xml"/><Relationship Id="rId13" Type="http://schemas.openxmlformats.org/officeDocument/2006/relationships/ctrlProp" Target="../ctrlProps/ctrlProp50.xml"/><Relationship Id="rId18" Type="http://schemas.openxmlformats.org/officeDocument/2006/relationships/ctrlProp" Target="../ctrlProps/ctrlProp55.xml"/><Relationship Id="rId39" Type="http://schemas.openxmlformats.org/officeDocument/2006/relationships/ctrlProp" Target="../ctrlProps/ctrlProp76.xml"/><Relationship Id="rId34" Type="http://schemas.openxmlformats.org/officeDocument/2006/relationships/ctrlProp" Target="../ctrlProps/ctrlProp71.xml"/><Relationship Id="rId50" Type="http://schemas.openxmlformats.org/officeDocument/2006/relationships/ctrlProp" Target="../ctrlProps/ctrlProp87.xml"/><Relationship Id="rId55" Type="http://schemas.openxmlformats.org/officeDocument/2006/relationships/ctrlProp" Target="../ctrlProps/ctrlProp92.xml"/><Relationship Id="rId76" Type="http://schemas.openxmlformats.org/officeDocument/2006/relationships/ctrlProp" Target="../ctrlProps/ctrlProp113.xml"/><Relationship Id="rId7" Type="http://schemas.openxmlformats.org/officeDocument/2006/relationships/ctrlProp" Target="../ctrlProps/ctrlProp44.xml"/><Relationship Id="rId71" Type="http://schemas.openxmlformats.org/officeDocument/2006/relationships/ctrlProp" Target="../ctrlProps/ctrlProp108.xml"/><Relationship Id="rId2" Type="http://schemas.openxmlformats.org/officeDocument/2006/relationships/drawing" Target="../drawings/drawing5.xml"/><Relationship Id="rId29" Type="http://schemas.openxmlformats.org/officeDocument/2006/relationships/ctrlProp" Target="../ctrlProps/ctrlProp66.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136.xml"/><Relationship Id="rId21" Type="http://schemas.openxmlformats.org/officeDocument/2006/relationships/ctrlProp" Target="../ctrlProps/ctrlProp131.xml"/><Relationship Id="rId42" Type="http://schemas.openxmlformats.org/officeDocument/2006/relationships/ctrlProp" Target="../ctrlProps/ctrlProp152.xml"/><Relationship Id="rId47" Type="http://schemas.openxmlformats.org/officeDocument/2006/relationships/ctrlProp" Target="../ctrlProps/ctrlProp157.xml"/><Relationship Id="rId63" Type="http://schemas.openxmlformats.org/officeDocument/2006/relationships/ctrlProp" Target="../ctrlProps/ctrlProp173.xml"/><Relationship Id="rId68" Type="http://schemas.openxmlformats.org/officeDocument/2006/relationships/ctrlProp" Target="../ctrlProps/ctrlProp178.xml"/><Relationship Id="rId2" Type="http://schemas.openxmlformats.org/officeDocument/2006/relationships/drawing" Target="../drawings/drawing6.xml"/><Relationship Id="rId16" Type="http://schemas.openxmlformats.org/officeDocument/2006/relationships/ctrlProp" Target="../ctrlProps/ctrlProp126.xml"/><Relationship Id="rId29" Type="http://schemas.openxmlformats.org/officeDocument/2006/relationships/ctrlProp" Target="../ctrlProps/ctrlProp139.xml"/><Relationship Id="rId11" Type="http://schemas.openxmlformats.org/officeDocument/2006/relationships/ctrlProp" Target="../ctrlProps/ctrlProp121.xml"/><Relationship Id="rId24" Type="http://schemas.openxmlformats.org/officeDocument/2006/relationships/ctrlProp" Target="../ctrlProps/ctrlProp134.xml"/><Relationship Id="rId32" Type="http://schemas.openxmlformats.org/officeDocument/2006/relationships/ctrlProp" Target="../ctrlProps/ctrlProp142.xml"/><Relationship Id="rId37" Type="http://schemas.openxmlformats.org/officeDocument/2006/relationships/ctrlProp" Target="../ctrlProps/ctrlProp147.xml"/><Relationship Id="rId40" Type="http://schemas.openxmlformats.org/officeDocument/2006/relationships/ctrlProp" Target="../ctrlProps/ctrlProp150.xml"/><Relationship Id="rId45" Type="http://schemas.openxmlformats.org/officeDocument/2006/relationships/ctrlProp" Target="../ctrlProps/ctrlProp155.xml"/><Relationship Id="rId53" Type="http://schemas.openxmlformats.org/officeDocument/2006/relationships/ctrlProp" Target="../ctrlProps/ctrlProp163.xml"/><Relationship Id="rId58" Type="http://schemas.openxmlformats.org/officeDocument/2006/relationships/ctrlProp" Target="../ctrlProps/ctrlProp168.xml"/><Relationship Id="rId66" Type="http://schemas.openxmlformats.org/officeDocument/2006/relationships/ctrlProp" Target="../ctrlProps/ctrlProp176.xml"/><Relationship Id="rId74" Type="http://schemas.openxmlformats.org/officeDocument/2006/relationships/ctrlProp" Target="../ctrlProps/ctrlProp184.xml"/><Relationship Id="rId5" Type="http://schemas.openxmlformats.org/officeDocument/2006/relationships/ctrlProp" Target="../ctrlProps/ctrlProp115.xml"/><Relationship Id="rId61" Type="http://schemas.openxmlformats.org/officeDocument/2006/relationships/ctrlProp" Target="../ctrlProps/ctrlProp171.xml"/><Relationship Id="rId19" Type="http://schemas.openxmlformats.org/officeDocument/2006/relationships/ctrlProp" Target="../ctrlProps/ctrlProp129.xml"/><Relationship Id="rId14" Type="http://schemas.openxmlformats.org/officeDocument/2006/relationships/ctrlProp" Target="../ctrlProps/ctrlProp124.xml"/><Relationship Id="rId22" Type="http://schemas.openxmlformats.org/officeDocument/2006/relationships/ctrlProp" Target="../ctrlProps/ctrlProp132.xml"/><Relationship Id="rId27" Type="http://schemas.openxmlformats.org/officeDocument/2006/relationships/ctrlProp" Target="../ctrlProps/ctrlProp137.xml"/><Relationship Id="rId30" Type="http://schemas.openxmlformats.org/officeDocument/2006/relationships/ctrlProp" Target="../ctrlProps/ctrlProp140.xml"/><Relationship Id="rId35" Type="http://schemas.openxmlformats.org/officeDocument/2006/relationships/ctrlProp" Target="../ctrlProps/ctrlProp145.xml"/><Relationship Id="rId43" Type="http://schemas.openxmlformats.org/officeDocument/2006/relationships/ctrlProp" Target="../ctrlProps/ctrlProp153.xml"/><Relationship Id="rId48" Type="http://schemas.openxmlformats.org/officeDocument/2006/relationships/ctrlProp" Target="../ctrlProps/ctrlProp158.xml"/><Relationship Id="rId56" Type="http://schemas.openxmlformats.org/officeDocument/2006/relationships/ctrlProp" Target="../ctrlProps/ctrlProp166.xml"/><Relationship Id="rId64" Type="http://schemas.openxmlformats.org/officeDocument/2006/relationships/ctrlProp" Target="../ctrlProps/ctrlProp174.xml"/><Relationship Id="rId69" Type="http://schemas.openxmlformats.org/officeDocument/2006/relationships/ctrlProp" Target="../ctrlProps/ctrlProp179.xml"/><Relationship Id="rId8" Type="http://schemas.openxmlformats.org/officeDocument/2006/relationships/ctrlProp" Target="../ctrlProps/ctrlProp118.xml"/><Relationship Id="rId51" Type="http://schemas.openxmlformats.org/officeDocument/2006/relationships/ctrlProp" Target="../ctrlProps/ctrlProp161.xml"/><Relationship Id="rId72" Type="http://schemas.openxmlformats.org/officeDocument/2006/relationships/ctrlProp" Target="../ctrlProps/ctrlProp182.xml"/><Relationship Id="rId3" Type="http://schemas.openxmlformats.org/officeDocument/2006/relationships/vmlDrawing" Target="../drawings/vmlDrawing6.vml"/><Relationship Id="rId12" Type="http://schemas.openxmlformats.org/officeDocument/2006/relationships/ctrlProp" Target="../ctrlProps/ctrlProp122.xml"/><Relationship Id="rId17" Type="http://schemas.openxmlformats.org/officeDocument/2006/relationships/ctrlProp" Target="../ctrlProps/ctrlProp127.xml"/><Relationship Id="rId25" Type="http://schemas.openxmlformats.org/officeDocument/2006/relationships/ctrlProp" Target="../ctrlProps/ctrlProp135.xml"/><Relationship Id="rId33" Type="http://schemas.openxmlformats.org/officeDocument/2006/relationships/ctrlProp" Target="../ctrlProps/ctrlProp143.xml"/><Relationship Id="rId38" Type="http://schemas.openxmlformats.org/officeDocument/2006/relationships/ctrlProp" Target="../ctrlProps/ctrlProp148.xml"/><Relationship Id="rId46" Type="http://schemas.openxmlformats.org/officeDocument/2006/relationships/ctrlProp" Target="../ctrlProps/ctrlProp156.xml"/><Relationship Id="rId59" Type="http://schemas.openxmlformats.org/officeDocument/2006/relationships/ctrlProp" Target="../ctrlProps/ctrlProp169.xml"/><Relationship Id="rId67" Type="http://schemas.openxmlformats.org/officeDocument/2006/relationships/ctrlProp" Target="../ctrlProps/ctrlProp177.xml"/><Relationship Id="rId20" Type="http://schemas.openxmlformats.org/officeDocument/2006/relationships/ctrlProp" Target="../ctrlProps/ctrlProp130.xml"/><Relationship Id="rId41" Type="http://schemas.openxmlformats.org/officeDocument/2006/relationships/ctrlProp" Target="../ctrlProps/ctrlProp151.xml"/><Relationship Id="rId54" Type="http://schemas.openxmlformats.org/officeDocument/2006/relationships/ctrlProp" Target="../ctrlProps/ctrlProp164.xml"/><Relationship Id="rId62" Type="http://schemas.openxmlformats.org/officeDocument/2006/relationships/ctrlProp" Target="../ctrlProps/ctrlProp172.xml"/><Relationship Id="rId70" Type="http://schemas.openxmlformats.org/officeDocument/2006/relationships/ctrlProp" Target="../ctrlProps/ctrlProp180.xml"/><Relationship Id="rId1" Type="http://schemas.openxmlformats.org/officeDocument/2006/relationships/printerSettings" Target="../printerSettings/printerSettings6.bin"/><Relationship Id="rId6" Type="http://schemas.openxmlformats.org/officeDocument/2006/relationships/ctrlProp" Target="../ctrlProps/ctrlProp116.xml"/><Relationship Id="rId15" Type="http://schemas.openxmlformats.org/officeDocument/2006/relationships/ctrlProp" Target="../ctrlProps/ctrlProp125.xml"/><Relationship Id="rId23" Type="http://schemas.openxmlformats.org/officeDocument/2006/relationships/ctrlProp" Target="../ctrlProps/ctrlProp133.xml"/><Relationship Id="rId28" Type="http://schemas.openxmlformats.org/officeDocument/2006/relationships/ctrlProp" Target="../ctrlProps/ctrlProp138.xml"/><Relationship Id="rId36" Type="http://schemas.openxmlformats.org/officeDocument/2006/relationships/ctrlProp" Target="../ctrlProps/ctrlProp146.xml"/><Relationship Id="rId49" Type="http://schemas.openxmlformats.org/officeDocument/2006/relationships/ctrlProp" Target="../ctrlProps/ctrlProp159.xml"/><Relationship Id="rId57" Type="http://schemas.openxmlformats.org/officeDocument/2006/relationships/ctrlProp" Target="../ctrlProps/ctrlProp167.xml"/><Relationship Id="rId10" Type="http://schemas.openxmlformats.org/officeDocument/2006/relationships/ctrlProp" Target="../ctrlProps/ctrlProp120.xml"/><Relationship Id="rId31" Type="http://schemas.openxmlformats.org/officeDocument/2006/relationships/ctrlProp" Target="../ctrlProps/ctrlProp141.xml"/><Relationship Id="rId44" Type="http://schemas.openxmlformats.org/officeDocument/2006/relationships/ctrlProp" Target="../ctrlProps/ctrlProp154.xml"/><Relationship Id="rId52" Type="http://schemas.openxmlformats.org/officeDocument/2006/relationships/ctrlProp" Target="../ctrlProps/ctrlProp162.xml"/><Relationship Id="rId60" Type="http://schemas.openxmlformats.org/officeDocument/2006/relationships/ctrlProp" Target="../ctrlProps/ctrlProp170.xml"/><Relationship Id="rId65" Type="http://schemas.openxmlformats.org/officeDocument/2006/relationships/ctrlProp" Target="../ctrlProps/ctrlProp175.xml"/><Relationship Id="rId73" Type="http://schemas.openxmlformats.org/officeDocument/2006/relationships/ctrlProp" Target="../ctrlProps/ctrlProp183.xml"/><Relationship Id="rId4" Type="http://schemas.openxmlformats.org/officeDocument/2006/relationships/ctrlProp" Target="../ctrlProps/ctrlProp114.xml"/><Relationship Id="rId9" Type="http://schemas.openxmlformats.org/officeDocument/2006/relationships/ctrlProp" Target="../ctrlProps/ctrlProp119.xml"/><Relationship Id="rId13" Type="http://schemas.openxmlformats.org/officeDocument/2006/relationships/ctrlProp" Target="../ctrlProps/ctrlProp123.xml"/><Relationship Id="rId18" Type="http://schemas.openxmlformats.org/officeDocument/2006/relationships/ctrlProp" Target="../ctrlProps/ctrlProp128.xml"/><Relationship Id="rId39" Type="http://schemas.openxmlformats.org/officeDocument/2006/relationships/ctrlProp" Target="../ctrlProps/ctrlProp149.xml"/><Relationship Id="rId34" Type="http://schemas.openxmlformats.org/officeDocument/2006/relationships/ctrlProp" Target="../ctrlProps/ctrlProp144.xml"/><Relationship Id="rId50" Type="http://schemas.openxmlformats.org/officeDocument/2006/relationships/ctrlProp" Target="../ctrlProps/ctrlProp160.xml"/><Relationship Id="rId55" Type="http://schemas.openxmlformats.org/officeDocument/2006/relationships/ctrlProp" Target="../ctrlProps/ctrlProp165.xml"/><Relationship Id="rId7" Type="http://schemas.openxmlformats.org/officeDocument/2006/relationships/ctrlProp" Target="../ctrlProps/ctrlProp117.xml"/><Relationship Id="rId71" Type="http://schemas.openxmlformats.org/officeDocument/2006/relationships/ctrlProp" Target="../ctrlProps/ctrlProp18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89.xml"/><Relationship Id="rId13" Type="http://schemas.openxmlformats.org/officeDocument/2006/relationships/ctrlProp" Target="../ctrlProps/ctrlProp194.xml"/><Relationship Id="rId18" Type="http://schemas.openxmlformats.org/officeDocument/2006/relationships/ctrlProp" Target="../ctrlProps/ctrlProp199.xml"/><Relationship Id="rId26" Type="http://schemas.openxmlformats.org/officeDocument/2006/relationships/ctrlProp" Target="../ctrlProps/ctrlProp207.xml"/><Relationship Id="rId3" Type="http://schemas.openxmlformats.org/officeDocument/2006/relationships/vmlDrawing" Target="../drawings/vmlDrawing7.vml"/><Relationship Id="rId21" Type="http://schemas.openxmlformats.org/officeDocument/2006/relationships/ctrlProp" Target="../ctrlProps/ctrlProp202.xml"/><Relationship Id="rId7" Type="http://schemas.openxmlformats.org/officeDocument/2006/relationships/ctrlProp" Target="../ctrlProps/ctrlProp188.xml"/><Relationship Id="rId12" Type="http://schemas.openxmlformats.org/officeDocument/2006/relationships/ctrlProp" Target="../ctrlProps/ctrlProp193.xml"/><Relationship Id="rId17" Type="http://schemas.openxmlformats.org/officeDocument/2006/relationships/ctrlProp" Target="../ctrlProps/ctrlProp198.xml"/><Relationship Id="rId25" Type="http://schemas.openxmlformats.org/officeDocument/2006/relationships/ctrlProp" Target="../ctrlProps/ctrlProp206.xml"/><Relationship Id="rId2" Type="http://schemas.openxmlformats.org/officeDocument/2006/relationships/drawing" Target="../drawings/drawing7.xml"/><Relationship Id="rId16" Type="http://schemas.openxmlformats.org/officeDocument/2006/relationships/ctrlProp" Target="../ctrlProps/ctrlProp197.xml"/><Relationship Id="rId20" Type="http://schemas.openxmlformats.org/officeDocument/2006/relationships/ctrlProp" Target="../ctrlProps/ctrlProp201.xml"/><Relationship Id="rId29" Type="http://schemas.openxmlformats.org/officeDocument/2006/relationships/ctrlProp" Target="../ctrlProps/ctrlProp210.xml"/><Relationship Id="rId1" Type="http://schemas.openxmlformats.org/officeDocument/2006/relationships/printerSettings" Target="../printerSettings/printerSettings7.bin"/><Relationship Id="rId6" Type="http://schemas.openxmlformats.org/officeDocument/2006/relationships/ctrlProp" Target="../ctrlProps/ctrlProp187.xml"/><Relationship Id="rId11" Type="http://schemas.openxmlformats.org/officeDocument/2006/relationships/ctrlProp" Target="../ctrlProps/ctrlProp192.xml"/><Relationship Id="rId24" Type="http://schemas.openxmlformats.org/officeDocument/2006/relationships/ctrlProp" Target="../ctrlProps/ctrlProp205.xml"/><Relationship Id="rId5" Type="http://schemas.openxmlformats.org/officeDocument/2006/relationships/ctrlProp" Target="../ctrlProps/ctrlProp186.xml"/><Relationship Id="rId15" Type="http://schemas.openxmlformats.org/officeDocument/2006/relationships/ctrlProp" Target="../ctrlProps/ctrlProp196.xml"/><Relationship Id="rId23" Type="http://schemas.openxmlformats.org/officeDocument/2006/relationships/ctrlProp" Target="../ctrlProps/ctrlProp204.xml"/><Relationship Id="rId28" Type="http://schemas.openxmlformats.org/officeDocument/2006/relationships/ctrlProp" Target="../ctrlProps/ctrlProp209.xml"/><Relationship Id="rId10" Type="http://schemas.openxmlformats.org/officeDocument/2006/relationships/ctrlProp" Target="../ctrlProps/ctrlProp191.xml"/><Relationship Id="rId19" Type="http://schemas.openxmlformats.org/officeDocument/2006/relationships/ctrlProp" Target="../ctrlProps/ctrlProp200.xml"/><Relationship Id="rId4" Type="http://schemas.openxmlformats.org/officeDocument/2006/relationships/ctrlProp" Target="../ctrlProps/ctrlProp185.xml"/><Relationship Id="rId9" Type="http://schemas.openxmlformats.org/officeDocument/2006/relationships/ctrlProp" Target="../ctrlProps/ctrlProp190.xml"/><Relationship Id="rId14" Type="http://schemas.openxmlformats.org/officeDocument/2006/relationships/ctrlProp" Target="../ctrlProps/ctrlProp195.xml"/><Relationship Id="rId22" Type="http://schemas.openxmlformats.org/officeDocument/2006/relationships/ctrlProp" Target="../ctrlProps/ctrlProp203.xml"/><Relationship Id="rId27" Type="http://schemas.openxmlformats.org/officeDocument/2006/relationships/ctrlProp" Target="../ctrlProps/ctrlProp208.xml"/></Relationships>
</file>

<file path=xl/worksheets/_rels/sheet8.xml.rels><?xml version="1.0" encoding="UTF-8" standalone="yes"?>
<Relationships xmlns="http://schemas.openxmlformats.org/package/2006/relationships"><Relationship Id="rId117" Type="http://schemas.openxmlformats.org/officeDocument/2006/relationships/ctrlProp" Target="../ctrlProps/ctrlProp324.xml"/><Relationship Id="rId299" Type="http://schemas.openxmlformats.org/officeDocument/2006/relationships/ctrlProp" Target="../ctrlProps/ctrlProp506.xml"/><Relationship Id="rId21" Type="http://schemas.openxmlformats.org/officeDocument/2006/relationships/ctrlProp" Target="../ctrlProps/ctrlProp228.xml"/><Relationship Id="rId63" Type="http://schemas.openxmlformats.org/officeDocument/2006/relationships/ctrlProp" Target="../ctrlProps/ctrlProp270.xml"/><Relationship Id="rId159" Type="http://schemas.openxmlformats.org/officeDocument/2006/relationships/ctrlProp" Target="../ctrlProps/ctrlProp366.xml"/><Relationship Id="rId324" Type="http://schemas.openxmlformats.org/officeDocument/2006/relationships/ctrlProp" Target="../ctrlProps/ctrlProp531.xml"/><Relationship Id="rId170" Type="http://schemas.openxmlformats.org/officeDocument/2006/relationships/ctrlProp" Target="../ctrlProps/ctrlProp377.xml"/><Relationship Id="rId226" Type="http://schemas.openxmlformats.org/officeDocument/2006/relationships/ctrlProp" Target="../ctrlProps/ctrlProp433.xml"/><Relationship Id="rId268" Type="http://schemas.openxmlformats.org/officeDocument/2006/relationships/ctrlProp" Target="../ctrlProps/ctrlProp475.xml"/><Relationship Id="rId32" Type="http://schemas.openxmlformats.org/officeDocument/2006/relationships/ctrlProp" Target="../ctrlProps/ctrlProp239.xml"/><Relationship Id="rId74" Type="http://schemas.openxmlformats.org/officeDocument/2006/relationships/ctrlProp" Target="../ctrlProps/ctrlProp281.xml"/><Relationship Id="rId128" Type="http://schemas.openxmlformats.org/officeDocument/2006/relationships/ctrlProp" Target="../ctrlProps/ctrlProp335.xml"/><Relationship Id="rId335" Type="http://schemas.openxmlformats.org/officeDocument/2006/relationships/ctrlProp" Target="../ctrlProps/ctrlProp542.xml"/><Relationship Id="rId5" Type="http://schemas.openxmlformats.org/officeDocument/2006/relationships/ctrlProp" Target="../ctrlProps/ctrlProp212.xml"/><Relationship Id="rId181" Type="http://schemas.openxmlformats.org/officeDocument/2006/relationships/ctrlProp" Target="../ctrlProps/ctrlProp388.xml"/><Relationship Id="rId237" Type="http://schemas.openxmlformats.org/officeDocument/2006/relationships/ctrlProp" Target="../ctrlProps/ctrlProp444.xml"/><Relationship Id="rId279" Type="http://schemas.openxmlformats.org/officeDocument/2006/relationships/ctrlProp" Target="../ctrlProps/ctrlProp486.xml"/><Relationship Id="rId43" Type="http://schemas.openxmlformats.org/officeDocument/2006/relationships/ctrlProp" Target="../ctrlProps/ctrlProp250.xml"/><Relationship Id="rId139" Type="http://schemas.openxmlformats.org/officeDocument/2006/relationships/ctrlProp" Target="../ctrlProps/ctrlProp346.xml"/><Relationship Id="rId290" Type="http://schemas.openxmlformats.org/officeDocument/2006/relationships/ctrlProp" Target="../ctrlProps/ctrlProp497.xml"/><Relationship Id="rId304" Type="http://schemas.openxmlformats.org/officeDocument/2006/relationships/ctrlProp" Target="../ctrlProps/ctrlProp511.xml"/><Relationship Id="rId85" Type="http://schemas.openxmlformats.org/officeDocument/2006/relationships/ctrlProp" Target="../ctrlProps/ctrlProp292.xml"/><Relationship Id="rId150" Type="http://schemas.openxmlformats.org/officeDocument/2006/relationships/ctrlProp" Target="../ctrlProps/ctrlProp357.xml"/><Relationship Id="rId192" Type="http://schemas.openxmlformats.org/officeDocument/2006/relationships/ctrlProp" Target="../ctrlProps/ctrlProp399.xml"/><Relationship Id="rId206" Type="http://schemas.openxmlformats.org/officeDocument/2006/relationships/ctrlProp" Target="../ctrlProps/ctrlProp413.xml"/><Relationship Id="rId248" Type="http://schemas.openxmlformats.org/officeDocument/2006/relationships/ctrlProp" Target="../ctrlProps/ctrlProp455.xml"/><Relationship Id="rId12" Type="http://schemas.openxmlformats.org/officeDocument/2006/relationships/ctrlProp" Target="../ctrlProps/ctrlProp219.xml"/><Relationship Id="rId108" Type="http://schemas.openxmlformats.org/officeDocument/2006/relationships/ctrlProp" Target="../ctrlProps/ctrlProp315.xml"/><Relationship Id="rId315" Type="http://schemas.openxmlformats.org/officeDocument/2006/relationships/ctrlProp" Target="../ctrlProps/ctrlProp522.xml"/><Relationship Id="rId54" Type="http://schemas.openxmlformats.org/officeDocument/2006/relationships/ctrlProp" Target="../ctrlProps/ctrlProp261.xml"/><Relationship Id="rId96" Type="http://schemas.openxmlformats.org/officeDocument/2006/relationships/ctrlProp" Target="../ctrlProps/ctrlProp303.xml"/><Relationship Id="rId161" Type="http://schemas.openxmlformats.org/officeDocument/2006/relationships/ctrlProp" Target="../ctrlProps/ctrlProp368.xml"/><Relationship Id="rId217" Type="http://schemas.openxmlformats.org/officeDocument/2006/relationships/ctrlProp" Target="../ctrlProps/ctrlProp424.xml"/><Relationship Id="rId259" Type="http://schemas.openxmlformats.org/officeDocument/2006/relationships/ctrlProp" Target="../ctrlProps/ctrlProp466.xml"/><Relationship Id="rId23" Type="http://schemas.openxmlformats.org/officeDocument/2006/relationships/ctrlProp" Target="../ctrlProps/ctrlProp230.xml"/><Relationship Id="rId119" Type="http://schemas.openxmlformats.org/officeDocument/2006/relationships/ctrlProp" Target="../ctrlProps/ctrlProp326.xml"/><Relationship Id="rId270" Type="http://schemas.openxmlformats.org/officeDocument/2006/relationships/ctrlProp" Target="../ctrlProps/ctrlProp477.xml"/><Relationship Id="rId326" Type="http://schemas.openxmlformats.org/officeDocument/2006/relationships/ctrlProp" Target="../ctrlProps/ctrlProp533.xml"/><Relationship Id="rId65" Type="http://schemas.openxmlformats.org/officeDocument/2006/relationships/ctrlProp" Target="../ctrlProps/ctrlProp272.xml"/><Relationship Id="rId130" Type="http://schemas.openxmlformats.org/officeDocument/2006/relationships/ctrlProp" Target="../ctrlProps/ctrlProp337.xml"/><Relationship Id="rId172" Type="http://schemas.openxmlformats.org/officeDocument/2006/relationships/ctrlProp" Target="../ctrlProps/ctrlProp379.xml"/><Relationship Id="rId228" Type="http://schemas.openxmlformats.org/officeDocument/2006/relationships/ctrlProp" Target="../ctrlProps/ctrlProp435.xml"/><Relationship Id="rId281" Type="http://schemas.openxmlformats.org/officeDocument/2006/relationships/ctrlProp" Target="../ctrlProps/ctrlProp488.xml"/><Relationship Id="rId337" Type="http://schemas.openxmlformats.org/officeDocument/2006/relationships/ctrlProp" Target="../ctrlProps/ctrlProp544.xml"/><Relationship Id="rId34" Type="http://schemas.openxmlformats.org/officeDocument/2006/relationships/ctrlProp" Target="../ctrlProps/ctrlProp241.xml"/><Relationship Id="rId76" Type="http://schemas.openxmlformats.org/officeDocument/2006/relationships/ctrlProp" Target="../ctrlProps/ctrlProp283.xml"/><Relationship Id="rId141" Type="http://schemas.openxmlformats.org/officeDocument/2006/relationships/ctrlProp" Target="../ctrlProps/ctrlProp348.xml"/><Relationship Id="rId7" Type="http://schemas.openxmlformats.org/officeDocument/2006/relationships/ctrlProp" Target="../ctrlProps/ctrlProp214.xml"/><Relationship Id="rId183" Type="http://schemas.openxmlformats.org/officeDocument/2006/relationships/ctrlProp" Target="../ctrlProps/ctrlProp390.xml"/><Relationship Id="rId239" Type="http://schemas.openxmlformats.org/officeDocument/2006/relationships/ctrlProp" Target="../ctrlProps/ctrlProp446.xml"/><Relationship Id="rId250" Type="http://schemas.openxmlformats.org/officeDocument/2006/relationships/ctrlProp" Target="../ctrlProps/ctrlProp457.xml"/><Relationship Id="rId292" Type="http://schemas.openxmlformats.org/officeDocument/2006/relationships/ctrlProp" Target="../ctrlProps/ctrlProp499.xml"/><Relationship Id="rId306" Type="http://schemas.openxmlformats.org/officeDocument/2006/relationships/ctrlProp" Target="../ctrlProps/ctrlProp513.xml"/><Relationship Id="rId45" Type="http://schemas.openxmlformats.org/officeDocument/2006/relationships/ctrlProp" Target="../ctrlProps/ctrlProp252.xml"/><Relationship Id="rId87" Type="http://schemas.openxmlformats.org/officeDocument/2006/relationships/ctrlProp" Target="../ctrlProps/ctrlProp294.xml"/><Relationship Id="rId110" Type="http://schemas.openxmlformats.org/officeDocument/2006/relationships/ctrlProp" Target="../ctrlProps/ctrlProp317.xml"/><Relationship Id="rId152" Type="http://schemas.openxmlformats.org/officeDocument/2006/relationships/ctrlProp" Target="../ctrlProps/ctrlProp359.xml"/><Relationship Id="rId194" Type="http://schemas.openxmlformats.org/officeDocument/2006/relationships/ctrlProp" Target="../ctrlProps/ctrlProp401.xml"/><Relationship Id="rId208" Type="http://schemas.openxmlformats.org/officeDocument/2006/relationships/ctrlProp" Target="../ctrlProps/ctrlProp415.xml"/><Relationship Id="rId261" Type="http://schemas.openxmlformats.org/officeDocument/2006/relationships/ctrlProp" Target="../ctrlProps/ctrlProp468.xml"/><Relationship Id="rId14" Type="http://schemas.openxmlformats.org/officeDocument/2006/relationships/ctrlProp" Target="../ctrlProps/ctrlProp221.xml"/><Relationship Id="rId35" Type="http://schemas.openxmlformats.org/officeDocument/2006/relationships/ctrlProp" Target="../ctrlProps/ctrlProp242.xml"/><Relationship Id="rId56" Type="http://schemas.openxmlformats.org/officeDocument/2006/relationships/ctrlProp" Target="../ctrlProps/ctrlProp263.xml"/><Relationship Id="rId77" Type="http://schemas.openxmlformats.org/officeDocument/2006/relationships/ctrlProp" Target="../ctrlProps/ctrlProp284.xml"/><Relationship Id="rId100" Type="http://schemas.openxmlformats.org/officeDocument/2006/relationships/ctrlProp" Target="../ctrlProps/ctrlProp307.xml"/><Relationship Id="rId282" Type="http://schemas.openxmlformats.org/officeDocument/2006/relationships/ctrlProp" Target="../ctrlProps/ctrlProp489.xml"/><Relationship Id="rId317" Type="http://schemas.openxmlformats.org/officeDocument/2006/relationships/ctrlProp" Target="../ctrlProps/ctrlProp524.xml"/><Relationship Id="rId338" Type="http://schemas.openxmlformats.org/officeDocument/2006/relationships/ctrlProp" Target="../ctrlProps/ctrlProp545.xml"/><Relationship Id="rId8" Type="http://schemas.openxmlformats.org/officeDocument/2006/relationships/ctrlProp" Target="../ctrlProps/ctrlProp215.xml"/><Relationship Id="rId98" Type="http://schemas.openxmlformats.org/officeDocument/2006/relationships/ctrlProp" Target="../ctrlProps/ctrlProp305.xml"/><Relationship Id="rId121" Type="http://schemas.openxmlformats.org/officeDocument/2006/relationships/ctrlProp" Target="../ctrlProps/ctrlProp328.xml"/><Relationship Id="rId142" Type="http://schemas.openxmlformats.org/officeDocument/2006/relationships/ctrlProp" Target="../ctrlProps/ctrlProp349.xml"/><Relationship Id="rId163" Type="http://schemas.openxmlformats.org/officeDocument/2006/relationships/ctrlProp" Target="../ctrlProps/ctrlProp370.xml"/><Relationship Id="rId184" Type="http://schemas.openxmlformats.org/officeDocument/2006/relationships/ctrlProp" Target="../ctrlProps/ctrlProp391.xml"/><Relationship Id="rId219" Type="http://schemas.openxmlformats.org/officeDocument/2006/relationships/ctrlProp" Target="../ctrlProps/ctrlProp426.xml"/><Relationship Id="rId230" Type="http://schemas.openxmlformats.org/officeDocument/2006/relationships/ctrlProp" Target="../ctrlProps/ctrlProp437.xml"/><Relationship Id="rId251" Type="http://schemas.openxmlformats.org/officeDocument/2006/relationships/ctrlProp" Target="../ctrlProps/ctrlProp458.xml"/><Relationship Id="rId25" Type="http://schemas.openxmlformats.org/officeDocument/2006/relationships/ctrlProp" Target="../ctrlProps/ctrlProp232.xml"/><Relationship Id="rId46" Type="http://schemas.openxmlformats.org/officeDocument/2006/relationships/ctrlProp" Target="../ctrlProps/ctrlProp253.xml"/><Relationship Id="rId67" Type="http://schemas.openxmlformats.org/officeDocument/2006/relationships/ctrlProp" Target="../ctrlProps/ctrlProp274.xml"/><Relationship Id="rId272" Type="http://schemas.openxmlformats.org/officeDocument/2006/relationships/ctrlProp" Target="../ctrlProps/ctrlProp479.xml"/><Relationship Id="rId293" Type="http://schemas.openxmlformats.org/officeDocument/2006/relationships/ctrlProp" Target="../ctrlProps/ctrlProp500.xml"/><Relationship Id="rId307" Type="http://schemas.openxmlformats.org/officeDocument/2006/relationships/ctrlProp" Target="../ctrlProps/ctrlProp514.xml"/><Relationship Id="rId328" Type="http://schemas.openxmlformats.org/officeDocument/2006/relationships/ctrlProp" Target="../ctrlProps/ctrlProp535.xml"/><Relationship Id="rId88" Type="http://schemas.openxmlformats.org/officeDocument/2006/relationships/ctrlProp" Target="../ctrlProps/ctrlProp295.xml"/><Relationship Id="rId111" Type="http://schemas.openxmlformats.org/officeDocument/2006/relationships/ctrlProp" Target="../ctrlProps/ctrlProp318.xml"/><Relationship Id="rId132" Type="http://schemas.openxmlformats.org/officeDocument/2006/relationships/ctrlProp" Target="../ctrlProps/ctrlProp339.xml"/><Relationship Id="rId153" Type="http://schemas.openxmlformats.org/officeDocument/2006/relationships/ctrlProp" Target="../ctrlProps/ctrlProp360.xml"/><Relationship Id="rId174" Type="http://schemas.openxmlformats.org/officeDocument/2006/relationships/ctrlProp" Target="../ctrlProps/ctrlProp381.xml"/><Relationship Id="rId195" Type="http://schemas.openxmlformats.org/officeDocument/2006/relationships/ctrlProp" Target="../ctrlProps/ctrlProp402.xml"/><Relationship Id="rId209" Type="http://schemas.openxmlformats.org/officeDocument/2006/relationships/ctrlProp" Target="../ctrlProps/ctrlProp416.xml"/><Relationship Id="rId220" Type="http://schemas.openxmlformats.org/officeDocument/2006/relationships/ctrlProp" Target="../ctrlProps/ctrlProp427.xml"/><Relationship Id="rId241" Type="http://schemas.openxmlformats.org/officeDocument/2006/relationships/ctrlProp" Target="../ctrlProps/ctrlProp448.xml"/><Relationship Id="rId15" Type="http://schemas.openxmlformats.org/officeDocument/2006/relationships/ctrlProp" Target="../ctrlProps/ctrlProp222.xml"/><Relationship Id="rId36" Type="http://schemas.openxmlformats.org/officeDocument/2006/relationships/ctrlProp" Target="../ctrlProps/ctrlProp243.xml"/><Relationship Id="rId57" Type="http://schemas.openxmlformats.org/officeDocument/2006/relationships/ctrlProp" Target="../ctrlProps/ctrlProp264.xml"/><Relationship Id="rId262" Type="http://schemas.openxmlformats.org/officeDocument/2006/relationships/ctrlProp" Target="../ctrlProps/ctrlProp469.xml"/><Relationship Id="rId283" Type="http://schemas.openxmlformats.org/officeDocument/2006/relationships/ctrlProp" Target="../ctrlProps/ctrlProp490.xml"/><Relationship Id="rId318" Type="http://schemas.openxmlformats.org/officeDocument/2006/relationships/ctrlProp" Target="../ctrlProps/ctrlProp525.xml"/><Relationship Id="rId339" Type="http://schemas.openxmlformats.org/officeDocument/2006/relationships/ctrlProp" Target="../ctrlProps/ctrlProp546.xml"/><Relationship Id="rId78" Type="http://schemas.openxmlformats.org/officeDocument/2006/relationships/ctrlProp" Target="../ctrlProps/ctrlProp285.xml"/><Relationship Id="rId99" Type="http://schemas.openxmlformats.org/officeDocument/2006/relationships/ctrlProp" Target="../ctrlProps/ctrlProp306.xml"/><Relationship Id="rId101" Type="http://schemas.openxmlformats.org/officeDocument/2006/relationships/ctrlProp" Target="../ctrlProps/ctrlProp308.xml"/><Relationship Id="rId122" Type="http://schemas.openxmlformats.org/officeDocument/2006/relationships/ctrlProp" Target="../ctrlProps/ctrlProp329.xml"/><Relationship Id="rId143" Type="http://schemas.openxmlformats.org/officeDocument/2006/relationships/ctrlProp" Target="../ctrlProps/ctrlProp350.xml"/><Relationship Id="rId164" Type="http://schemas.openxmlformats.org/officeDocument/2006/relationships/ctrlProp" Target="../ctrlProps/ctrlProp371.xml"/><Relationship Id="rId185" Type="http://schemas.openxmlformats.org/officeDocument/2006/relationships/ctrlProp" Target="../ctrlProps/ctrlProp392.xml"/><Relationship Id="rId9" Type="http://schemas.openxmlformats.org/officeDocument/2006/relationships/ctrlProp" Target="../ctrlProps/ctrlProp216.xml"/><Relationship Id="rId210" Type="http://schemas.openxmlformats.org/officeDocument/2006/relationships/ctrlProp" Target="../ctrlProps/ctrlProp417.xml"/><Relationship Id="rId26" Type="http://schemas.openxmlformats.org/officeDocument/2006/relationships/ctrlProp" Target="../ctrlProps/ctrlProp233.xml"/><Relationship Id="rId231" Type="http://schemas.openxmlformats.org/officeDocument/2006/relationships/ctrlProp" Target="../ctrlProps/ctrlProp438.xml"/><Relationship Id="rId252" Type="http://schemas.openxmlformats.org/officeDocument/2006/relationships/ctrlProp" Target="../ctrlProps/ctrlProp459.xml"/><Relationship Id="rId273" Type="http://schemas.openxmlformats.org/officeDocument/2006/relationships/ctrlProp" Target="../ctrlProps/ctrlProp480.xml"/><Relationship Id="rId294" Type="http://schemas.openxmlformats.org/officeDocument/2006/relationships/ctrlProp" Target="../ctrlProps/ctrlProp501.xml"/><Relationship Id="rId308" Type="http://schemas.openxmlformats.org/officeDocument/2006/relationships/ctrlProp" Target="../ctrlProps/ctrlProp515.xml"/><Relationship Id="rId329" Type="http://schemas.openxmlformats.org/officeDocument/2006/relationships/ctrlProp" Target="../ctrlProps/ctrlProp536.xml"/><Relationship Id="rId47" Type="http://schemas.openxmlformats.org/officeDocument/2006/relationships/ctrlProp" Target="../ctrlProps/ctrlProp254.xml"/><Relationship Id="rId68" Type="http://schemas.openxmlformats.org/officeDocument/2006/relationships/ctrlProp" Target="../ctrlProps/ctrlProp275.xml"/><Relationship Id="rId89" Type="http://schemas.openxmlformats.org/officeDocument/2006/relationships/ctrlProp" Target="../ctrlProps/ctrlProp296.xml"/><Relationship Id="rId112" Type="http://schemas.openxmlformats.org/officeDocument/2006/relationships/ctrlProp" Target="../ctrlProps/ctrlProp319.xml"/><Relationship Id="rId133" Type="http://schemas.openxmlformats.org/officeDocument/2006/relationships/ctrlProp" Target="../ctrlProps/ctrlProp340.xml"/><Relationship Id="rId154" Type="http://schemas.openxmlformats.org/officeDocument/2006/relationships/ctrlProp" Target="../ctrlProps/ctrlProp361.xml"/><Relationship Id="rId175" Type="http://schemas.openxmlformats.org/officeDocument/2006/relationships/ctrlProp" Target="../ctrlProps/ctrlProp382.xml"/><Relationship Id="rId340" Type="http://schemas.openxmlformats.org/officeDocument/2006/relationships/ctrlProp" Target="../ctrlProps/ctrlProp547.xml"/><Relationship Id="rId196" Type="http://schemas.openxmlformats.org/officeDocument/2006/relationships/ctrlProp" Target="../ctrlProps/ctrlProp403.xml"/><Relationship Id="rId200" Type="http://schemas.openxmlformats.org/officeDocument/2006/relationships/ctrlProp" Target="../ctrlProps/ctrlProp407.xml"/><Relationship Id="rId16" Type="http://schemas.openxmlformats.org/officeDocument/2006/relationships/ctrlProp" Target="../ctrlProps/ctrlProp223.xml"/><Relationship Id="rId221" Type="http://schemas.openxmlformats.org/officeDocument/2006/relationships/ctrlProp" Target="../ctrlProps/ctrlProp428.xml"/><Relationship Id="rId242" Type="http://schemas.openxmlformats.org/officeDocument/2006/relationships/ctrlProp" Target="../ctrlProps/ctrlProp449.xml"/><Relationship Id="rId263" Type="http://schemas.openxmlformats.org/officeDocument/2006/relationships/ctrlProp" Target="../ctrlProps/ctrlProp470.xml"/><Relationship Id="rId284" Type="http://schemas.openxmlformats.org/officeDocument/2006/relationships/ctrlProp" Target="../ctrlProps/ctrlProp491.xml"/><Relationship Id="rId319" Type="http://schemas.openxmlformats.org/officeDocument/2006/relationships/ctrlProp" Target="../ctrlProps/ctrlProp526.xml"/><Relationship Id="rId37" Type="http://schemas.openxmlformats.org/officeDocument/2006/relationships/ctrlProp" Target="../ctrlProps/ctrlProp244.xml"/><Relationship Id="rId58" Type="http://schemas.openxmlformats.org/officeDocument/2006/relationships/ctrlProp" Target="../ctrlProps/ctrlProp265.xml"/><Relationship Id="rId79" Type="http://schemas.openxmlformats.org/officeDocument/2006/relationships/ctrlProp" Target="../ctrlProps/ctrlProp286.xml"/><Relationship Id="rId102" Type="http://schemas.openxmlformats.org/officeDocument/2006/relationships/ctrlProp" Target="../ctrlProps/ctrlProp309.xml"/><Relationship Id="rId123" Type="http://schemas.openxmlformats.org/officeDocument/2006/relationships/ctrlProp" Target="../ctrlProps/ctrlProp330.xml"/><Relationship Id="rId144" Type="http://schemas.openxmlformats.org/officeDocument/2006/relationships/ctrlProp" Target="../ctrlProps/ctrlProp351.xml"/><Relationship Id="rId330" Type="http://schemas.openxmlformats.org/officeDocument/2006/relationships/ctrlProp" Target="../ctrlProps/ctrlProp537.xml"/><Relationship Id="rId90" Type="http://schemas.openxmlformats.org/officeDocument/2006/relationships/ctrlProp" Target="../ctrlProps/ctrlProp297.xml"/><Relationship Id="rId165" Type="http://schemas.openxmlformats.org/officeDocument/2006/relationships/ctrlProp" Target="../ctrlProps/ctrlProp372.xml"/><Relationship Id="rId186" Type="http://schemas.openxmlformats.org/officeDocument/2006/relationships/ctrlProp" Target="../ctrlProps/ctrlProp393.xml"/><Relationship Id="rId211" Type="http://schemas.openxmlformats.org/officeDocument/2006/relationships/ctrlProp" Target="../ctrlProps/ctrlProp418.xml"/><Relationship Id="rId232" Type="http://schemas.openxmlformats.org/officeDocument/2006/relationships/ctrlProp" Target="../ctrlProps/ctrlProp439.xml"/><Relationship Id="rId253" Type="http://schemas.openxmlformats.org/officeDocument/2006/relationships/ctrlProp" Target="../ctrlProps/ctrlProp460.xml"/><Relationship Id="rId274" Type="http://schemas.openxmlformats.org/officeDocument/2006/relationships/ctrlProp" Target="../ctrlProps/ctrlProp481.xml"/><Relationship Id="rId295" Type="http://schemas.openxmlformats.org/officeDocument/2006/relationships/ctrlProp" Target="../ctrlProps/ctrlProp502.xml"/><Relationship Id="rId309" Type="http://schemas.openxmlformats.org/officeDocument/2006/relationships/ctrlProp" Target="../ctrlProps/ctrlProp516.xml"/><Relationship Id="rId27" Type="http://schemas.openxmlformats.org/officeDocument/2006/relationships/ctrlProp" Target="../ctrlProps/ctrlProp234.xml"/><Relationship Id="rId48" Type="http://schemas.openxmlformats.org/officeDocument/2006/relationships/ctrlProp" Target="../ctrlProps/ctrlProp255.xml"/><Relationship Id="rId69" Type="http://schemas.openxmlformats.org/officeDocument/2006/relationships/ctrlProp" Target="../ctrlProps/ctrlProp276.xml"/><Relationship Id="rId113" Type="http://schemas.openxmlformats.org/officeDocument/2006/relationships/ctrlProp" Target="../ctrlProps/ctrlProp320.xml"/><Relationship Id="rId134" Type="http://schemas.openxmlformats.org/officeDocument/2006/relationships/ctrlProp" Target="../ctrlProps/ctrlProp341.xml"/><Relationship Id="rId320" Type="http://schemas.openxmlformats.org/officeDocument/2006/relationships/ctrlProp" Target="../ctrlProps/ctrlProp527.xml"/><Relationship Id="rId80" Type="http://schemas.openxmlformats.org/officeDocument/2006/relationships/ctrlProp" Target="../ctrlProps/ctrlProp287.xml"/><Relationship Id="rId155" Type="http://schemas.openxmlformats.org/officeDocument/2006/relationships/ctrlProp" Target="../ctrlProps/ctrlProp362.xml"/><Relationship Id="rId176" Type="http://schemas.openxmlformats.org/officeDocument/2006/relationships/ctrlProp" Target="../ctrlProps/ctrlProp383.xml"/><Relationship Id="rId197" Type="http://schemas.openxmlformats.org/officeDocument/2006/relationships/ctrlProp" Target="../ctrlProps/ctrlProp404.xml"/><Relationship Id="rId341" Type="http://schemas.openxmlformats.org/officeDocument/2006/relationships/ctrlProp" Target="../ctrlProps/ctrlProp548.xml"/><Relationship Id="rId201" Type="http://schemas.openxmlformats.org/officeDocument/2006/relationships/ctrlProp" Target="../ctrlProps/ctrlProp408.xml"/><Relationship Id="rId222" Type="http://schemas.openxmlformats.org/officeDocument/2006/relationships/ctrlProp" Target="../ctrlProps/ctrlProp429.xml"/><Relationship Id="rId243" Type="http://schemas.openxmlformats.org/officeDocument/2006/relationships/ctrlProp" Target="../ctrlProps/ctrlProp450.xml"/><Relationship Id="rId264" Type="http://schemas.openxmlformats.org/officeDocument/2006/relationships/ctrlProp" Target="../ctrlProps/ctrlProp471.xml"/><Relationship Id="rId285" Type="http://schemas.openxmlformats.org/officeDocument/2006/relationships/ctrlProp" Target="../ctrlProps/ctrlProp492.xml"/><Relationship Id="rId17" Type="http://schemas.openxmlformats.org/officeDocument/2006/relationships/ctrlProp" Target="../ctrlProps/ctrlProp224.xml"/><Relationship Id="rId38" Type="http://schemas.openxmlformats.org/officeDocument/2006/relationships/ctrlProp" Target="../ctrlProps/ctrlProp245.xml"/><Relationship Id="rId59" Type="http://schemas.openxmlformats.org/officeDocument/2006/relationships/ctrlProp" Target="../ctrlProps/ctrlProp266.xml"/><Relationship Id="rId103" Type="http://schemas.openxmlformats.org/officeDocument/2006/relationships/ctrlProp" Target="../ctrlProps/ctrlProp310.xml"/><Relationship Id="rId124" Type="http://schemas.openxmlformats.org/officeDocument/2006/relationships/ctrlProp" Target="../ctrlProps/ctrlProp331.xml"/><Relationship Id="rId310" Type="http://schemas.openxmlformats.org/officeDocument/2006/relationships/ctrlProp" Target="../ctrlProps/ctrlProp517.xml"/><Relationship Id="rId70" Type="http://schemas.openxmlformats.org/officeDocument/2006/relationships/ctrlProp" Target="../ctrlProps/ctrlProp277.xml"/><Relationship Id="rId91" Type="http://schemas.openxmlformats.org/officeDocument/2006/relationships/ctrlProp" Target="../ctrlProps/ctrlProp298.xml"/><Relationship Id="rId145" Type="http://schemas.openxmlformats.org/officeDocument/2006/relationships/ctrlProp" Target="../ctrlProps/ctrlProp352.xml"/><Relationship Id="rId166" Type="http://schemas.openxmlformats.org/officeDocument/2006/relationships/ctrlProp" Target="../ctrlProps/ctrlProp373.xml"/><Relationship Id="rId187" Type="http://schemas.openxmlformats.org/officeDocument/2006/relationships/ctrlProp" Target="../ctrlProps/ctrlProp394.xml"/><Relationship Id="rId331" Type="http://schemas.openxmlformats.org/officeDocument/2006/relationships/ctrlProp" Target="../ctrlProps/ctrlProp538.xml"/><Relationship Id="rId1" Type="http://schemas.openxmlformats.org/officeDocument/2006/relationships/printerSettings" Target="../printerSettings/printerSettings8.bin"/><Relationship Id="rId212" Type="http://schemas.openxmlformats.org/officeDocument/2006/relationships/ctrlProp" Target="../ctrlProps/ctrlProp419.xml"/><Relationship Id="rId233" Type="http://schemas.openxmlformats.org/officeDocument/2006/relationships/ctrlProp" Target="../ctrlProps/ctrlProp440.xml"/><Relationship Id="rId254" Type="http://schemas.openxmlformats.org/officeDocument/2006/relationships/ctrlProp" Target="../ctrlProps/ctrlProp461.xml"/><Relationship Id="rId28" Type="http://schemas.openxmlformats.org/officeDocument/2006/relationships/ctrlProp" Target="../ctrlProps/ctrlProp235.xml"/><Relationship Id="rId49" Type="http://schemas.openxmlformats.org/officeDocument/2006/relationships/ctrlProp" Target="../ctrlProps/ctrlProp256.xml"/><Relationship Id="rId114" Type="http://schemas.openxmlformats.org/officeDocument/2006/relationships/ctrlProp" Target="../ctrlProps/ctrlProp321.xml"/><Relationship Id="rId275" Type="http://schemas.openxmlformats.org/officeDocument/2006/relationships/ctrlProp" Target="../ctrlProps/ctrlProp482.xml"/><Relationship Id="rId296" Type="http://schemas.openxmlformats.org/officeDocument/2006/relationships/ctrlProp" Target="../ctrlProps/ctrlProp503.xml"/><Relationship Id="rId300" Type="http://schemas.openxmlformats.org/officeDocument/2006/relationships/ctrlProp" Target="../ctrlProps/ctrlProp507.xml"/><Relationship Id="rId60" Type="http://schemas.openxmlformats.org/officeDocument/2006/relationships/ctrlProp" Target="../ctrlProps/ctrlProp267.xml"/><Relationship Id="rId81" Type="http://schemas.openxmlformats.org/officeDocument/2006/relationships/ctrlProp" Target="../ctrlProps/ctrlProp288.xml"/><Relationship Id="rId135" Type="http://schemas.openxmlformats.org/officeDocument/2006/relationships/ctrlProp" Target="../ctrlProps/ctrlProp342.xml"/><Relationship Id="rId156" Type="http://schemas.openxmlformats.org/officeDocument/2006/relationships/ctrlProp" Target="../ctrlProps/ctrlProp363.xml"/><Relationship Id="rId177" Type="http://schemas.openxmlformats.org/officeDocument/2006/relationships/ctrlProp" Target="../ctrlProps/ctrlProp384.xml"/><Relationship Id="rId198" Type="http://schemas.openxmlformats.org/officeDocument/2006/relationships/ctrlProp" Target="../ctrlProps/ctrlProp405.xml"/><Relationship Id="rId321" Type="http://schemas.openxmlformats.org/officeDocument/2006/relationships/ctrlProp" Target="../ctrlProps/ctrlProp528.xml"/><Relationship Id="rId342" Type="http://schemas.openxmlformats.org/officeDocument/2006/relationships/ctrlProp" Target="../ctrlProps/ctrlProp549.xml"/><Relationship Id="rId202" Type="http://schemas.openxmlformats.org/officeDocument/2006/relationships/ctrlProp" Target="../ctrlProps/ctrlProp409.xml"/><Relationship Id="rId223" Type="http://schemas.openxmlformats.org/officeDocument/2006/relationships/ctrlProp" Target="../ctrlProps/ctrlProp430.xml"/><Relationship Id="rId244" Type="http://schemas.openxmlformats.org/officeDocument/2006/relationships/ctrlProp" Target="../ctrlProps/ctrlProp451.xml"/><Relationship Id="rId18" Type="http://schemas.openxmlformats.org/officeDocument/2006/relationships/ctrlProp" Target="../ctrlProps/ctrlProp225.xml"/><Relationship Id="rId39" Type="http://schemas.openxmlformats.org/officeDocument/2006/relationships/ctrlProp" Target="../ctrlProps/ctrlProp246.xml"/><Relationship Id="rId265" Type="http://schemas.openxmlformats.org/officeDocument/2006/relationships/ctrlProp" Target="../ctrlProps/ctrlProp472.xml"/><Relationship Id="rId286" Type="http://schemas.openxmlformats.org/officeDocument/2006/relationships/ctrlProp" Target="../ctrlProps/ctrlProp493.xml"/><Relationship Id="rId50" Type="http://schemas.openxmlformats.org/officeDocument/2006/relationships/ctrlProp" Target="../ctrlProps/ctrlProp257.xml"/><Relationship Id="rId104" Type="http://schemas.openxmlformats.org/officeDocument/2006/relationships/ctrlProp" Target="../ctrlProps/ctrlProp311.xml"/><Relationship Id="rId125" Type="http://schemas.openxmlformats.org/officeDocument/2006/relationships/ctrlProp" Target="../ctrlProps/ctrlProp332.xml"/><Relationship Id="rId146" Type="http://schemas.openxmlformats.org/officeDocument/2006/relationships/ctrlProp" Target="../ctrlProps/ctrlProp353.xml"/><Relationship Id="rId167" Type="http://schemas.openxmlformats.org/officeDocument/2006/relationships/ctrlProp" Target="../ctrlProps/ctrlProp374.xml"/><Relationship Id="rId188" Type="http://schemas.openxmlformats.org/officeDocument/2006/relationships/ctrlProp" Target="../ctrlProps/ctrlProp395.xml"/><Relationship Id="rId311" Type="http://schemas.openxmlformats.org/officeDocument/2006/relationships/ctrlProp" Target="../ctrlProps/ctrlProp518.xml"/><Relationship Id="rId332" Type="http://schemas.openxmlformats.org/officeDocument/2006/relationships/ctrlProp" Target="../ctrlProps/ctrlProp539.xml"/><Relationship Id="rId71" Type="http://schemas.openxmlformats.org/officeDocument/2006/relationships/ctrlProp" Target="../ctrlProps/ctrlProp278.xml"/><Relationship Id="rId92" Type="http://schemas.openxmlformats.org/officeDocument/2006/relationships/ctrlProp" Target="../ctrlProps/ctrlProp299.xml"/><Relationship Id="rId213" Type="http://schemas.openxmlformats.org/officeDocument/2006/relationships/ctrlProp" Target="../ctrlProps/ctrlProp420.xml"/><Relationship Id="rId234" Type="http://schemas.openxmlformats.org/officeDocument/2006/relationships/ctrlProp" Target="../ctrlProps/ctrlProp441.xml"/><Relationship Id="rId2" Type="http://schemas.openxmlformats.org/officeDocument/2006/relationships/drawing" Target="../drawings/drawing8.xml"/><Relationship Id="rId29" Type="http://schemas.openxmlformats.org/officeDocument/2006/relationships/ctrlProp" Target="../ctrlProps/ctrlProp236.xml"/><Relationship Id="rId255" Type="http://schemas.openxmlformats.org/officeDocument/2006/relationships/ctrlProp" Target="../ctrlProps/ctrlProp462.xml"/><Relationship Id="rId276" Type="http://schemas.openxmlformats.org/officeDocument/2006/relationships/ctrlProp" Target="../ctrlProps/ctrlProp483.xml"/><Relationship Id="rId297" Type="http://schemas.openxmlformats.org/officeDocument/2006/relationships/ctrlProp" Target="../ctrlProps/ctrlProp504.xml"/><Relationship Id="rId40" Type="http://schemas.openxmlformats.org/officeDocument/2006/relationships/ctrlProp" Target="../ctrlProps/ctrlProp247.xml"/><Relationship Id="rId115" Type="http://schemas.openxmlformats.org/officeDocument/2006/relationships/ctrlProp" Target="../ctrlProps/ctrlProp322.xml"/><Relationship Id="rId136" Type="http://schemas.openxmlformats.org/officeDocument/2006/relationships/ctrlProp" Target="../ctrlProps/ctrlProp343.xml"/><Relationship Id="rId157" Type="http://schemas.openxmlformats.org/officeDocument/2006/relationships/ctrlProp" Target="../ctrlProps/ctrlProp364.xml"/><Relationship Id="rId178" Type="http://schemas.openxmlformats.org/officeDocument/2006/relationships/ctrlProp" Target="../ctrlProps/ctrlProp385.xml"/><Relationship Id="rId301" Type="http://schemas.openxmlformats.org/officeDocument/2006/relationships/ctrlProp" Target="../ctrlProps/ctrlProp508.xml"/><Relationship Id="rId322" Type="http://schemas.openxmlformats.org/officeDocument/2006/relationships/ctrlProp" Target="../ctrlProps/ctrlProp529.xml"/><Relationship Id="rId343" Type="http://schemas.openxmlformats.org/officeDocument/2006/relationships/ctrlProp" Target="../ctrlProps/ctrlProp550.xml"/><Relationship Id="rId61" Type="http://schemas.openxmlformats.org/officeDocument/2006/relationships/ctrlProp" Target="../ctrlProps/ctrlProp268.xml"/><Relationship Id="rId82" Type="http://schemas.openxmlformats.org/officeDocument/2006/relationships/ctrlProp" Target="../ctrlProps/ctrlProp289.xml"/><Relationship Id="rId199" Type="http://schemas.openxmlformats.org/officeDocument/2006/relationships/ctrlProp" Target="../ctrlProps/ctrlProp406.xml"/><Relationship Id="rId203" Type="http://schemas.openxmlformats.org/officeDocument/2006/relationships/ctrlProp" Target="../ctrlProps/ctrlProp410.xml"/><Relationship Id="rId19" Type="http://schemas.openxmlformats.org/officeDocument/2006/relationships/ctrlProp" Target="../ctrlProps/ctrlProp226.xml"/><Relationship Id="rId224" Type="http://schemas.openxmlformats.org/officeDocument/2006/relationships/ctrlProp" Target="../ctrlProps/ctrlProp431.xml"/><Relationship Id="rId245" Type="http://schemas.openxmlformats.org/officeDocument/2006/relationships/ctrlProp" Target="../ctrlProps/ctrlProp452.xml"/><Relationship Id="rId266" Type="http://schemas.openxmlformats.org/officeDocument/2006/relationships/ctrlProp" Target="../ctrlProps/ctrlProp473.xml"/><Relationship Id="rId287" Type="http://schemas.openxmlformats.org/officeDocument/2006/relationships/ctrlProp" Target="../ctrlProps/ctrlProp494.xml"/><Relationship Id="rId30" Type="http://schemas.openxmlformats.org/officeDocument/2006/relationships/ctrlProp" Target="../ctrlProps/ctrlProp237.xml"/><Relationship Id="rId105" Type="http://schemas.openxmlformats.org/officeDocument/2006/relationships/ctrlProp" Target="../ctrlProps/ctrlProp312.xml"/><Relationship Id="rId126" Type="http://schemas.openxmlformats.org/officeDocument/2006/relationships/ctrlProp" Target="../ctrlProps/ctrlProp333.xml"/><Relationship Id="rId147" Type="http://schemas.openxmlformats.org/officeDocument/2006/relationships/ctrlProp" Target="../ctrlProps/ctrlProp354.xml"/><Relationship Id="rId168" Type="http://schemas.openxmlformats.org/officeDocument/2006/relationships/ctrlProp" Target="../ctrlProps/ctrlProp375.xml"/><Relationship Id="rId312" Type="http://schemas.openxmlformats.org/officeDocument/2006/relationships/ctrlProp" Target="../ctrlProps/ctrlProp519.xml"/><Relationship Id="rId333" Type="http://schemas.openxmlformats.org/officeDocument/2006/relationships/ctrlProp" Target="../ctrlProps/ctrlProp540.xml"/><Relationship Id="rId51" Type="http://schemas.openxmlformats.org/officeDocument/2006/relationships/ctrlProp" Target="../ctrlProps/ctrlProp258.xml"/><Relationship Id="rId72" Type="http://schemas.openxmlformats.org/officeDocument/2006/relationships/ctrlProp" Target="../ctrlProps/ctrlProp279.xml"/><Relationship Id="rId93" Type="http://schemas.openxmlformats.org/officeDocument/2006/relationships/ctrlProp" Target="../ctrlProps/ctrlProp300.xml"/><Relationship Id="rId189" Type="http://schemas.openxmlformats.org/officeDocument/2006/relationships/ctrlProp" Target="../ctrlProps/ctrlProp396.xml"/><Relationship Id="rId3" Type="http://schemas.openxmlformats.org/officeDocument/2006/relationships/vmlDrawing" Target="../drawings/vmlDrawing8.vml"/><Relationship Id="rId214" Type="http://schemas.openxmlformats.org/officeDocument/2006/relationships/ctrlProp" Target="../ctrlProps/ctrlProp421.xml"/><Relationship Id="rId235" Type="http://schemas.openxmlformats.org/officeDocument/2006/relationships/ctrlProp" Target="../ctrlProps/ctrlProp442.xml"/><Relationship Id="rId256" Type="http://schemas.openxmlformats.org/officeDocument/2006/relationships/ctrlProp" Target="../ctrlProps/ctrlProp463.xml"/><Relationship Id="rId277" Type="http://schemas.openxmlformats.org/officeDocument/2006/relationships/ctrlProp" Target="../ctrlProps/ctrlProp484.xml"/><Relationship Id="rId298" Type="http://schemas.openxmlformats.org/officeDocument/2006/relationships/ctrlProp" Target="../ctrlProps/ctrlProp505.xml"/><Relationship Id="rId116" Type="http://schemas.openxmlformats.org/officeDocument/2006/relationships/ctrlProp" Target="../ctrlProps/ctrlProp323.xml"/><Relationship Id="rId137" Type="http://schemas.openxmlformats.org/officeDocument/2006/relationships/ctrlProp" Target="../ctrlProps/ctrlProp344.xml"/><Relationship Id="rId158" Type="http://schemas.openxmlformats.org/officeDocument/2006/relationships/ctrlProp" Target="../ctrlProps/ctrlProp365.xml"/><Relationship Id="rId302" Type="http://schemas.openxmlformats.org/officeDocument/2006/relationships/ctrlProp" Target="../ctrlProps/ctrlProp509.xml"/><Relationship Id="rId323" Type="http://schemas.openxmlformats.org/officeDocument/2006/relationships/ctrlProp" Target="../ctrlProps/ctrlProp530.xml"/><Relationship Id="rId344" Type="http://schemas.openxmlformats.org/officeDocument/2006/relationships/ctrlProp" Target="../ctrlProps/ctrlProp551.xml"/><Relationship Id="rId20" Type="http://schemas.openxmlformats.org/officeDocument/2006/relationships/ctrlProp" Target="../ctrlProps/ctrlProp227.xml"/><Relationship Id="rId41" Type="http://schemas.openxmlformats.org/officeDocument/2006/relationships/ctrlProp" Target="../ctrlProps/ctrlProp248.xml"/><Relationship Id="rId62" Type="http://schemas.openxmlformats.org/officeDocument/2006/relationships/ctrlProp" Target="../ctrlProps/ctrlProp269.xml"/><Relationship Id="rId83" Type="http://schemas.openxmlformats.org/officeDocument/2006/relationships/ctrlProp" Target="../ctrlProps/ctrlProp290.xml"/><Relationship Id="rId179" Type="http://schemas.openxmlformats.org/officeDocument/2006/relationships/ctrlProp" Target="../ctrlProps/ctrlProp386.xml"/><Relationship Id="rId190" Type="http://schemas.openxmlformats.org/officeDocument/2006/relationships/ctrlProp" Target="../ctrlProps/ctrlProp397.xml"/><Relationship Id="rId204" Type="http://schemas.openxmlformats.org/officeDocument/2006/relationships/ctrlProp" Target="../ctrlProps/ctrlProp411.xml"/><Relationship Id="rId225" Type="http://schemas.openxmlformats.org/officeDocument/2006/relationships/ctrlProp" Target="../ctrlProps/ctrlProp432.xml"/><Relationship Id="rId246" Type="http://schemas.openxmlformats.org/officeDocument/2006/relationships/ctrlProp" Target="../ctrlProps/ctrlProp453.xml"/><Relationship Id="rId267" Type="http://schemas.openxmlformats.org/officeDocument/2006/relationships/ctrlProp" Target="../ctrlProps/ctrlProp474.xml"/><Relationship Id="rId288" Type="http://schemas.openxmlformats.org/officeDocument/2006/relationships/ctrlProp" Target="../ctrlProps/ctrlProp495.xml"/><Relationship Id="rId106" Type="http://schemas.openxmlformats.org/officeDocument/2006/relationships/ctrlProp" Target="../ctrlProps/ctrlProp313.xml"/><Relationship Id="rId127" Type="http://schemas.openxmlformats.org/officeDocument/2006/relationships/ctrlProp" Target="../ctrlProps/ctrlProp334.xml"/><Relationship Id="rId313" Type="http://schemas.openxmlformats.org/officeDocument/2006/relationships/ctrlProp" Target="../ctrlProps/ctrlProp520.xml"/><Relationship Id="rId10" Type="http://schemas.openxmlformats.org/officeDocument/2006/relationships/ctrlProp" Target="../ctrlProps/ctrlProp217.xml"/><Relationship Id="rId31" Type="http://schemas.openxmlformats.org/officeDocument/2006/relationships/ctrlProp" Target="../ctrlProps/ctrlProp238.xml"/><Relationship Id="rId52" Type="http://schemas.openxmlformats.org/officeDocument/2006/relationships/ctrlProp" Target="../ctrlProps/ctrlProp259.xml"/><Relationship Id="rId73" Type="http://schemas.openxmlformats.org/officeDocument/2006/relationships/ctrlProp" Target="../ctrlProps/ctrlProp280.xml"/><Relationship Id="rId94" Type="http://schemas.openxmlformats.org/officeDocument/2006/relationships/ctrlProp" Target="../ctrlProps/ctrlProp301.xml"/><Relationship Id="rId148" Type="http://schemas.openxmlformats.org/officeDocument/2006/relationships/ctrlProp" Target="../ctrlProps/ctrlProp355.xml"/><Relationship Id="rId169" Type="http://schemas.openxmlformats.org/officeDocument/2006/relationships/ctrlProp" Target="../ctrlProps/ctrlProp376.xml"/><Relationship Id="rId334" Type="http://schemas.openxmlformats.org/officeDocument/2006/relationships/ctrlProp" Target="../ctrlProps/ctrlProp541.xml"/><Relationship Id="rId4" Type="http://schemas.openxmlformats.org/officeDocument/2006/relationships/ctrlProp" Target="../ctrlProps/ctrlProp211.xml"/><Relationship Id="rId180" Type="http://schemas.openxmlformats.org/officeDocument/2006/relationships/ctrlProp" Target="../ctrlProps/ctrlProp387.xml"/><Relationship Id="rId215" Type="http://schemas.openxmlformats.org/officeDocument/2006/relationships/ctrlProp" Target="../ctrlProps/ctrlProp422.xml"/><Relationship Id="rId236" Type="http://schemas.openxmlformats.org/officeDocument/2006/relationships/ctrlProp" Target="../ctrlProps/ctrlProp443.xml"/><Relationship Id="rId257" Type="http://schemas.openxmlformats.org/officeDocument/2006/relationships/ctrlProp" Target="../ctrlProps/ctrlProp464.xml"/><Relationship Id="rId278" Type="http://schemas.openxmlformats.org/officeDocument/2006/relationships/ctrlProp" Target="../ctrlProps/ctrlProp485.xml"/><Relationship Id="rId303" Type="http://schemas.openxmlformats.org/officeDocument/2006/relationships/ctrlProp" Target="../ctrlProps/ctrlProp510.xml"/><Relationship Id="rId42" Type="http://schemas.openxmlformats.org/officeDocument/2006/relationships/ctrlProp" Target="../ctrlProps/ctrlProp249.xml"/><Relationship Id="rId84" Type="http://schemas.openxmlformats.org/officeDocument/2006/relationships/ctrlProp" Target="../ctrlProps/ctrlProp291.xml"/><Relationship Id="rId138" Type="http://schemas.openxmlformats.org/officeDocument/2006/relationships/ctrlProp" Target="../ctrlProps/ctrlProp345.xml"/><Relationship Id="rId345" Type="http://schemas.openxmlformats.org/officeDocument/2006/relationships/ctrlProp" Target="../ctrlProps/ctrlProp552.xml"/><Relationship Id="rId191" Type="http://schemas.openxmlformats.org/officeDocument/2006/relationships/ctrlProp" Target="../ctrlProps/ctrlProp398.xml"/><Relationship Id="rId205" Type="http://schemas.openxmlformats.org/officeDocument/2006/relationships/ctrlProp" Target="../ctrlProps/ctrlProp412.xml"/><Relationship Id="rId247" Type="http://schemas.openxmlformats.org/officeDocument/2006/relationships/ctrlProp" Target="../ctrlProps/ctrlProp454.xml"/><Relationship Id="rId107" Type="http://schemas.openxmlformats.org/officeDocument/2006/relationships/ctrlProp" Target="../ctrlProps/ctrlProp314.xml"/><Relationship Id="rId289" Type="http://schemas.openxmlformats.org/officeDocument/2006/relationships/ctrlProp" Target="../ctrlProps/ctrlProp496.xml"/><Relationship Id="rId11" Type="http://schemas.openxmlformats.org/officeDocument/2006/relationships/ctrlProp" Target="../ctrlProps/ctrlProp218.xml"/><Relationship Id="rId53" Type="http://schemas.openxmlformats.org/officeDocument/2006/relationships/ctrlProp" Target="../ctrlProps/ctrlProp260.xml"/><Relationship Id="rId149" Type="http://schemas.openxmlformats.org/officeDocument/2006/relationships/ctrlProp" Target="../ctrlProps/ctrlProp356.xml"/><Relationship Id="rId314" Type="http://schemas.openxmlformats.org/officeDocument/2006/relationships/ctrlProp" Target="../ctrlProps/ctrlProp521.xml"/><Relationship Id="rId95" Type="http://schemas.openxmlformats.org/officeDocument/2006/relationships/ctrlProp" Target="../ctrlProps/ctrlProp302.xml"/><Relationship Id="rId160" Type="http://schemas.openxmlformats.org/officeDocument/2006/relationships/ctrlProp" Target="../ctrlProps/ctrlProp367.xml"/><Relationship Id="rId216" Type="http://schemas.openxmlformats.org/officeDocument/2006/relationships/ctrlProp" Target="../ctrlProps/ctrlProp423.xml"/><Relationship Id="rId258" Type="http://schemas.openxmlformats.org/officeDocument/2006/relationships/ctrlProp" Target="../ctrlProps/ctrlProp465.xml"/><Relationship Id="rId22" Type="http://schemas.openxmlformats.org/officeDocument/2006/relationships/ctrlProp" Target="../ctrlProps/ctrlProp229.xml"/><Relationship Id="rId64" Type="http://schemas.openxmlformats.org/officeDocument/2006/relationships/ctrlProp" Target="../ctrlProps/ctrlProp271.xml"/><Relationship Id="rId118" Type="http://schemas.openxmlformats.org/officeDocument/2006/relationships/ctrlProp" Target="../ctrlProps/ctrlProp325.xml"/><Relationship Id="rId325" Type="http://schemas.openxmlformats.org/officeDocument/2006/relationships/ctrlProp" Target="../ctrlProps/ctrlProp532.xml"/><Relationship Id="rId171" Type="http://schemas.openxmlformats.org/officeDocument/2006/relationships/ctrlProp" Target="../ctrlProps/ctrlProp378.xml"/><Relationship Id="rId227" Type="http://schemas.openxmlformats.org/officeDocument/2006/relationships/ctrlProp" Target="../ctrlProps/ctrlProp434.xml"/><Relationship Id="rId269" Type="http://schemas.openxmlformats.org/officeDocument/2006/relationships/ctrlProp" Target="../ctrlProps/ctrlProp476.xml"/><Relationship Id="rId33" Type="http://schemas.openxmlformats.org/officeDocument/2006/relationships/ctrlProp" Target="../ctrlProps/ctrlProp240.xml"/><Relationship Id="rId129" Type="http://schemas.openxmlformats.org/officeDocument/2006/relationships/ctrlProp" Target="../ctrlProps/ctrlProp336.xml"/><Relationship Id="rId280" Type="http://schemas.openxmlformats.org/officeDocument/2006/relationships/ctrlProp" Target="../ctrlProps/ctrlProp487.xml"/><Relationship Id="rId336" Type="http://schemas.openxmlformats.org/officeDocument/2006/relationships/ctrlProp" Target="../ctrlProps/ctrlProp543.xml"/><Relationship Id="rId75" Type="http://schemas.openxmlformats.org/officeDocument/2006/relationships/ctrlProp" Target="../ctrlProps/ctrlProp282.xml"/><Relationship Id="rId140" Type="http://schemas.openxmlformats.org/officeDocument/2006/relationships/ctrlProp" Target="../ctrlProps/ctrlProp347.xml"/><Relationship Id="rId182" Type="http://schemas.openxmlformats.org/officeDocument/2006/relationships/ctrlProp" Target="../ctrlProps/ctrlProp389.xml"/><Relationship Id="rId6" Type="http://schemas.openxmlformats.org/officeDocument/2006/relationships/ctrlProp" Target="../ctrlProps/ctrlProp213.xml"/><Relationship Id="rId238" Type="http://schemas.openxmlformats.org/officeDocument/2006/relationships/ctrlProp" Target="../ctrlProps/ctrlProp445.xml"/><Relationship Id="rId291" Type="http://schemas.openxmlformats.org/officeDocument/2006/relationships/ctrlProp" Target="../ctrlProps/ctrlProp498.xml"/><Relationship Id="rId305" Type="http://schemas.openxmlformats.org/officeDocument/2006/relationships/ctrlProp" Target="../ctrlProps/ctrlProp512.xml"/><Relationship Id="rId44" Type="http://schemas.openxmlformats.org/officeDocument/2006/relationships/ctrlProp" Target="../ctrlProps/ctrlProp251.xml"/><Relationship Id="rId86" Type="http://schemas.openxmlformats.org/officeDocument/2006/relationships/ctrlProp" Target="../ctrlProps/ctrlProp293.xml"/><Relationship Id="rId151" Type="http://schemas.openxmlformats.org/officeDocument/2006/relationships/ctrlProp" Target="../ctrlProps/ctrlProp358.xml"/><Relationship Id="rId193" Type="http://schemas.openxmlformats.org/officeDocument/2006/relationships/ctrlProp" Target="../ctrlProps/ctrlProp400.xml"/><Relationship Id="rId207" Type="http://schemas.openxmlformats.org/officeDocument/2006/relationships/ctrlProp" Target="../ctrlProps/ctrlProp414.xml"/><Relationship Id="rId249" Type="http://schemas.openxmlformats.org/officeDocument/2006/relationships/ctrlProp" Target="../ctrlProps/ctrlProp456.xml"/><Relationship Id="rId13" Type="http://schemas.openxmlformats.org/officeDocument/2006/relationships/ctrlProp" Target="../ctrlProps/ctrlProp220.xml"/><Relationship Id="rId109" Type="http://schemas.openxmlformats.org/officeDocument/2006/relationships/ctrlProp" Target="../ctrlProps/ctrlProp316.xml"/><Relationship Id="rId260" Type="http://schemas.openxmlformats.org/officeDocument/2006/relationships/ctrlProp" Target="../ctrlProps/ctrlProp467.xml"/><Relationship Id="rId316" Type="http://schemas.openxmlformats.org/officeDocument/2006/relationships/ctrlProp" Target="../ctrlProps/ctrlProp523.xml"/><Relationship Id="rId55" Type="http://schemas.openxmlformats.org/officeDocument/2006/relationships/ctrlProp" Target="../ctrlProps/ctrlProp262.xml"/><Relationship Id="rId97" Type="http://schemas.openxmlformats.org/officeDocument/2006/relationships/ctrlProp" Target="../ctrlProps/ctrlProp304.xml"/><Relationship Id="rId120" Type="http://schemas.openxmlformats.org/officeDocument/2006/relationships/ctrlProp" Target="../ctrlProps/ctrlProp327.xml"/><Relationship Id="rId162" Type="http://schemas.openxmlformats.org/officeDocument/2006/relationships/ctrlProp" Target="../ctrlProps/ctrlProp369.xml"/><Relationship Id="rId218" Type="http://schemas.openxmlformats.org/officeDocument/2006/relationships/ctrlProp" Target="../ctrlProps/ctrlProp425.xml"/><Relationship Id="rId271" Type="http://schemas.openxmlformats.org/officeDocument/2006/relationships/ctrlProp" Target="../ctrlProps/ctrlProp478.xml"/><Relationship Id="rId24" Type="http://schemas.openxmlformats.org/officeDocument/2006/relationships/ctrlProp" Target="../ctrlProps/ctrlProp231.xml"/><Relationship Id="rId66" Type="http://schemas.openxmlformats.org/officeDocument/2006/relationships/ctrlProp" Target="../ctrlProps/ctrlProp273.xml"/><Relationship Id="rId131" Type="http://schemas.openxmlformats.org/officeDocument/2006/relationships/ctrlProp" Target="../ctrlProps/ctrlProp338.xml"/><Relationship Id="rId327" Type="http://schemas.openxmlformats.org/officeDocument/2006/relationships/ctrlProp" Target="../ctrlProps/ctrlProp534.xml"/><Relationship Id="rId173" Type="http://schemas.openxmlformats.org/officeDocument/2006/relationships/ctrlProp" Target="../ctrlProps/ctrlProp380.xml"/><Relationship Id="rId229" Type="http://schemas.openxmlformats.org/officeDocument/2006/relationships/ctrlProp" Target="../ctrlProps/ctrlProp436.xml"/><Relationship Id="rId240" Type="http://schemas.openxmlformats.org/officeDocument/2006/relationships/ctrlProp" Target="../ctrlProps/ctrlProp447.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575.xml"/><Relationship Id="rId21" Type="http://schemas.openxmlformats.org/officeDocument/2006/relationships/ctrlProp" Target="../ctrlProps/ctrlProp570.xml"/><Relationship Id="rId42" Type="http://schemas.openxmlformats.org/officeDocument/2006/relationships/ctrlProp" Target="../ctrlProps/ctrlProp591.xml"/><Relationship Id="rId47" Type="http://schemas.openxmlformats.org/officeDocument/2006/relationships/ctrlProp" Target="../ctrlProps/ctrlProp596.xml"/><Relationship Id="rId63" Type="http://schemas.openxmlformats.org/officeDocument/2006/relationships/ctrlProp" Target="../ctrlProps/ctrlProp612.xml"/><Relationship Id="rId68" Type="http://schemas.openxmlformats.org/officeDocument/2006/relationships/ctrlProp" Target="../ctrlProps/ctrlProp617.xml"/><Relationship Id="rId2" Type="http://schemas.openxmlformats.org/officeDocument/2006/relationships/drawing" Target="../drawings/drawing9.xml"/><Relationship Id="rId16" Type="http://schemas.openxmlformats.org/officeDocument/2006/relationships/ctrlProp" Target="../ctrlProps/ctrlProp565.xml"/><Relationship Id="rId29" Type="http://schemas.openxmlformats.org/officeDocument/2006/relationships/ctrlProp" Target="../ctrlProps/ctrlProp578.xml"/><Relationship Id="rId11" Type="http://schemas.openxmlformats.org/officeDocument/2006/relationships/ctrlProp" Target="../ctrlProps/ctrlProp560.xml"/><Relationship Id="rId24" Type="http://schemas.openxmlformats.org/officeDocument/2006/relationships/ctrlProp" Target="../ctrlProps/ctrlProp573.xml"/><Relationship Id="rId32" Type="http://schemas.openxmlformats.org/officeDocument/2006/relationships/ctrlProp" Target="../ctrlProps/ctrlProp581.xml"/><Relationship Id="rId37" Type="http://schemas.openxmlformats.org/officeDocument/2006/relationships/ctrlProp" Target="../ctrlProps/ctrlProp586.xml"/><Relationship Id="rId40" Type="http://schemas.openxmlformats.org/officeDocument/2006/relationships/ctrlProp" Target="../ctrlProps/ctrlProp589.xml"/><Relationship Id="rId45" Type="http://schemas.openxmlformats.org/officeDocument/2006/relationships/ctrlProp" Target="../ctrlProps/ctrlProp594.xml"/><Relationship Id="rId53" Type="http://schemas.openxmlformats.org/officeDocument/2006/relationships/ctrlProp" Target="../ctrlProps/ctrlProp602.xml"/><Relationship Id="rId58" Type="http://schemas.openxmlformats.org/officeDocument/2006/relationships/ctrlProp" Target="../ctrlProps/ctrlProp607.xml"/><Relationship Id="rId66" Type="http://schemas.openxmlformats.org/officeDocument/2006/relationships/ctrlProp" Target="../ctrlProps/ctrlProp615.xml"/><Relationship Id="rId74" Type="http://schemas.openxmlformats.org/officeDocument/2006/relationships/ctrlProp" Target="../ctrlProps/ctrlProp623.xml"/><Relationship Id="rId5" Type="http://schemas.openxmlformats.org/officeDocument/2006/relationships/ctrlProp" Target="../ctrlProps/ctrlProp554.xml"/><Relationship Id="rId61" Type="http://schemas.openxmlformats.org/officeDocument/2006/relationships/ctrlProp" Target="../ctrlProps/ctrlProp610.xml"/><Relationship Id="rId19" Type="http://schemas.openxmlformats.org/officeDocument/2006/relationships/ctrlProp" Target="../ctrlProps/ctrlProp568.xml"/><Relationship Id="rId14" Type="http://schemas.openxmlformats.org/officeDocument/2006/relationships/ctrlProp" Target="../ctrlProps/ctrlProp563.xml"/><Relationship Id="rId22" Type="http://schemas.openxmlformats.org/officeDocument/2006/relationships/ctrlProp" Target="../ctrlProps/ctrlProp571.xml"/><Relationship Id="rId27" Type="http://schemas.openxmlformats.org/officeDocument/2006/relationships/ctrlProp" Target="../ctrlProps/ctrlProp576.xml"/><Relationship Id="rId30" Type="http://schemas.openxmlformats.org/officeDocument/2006/relationships/ctrlProp" Target="../ctrlProps/ctrlProp579.xml"/><Relationship Id="rId35" Type="http://schemas.openxmlformats.org/officeDocument/2006/relationships/ctrlProp" Target="../ctrlProps/ctrlProp584.xml"/><Relationship Id="rId43" Type="http://schemas.openxmlformats.org/officeDocument/2006/relationships/ctrlProp" Target="../ctrlProps/ctrlProp592.xml"/><Relationship Id="rId48" Type="http://schemas.openxmlformats.org/officeDocument/2006/relationships/ctrlProp" Target="../ctrlProps/ctrlProp597.xml"/><Relationship Id="rId56" Type="http://schemas.openxmlformats.org/officeDocument/2006/relationships/ctrlProp" Target="../ctrlProps/ctrlProp605.xml"/><Relationship Id="rId64" Type="http://schemas.openxmlformats.org/officeDocument/2006/relationships/ctrlProp" Target="../ctrlProps/ctrlProp613.xml"/><Relationship Id="rId69" Type="http://schemas.openxmlformats.org/officeDocument/2006/relationships/ctrlProp" Target="../ctrlProps/ctrlProp618.xml"/><Relationship Id="rId8" Type="http://schemas.openxmlformats.org/officeDocument/2006/relationships/ctrlProp" Target="../ctrlProps/ctrlProp557.xml"/><Relationship Id="rId51" Type="http://schemas.openxmlformats.org/officeDocument/2006/relationships/ctrlProp" Target="../ctrlProps/ctrlProp600.xml"/><Relationship Id="rId72" Type="http://schemas.openxmlformats.org/officeDocument/2006/relationships/ctrlProp" Target="../ctrlProps/ctrlProp621.xml"/><Relationship Id="rId3" Type="http://schemas.openxmlformats.org/officeDocument/2006/relationships/vmlDrawing" Target="../drawings/vmlDrawing9.vml"/><Relationship Id="rId12" Type="http://schemas.openxmlformats.org/officeDocument/2006/relationships/ctrlProp" Target="../ctrlProps/ctrlProp561.xml"/><Relationship Id="rId17" Type="http://schemas.openxmlformats.org/officeDocument/2006/relationships/ctrlProp" Target="../ctrlProps/ctrlProp566.xml"/><Relationship Id="rId25" Type="http://schemas.openxmlformats.org/officeDocument/2006/relationships/ctrlProp" Target="../ctrlProps/ctrlProp574.xml"/><Relationship Id="rId33" Type="http://schemas.openxmlformats.org/officeDocument/2006/relationships/ctrlProp" Target="../ctrlProps/ctrlProp582.xml"/><Relationship Id="rId38" Type="http://schemas.openxmlformats.org/officeDocument/2006/relationships/ctrlProp" Target="../ctrlProps/ctrlProp587.xml"/><Relationship Id="rId46" Type="http://schemas.openxmlformats.org/officeDocument/2006/relationships/ctrlProp" Target="../ctrlProps/ctrlProp595.xml"/><Relationship Id="rId59" Type="http://schemas.openxmlformats.org/officeDocument/2006/relationships/ctrlProp" Target="../ctrlProps/ctrlProp608.xml"/><Relationship Id="rId67" Type="http://schemas.openxmlformats.org/officeDocument/2006/relationships/ctrlProp" Target="../ctrlProps/ctrlProp616.xml"/><Relationship Id="rId20" Type="http://schemas.openxmlformats.org/officeDocument/2006/relationships/ctrlProp" Target="../ctrlProps/ctrlProp569.xml"/><Relationship Id="rId41" Type="http://schemas.openxmlformats.org/officeDocument/2006/relationships/ctrlProp" Target="../ctrlProps/ctrlProp590.xml"/><Relationship Id="rId54" Type="http://schemas.openxmlformats.org/officeDocument/2006/relationships/ctrlProp" Target="../ctrlProps/ctrlProp603.xml"/><Relationship Id="rId62" Type="http://schemas.openxmlformats.org/officeDocument/2006/relationships/ctrlProp" Target="../ctrlProps/ctrlProp611.xml"/><Relationship Id="rId70" Type="http://schemas.openxmlformats.org/officeDocument/2006/relationships/ctrlProp" Target="../ctrlProps/ctrlProp619.xml"/><Relationship Id="rId1" Type="http://schemas.openxmlformats.org/officeDocument/2006/relationships/printerSettings" Target="../printerSettings/printerSettings9.bin"/><Relationship Id="rId6" Type="http://schemas.openxmlformats.org/officeDocument/2006/relationships/ctrlProp" Target="../ctrlProps/ctrlProp555.xml"/><Relationship Id="rId15" Type="http://schemas.openxmlformats.org/officeDocument/2006/relationships/ctrlProp" Target="../ctrlProps/ctrlProp564.xml"/><Relationship Id="rId23" Type="http://schemas.openxmlformats.org/officeDocument/2006/relationships/ctrlProp" Target="../ctrlProps/ctrlProp572.xml"/><Relationship Id="rId28" Type="http://schemas.openxmlformats.org/officeDocument/2006/relationships/ctrlProp" Target="../ctrlProps/ctrlProp577.xml"/><Relationship Id="rId36" Type="http://schemas.openxmlformats.org/officeDocument/2006/relationships/ctrlProp" Target="../ctrlProps/ctrlProp585.xml"/><Relationship Id="rId49" Type="http://schemas.openxmlformats.org/officeDocument/2006/relationships/ctrlProp" Target="../ctrlProps/ctrlProp598.xml"/><Relationship Id="rId57" Type="http://schemas.openxmlformats.org/officeDocument/2006/relationships/ctrlProp" Target="../ctrlProps/ctrlProp606.xml"/><Relationship Id="rId10" Type="http://schemas.openxmlformats.org/officeDocument/2006/relationships/ctrlProp" Target="../ctrlProps/ctrlProp559.xml"/><Relationship Id="rId31" Type="http://schemas.openxmlformats.org/officeDocument/2006/relationships/ctrlProp" Target="../ctrlProps/ctrlProp580.xml"/><Relationship Id="rId44" Type="http://schemas.openxmlformats.org/officeDocument/2006/relationships/ctrlProp" Target="../ctrlProps/ctrlProp593.xml"/><Relationship Id="rId52" Type="http://schemas.openxmlformats.org/officeDocument/2006/relationships/ctrlProp" Target="../ctrlProps/ctrlProp601.xml"/><Relationship Id="rId60" Type="http://schemas.openxmlformats.org/officeDocument/2006/relationships/ctrlProp" Target="../ctrlProps/ctrlProp609.xml"/><Relationship Id="rId65" Type="http://schemas.openxmlformats.org/officeDocument/2006/relationships/ctrlProp" Target="../ctrlProps/ctrlProp614.xml"/><Relationship Id="rId73" Type="http://schemas.openxmlformats.org/officeDocument/2006/relationships/ctrlProp" Target="../ctrlProps/ctrlProp622.xml"/><Relationship Id="rId4" Type="http://schemas.openxmlformats.org/officeDocument/2006/relationships/ctrlProp" Target="../ctrlProps/ctrlProp553.xml"/><Relationship Id="rId9" Type="http://schemas.openxmlformats.org/officeDocument/2006/relationships/ctrlProp" Target="../ctrlProps/ctrlProp558.xml"/><Relationship Id="rId13" Type="http://schemas.openxmlformats.org/officeDocument/2006/relationships/ctrlProp" Target="../ctrlProps/ctrlProp562.xml"/><Relationship Id="rId18" Type="http://schemas.openxmlformats.org/officeDocument/2006/relationships/ctrlProp" Target="../ctrlProps/ctrlProp567.xml"/><Relationship Id="rId39" Type="http://schemas.openxmlformats.org/officeDocument/2006/relationships/ctrlProp" Target="../ctrlProps/ctrlProp588.xml"/><Relationship Id="rId34" Type="http://schemas.openxmlformats.org/officeDocument/2006/relationships/ctrlProp" Target="../ctrlProps/ctrlProp583.xml"/><Relationship Id="rId50" Type="http://schemas.openxmlformats.org/officeDocument/2006/relationships/ctrlProp" Target="../ctrlProps/ctrlProp599.xml"/><Relationship Id="rId55" Type="http://schemas.openxmlformats.org/officeDocument/2006/relationships/ctrlProp" Target="../ctrlProps/ctrlProp604.xml"/><Relationship Id="rId7" Type="http://schemas.openxmlformats.org/officeDocument/2006/relationships/ctrlProp" Target="../ctrlProps/ctrlProp556.xml"/><Relationship Id="rId71" Type="http://schemas.openxmlformats.org/officeDocument/2006/relationships/ctrlProp" Target="../ctrlProps/ctrlProp6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theme="0" tint="-4.9989318521683403E-2"/>
    <pageSetUpPr fitToPage="1"/>
  </sheetPr>
  <dimension ref="A1:O68"/>
  <sheetViews>
    <sheetView showGridLines="0" showRuler="0" zoomScale="110" zoomScaleNormal="110" zoomScaleSheetLayoutView="110" workbookViewId="0">
      <selection activeCell="E8" sqref="E8:G8"/>
    </sheetView>
  </sheetViews>
  <sheetFormatPr baseColWidth="10" defaultColWidth="0" defaultRowHeight="16.8" zeroHeight="1"/>
  <cols>
    <col min="1" max="1" width="5.6640625" style="468" customWidth="1"/>
    <col min="2" max="2" width="5.6640625" style="1" customWidth="1"/>
    <col min="3" max="3" width="3.33203125" style="1" customWidth="1"/>
    <col min="4" max="4" width="5.6640625" style="1" customWidth="1"/>
    <col min="5" max="5" width="48" style="1" customWidth="1"/>
    <col min="6" max="6" width="19" style="1" customWidth="1"/>
    <col min="7" max="7" width="22.33203125" style="1" customWidth="1"/>
    <col min="8" max="8" width="2.6640625" style="1" customWidth="1"/>
    <col min="9" max="9" width="16" style="10" hidden="1" customWidth="1"/>
    <col min="10" max="16384" width="11.33203125" style="1" hidden="1"/>
  </cols>
  <sheetData>
    <row r="1" spans="1:15"/>
    <row r="2" spans="1:15" ht="16.5" customHeight="1">
      <c r="B2" s="1515" t="s">
        <v>492</v>
      </c>
      <c r="C2" s="1515"/>
      <c r="D2" s="1515"/>
      <c r="E2" s="1516"/>
      <c r="F2" s="352" t="s">
        <v>493</v>
      </c>
      <c r="G2" s="474" t="s">
        <v>321</v>
      </c>
      <c r="H2" s="1518" t="s">
        <v>321</v>
      </c>
      <c r="I2" s="31" t="s">
        <v>59</v>
      </c>
      <c r="K2" s="240"/>
      <c r="L2" s="207" t="s">
        <v>169</v>
      </c>
      <c r="O2" s="190"/>
    </row>
    <row r="3" spans="1:15" ht="16.5" customHeight="1">
      <c r="B3" s="1529" t="s">
        <v>469</v>
      </c>
      <c r="C3" s="1529"/>
      <c r="D3" s="1529"/>
      <c r="E3" s="1530"/>
      <c r="F3" s="383" t="s">
        <v>1109</v>
      </c>
      <c r="G3" s="1861" t="s">
        <v>1110</v>
      </c>
      <c r="H3" s="1518"/>
      <c r="I3" s="9"/>
      <c r="K3" s="154"/>
      <c r="L3" s="1" t="str">
        <f ca="1">MID(CELL("dateiname",A2),FIND("]",CELL("dateiname",A2))+1,255)</f>
        <v>Projektgrundlagen</v>
      </c>
      <c r="O3" s="190"/>
    </row>
    <row r="4" spans="1:15" ht="7.5" customHeight="1">
      <c r="B4" s="390"/>
      <c r="C4" s="390"/>
      <c r="D4" s="390"/>
      <c r="E4" s="390"/>
      <c r="F4" s="369"/>
      <c r="G4" s="1862"/>
      <c r="H4" s="1518"/>
      <c r="I4" s="9"/>
      <c r="K4" s="154"/>
    </row>
    <row r="5" spans="1:15">
      <c r="A5" s="1071" t="str">
        <f>IF(OR(E5="",G5=""),"è","")</f>
        <v/>
      </c>
      <c r="B5" s="1520" t="s">
        <v>319</v>
      </c>
      <c r="C5" s="1521"/>
      <c r="D5" s="1521"/>
      <c r="E5" s="1863" t="s">
        <v>1101</v>
      </c>
      <c r="F5" s="378" t="s">
        <v>1048</v>
      </c>
      <c r="G5" s="1864" t="s">
        <v>1108</v>
      </c>
      <c r="H5" s="1518"/>
      <c r="I5" s="9"/>
    </row>
    <row r="6" spans="1:15">
      <c r="A6" s="1071" t="str">
        <f>IF(E6="","è","")</f>
        <v/>
      </c>
      <c r="B6" s="1522" t="s">
        <v>318</v>
      </c>
      <c r="C6" s="1523"/>
      <c r="D6" s="1523"/>
      <c r="E6" s="1865" t="s">
        <v>1111</v>
      </c>
      <c r="F6" s="1865"/>
      <c r="G6" s="1866"/>
      <c r="H6" s="1518"/>
      <c r="K6" s="154"/>
    </row>
    <row r="7" spans="1:15">
      <c r="B7" s="1524"/>
      <c r="C7" s="1525"/>
      <c r="D7" s="1525"/>
      <c r="E7" s="1867"/>
      <c r="F7" s="1867"/>
      <c r="G7" s="1868"/>
      <c r="H7" s="1518"/>
    </row>
    <row r="8" spans="1:15">
      <c r="B8" s="1513" t="s">
        <v>121</v>
      </c>
      <c r="C8" s="1514"/>
      <c r="D8" s="1514"/>
      <c r="E8" s="1511"/>
      <c r="F8" s="1511"/>
      <c r="G8" s="1512"/>
      <c r="H8" s="1518"/>
    </row>
    <row r="9" spans="1:15">
      <c r="G9" s="337"/>
    </row>
    <row r="10" spans="1:15" s="21" customFormat="1" ht="26.25" customHeight="1">
      <c r="A10" s="470"/>
      <c r="B10" s="480"/>
      <c r="C10" s="492" t="s">
        <v>320</v>
      </c>
      <c r="D10" s="493"/>
      <c r="E10" s="493"/>
      <c r="F10" s="494"/>
      <c r="G10" s="481"/>
      <c r="I10" s="32"/>
    </row>
    <row r="11" spans="1:15" ht="7.5" customHeight="1">
      <c r="B11" s="377"/>
      <c r="C11" s="377"/>
      <c r="D11" s="372"/>
      <c r="E11" s="372"/>
      <c r="F11" s="372"/>
      <c r="G11" s="372"/>
      <c r="H11" s="370"/>
      <c r="I11" s="370"/>
    </row>
    <row r="12" spans="1:15">
      <c r="A12" s="1072"/>
      <c r="B12" s="46">
        <v>1</v>
      </c>
      <c r="C12" s="1509" t="s">
        <v>139</v>
      </c>
      <c r="D12" s="1510"/>
      <c r="E12" s="1510"/>
      <c r="F12" s="7"/>
      <c r="G12" s="25"/>
    </row>
    <row r="13" spans="1:15">
      <c r="A13" s="1071" t="str">
        <f>IF(COUNTIF($I$13:$I$14,TRUE)&lt;&gt;1,"è","")</f>
        <v/>
      </c>
      <c r="B13" s="298" t="s">
        <v>165</v>
      </c>
      <c r="C13" s="1869"/>
      <c r="D13" s="1526" t="s">
        <v>495</v>
      </c>
      <c r="E13" s="1527"/>
      <c r="F13" s="291"/>
      <c r="G13" s="300"/>
      <c r="I13" s="10" t="b">
        <v>0</v>
      </c>
      <c r="J13" s="1066"/>
    </row>
    <row r="14" spans="1:15">
      <c r="A14" s="1071" t="str">
        <f>IF(COUNTIF($I$13:$I$14,TRUE)&lt;&gt;1,"è","")</f>
        <v/>
      </c>
      <c r="B14" s="297" t="s">
        <v>166</v>
      </c>
      <c r="C14" s="1869"/>
      <c r="D14" s="1507" t="s">
        <v>142</v>
      </c>
      <c r="E14" s="1508"/>
      <c r="F14" s="8"/>
      <c r="G14" s="26"/>
      <c r="I14" s="10" t="b">
        <v>1</v>
      </c>
    </row>
    <row r="15" spans="1:15">
      <c r="A15" s="1073"/>
      <c r="B15" s="46">
        <v>2</v>
      </c>
      <c r="C15" s="1509" t="s">
        <v>140</v>
      </c>
      <c r="D15" s="1510"/>
      <c r="E15" s="1510"/>
      <c r="F15" s="7"/>
      <c r="G15" s="25"/>
    </row>
    <row r="16" spans="1:15">
      <c r="A16" s="1071" t="str">
        <f>IF(AND($I$13=FALSE,$I$14,COUNTIF($I$16:$I$17,TRUE)&lt;&gt;1),"è","")</f>
        <v/>
      </c>
      <c r="B16" s="299" t="s">
        <v>167</v>
      </c>
      <c r="C16" s="1869"/>
      <c r="D16" s="1528" t="s">
        <v>314</v>
      </c>
      <c r="E16" s="1527"/>
      <c r="F16" s="291"/>
      <c r="G16" s="300"/>
      <c r="I16" s="10" t="b">
        <v>1</v>
      </c>
    </row>
    <row r="17" spans="1:15">
      <c r="A17" s="1071" t="str">
        <f>IF(AND($I$13=FALSE,$I$14,COUNTIF($I$16:$I$17,TRUE)&lt;&gt;1),"è","")</f>
        <v/>
      </c>
      <c r="B17" s="297" t="s">
        <v>168</v>
      </c>
      <c r="C17" s="1869"/>
      <c r="D17" s="1507" t="s">
        <v>141</v>
      </c>
      <c r="E17" s="1508"/>
      <c r="F17" s="8"/>
      <c r="G17" s="26"/>
      <c r="I17" s="10" t="b">
        <v>0</v>
      </c>
    </row>
    <row r="18" spans="1:15">
      <c r="A18" s="1073"/>
      <c r="B18" s="46">
        <v>3</v>
      </c>
      <c r="C18" s="1509" t="s">
        <v>496</v>
      </c>
      <c r="D18" s="1510"/>
      <c r="E18" s="1510"/>
      <c r="F18" s="7"/>
      <c r="G18" s="25"/>
      <c r="L18" s="1083" t="s">
        <v>497</v>
      </c>
      <c r="M18" s="7"/>
      <c r="N18" s="7"/>
      <c r="O18" s="25"/>
    </row>
    <row r="19" spans="1:15">
      <c r="A19" s="1071" t="str">
        <f>IF(AND($I$13=FALSE,$I$14,COUNTIF($I$19:$I$20,TRUE)&lt;&gt;1),"è","")</f>
        <v/>
      </c>
      <c r="B19" s="299" t="s">
        <v>64</v>
      </c>
      <c r="C19" s="1869"/>
      <c r="D19" s="1528" t="s">
        <v>785</v>
      </c>
      <c r="E19" s="1527"/>
      <c r="F19" s="1093" t="s">
        <v>1011</v>
      </c>
      <c r="G19" s="300"/>
      <c r="I19" s="10" t="b">
        <v>1</v>
      </c>
      <c r="L19" s="251" t="b">
        <f>IF(COUNTIF(I19:I20,TRUE)=1,TRUE,FALSE)</f>
        <v>1</v>
      </c>
      <c r="O19" s="22"/>
    </row>
    <row r="20" spans="1:15">
      <c r="A20" s="1071" t="str">
        <f>IF(AND($I$13=FALSE,$I$14,COUNTIF($I$19:$I$20,TRUE)&lt;&gt;1),"è","")</f>
        <v/>
      </c>
      <c r="B20" s="297" t="s">
        <v>339</v>
      </c>
      <c r="C20" s="1869"/>
      <c r="D20" s="1507" t="s">
        <v>788</v>
      </c>
      <c r="E20" s="1508"/>
      <c r="F20" s="1094" t="s">
        <v>1012</v>
      </c>
      <c r="G20" s="26"/>
      <c r="I20" s="10" t="b">
        <v>0</v>
      </c>
      <c r="L20" s="112" t="str">
        <f>IF(AND(I19,L19),D19,IF(AND(I20,L19),D20,B2))</f>
        <v xml:space="preserve">Objektplanung Gebäude </v>
      </c>
      <c r="M20" s="8"/>
      <c r="N20" s="8"/>
      <c r="O20" s="26"/>
    </row>
    <row r="21" spans="1:15">
      <c r="B21" s="14"/>
      <c r="D21" s="14"/>
      <c r="E21" s="14"/>
    </row>
    <row r="22" spans="1:15" ht="26.25" customHeight="1">
      <c r="B22" s="480"/>
      <c r="C22" s="1519" t="s">
        <v>350</v>
      </c>
      <c r="D22" s="1519"/>
      <c r="E22" s="1519"/>
      <c r="F22" s="1519"/>
      <c r="G22" s="1519"/>
      <c r="I22" s="1870" t="s">
        <v>256</v>
      </c>
      <c r="J22" s="7"/>
      <c r="K22" s="25"/>
    </row>
    <row r="23" spans="1:15" ht="7.5" customHeight="1">
      <c r="B23" s="377"/>
      <c r="C23" s="377"/>
      <c r="D23" s="372"/>
      <c r="E23" s="372"/>
      <c r="F23" s="372"/>
      <c r="G23" s="372"/>
      <c r="H23" s="370"/>
      <c r="I23" s="1871"/>
      <c r="K23" s="22"/>
    </row>
    <row r="24" spans="1:15">
      <c r="B24" s="302"/>
      <c r="C24" s="375" t="s">
        <v>170</v>
      </c>
      <c r="D24" s="303" t="s">
        <v>370</v>
      </c>
      <c r="E24" s="303"/>
      <c r="F24" s="376" t="s">
        <v>322</v>
      </c>
      <c r="G24" s="304"/>
      <c r="H24" s="11"/>
      <c r="I24" s="11" t="b">
        <f>AND(I13,I14=FALSE)</f>
        <v>0</v>
      </c>
      <c r="J24" s="194" t="s">
        <v>498</v>
      </c>
      <c r="K24" s="22"/>
    </row>
    <row r="25" spans="1:15">
      <c r="B25" s="305"/>
      <c r="C25" s="306" t="s">
        <v>171</v>
      </c>
      <c r="D25" s="1872" t="s">
        <v>173</v>
      </c>
      <c r="E25" s="1873"/>
      <c r="F25" s="1061" t="str">
        <f ca="1">'A anrechb Kosten'!L3</f>
        <v>A anrechb Kosten</v>
      </c>
      <c r="G25" s="1062"/>
      <c r="H25" s="11"/>
      <c r="I25" s="11" t="b">
        <f>AND(I13=FALSE,I14,I16,I17=FALSE)</f>
        <v>1</v>
      </c>
      <c r="J25" s="1" t="s">
        <v>365</v>
      </c>
      <c r="K25" s="22"/>
    </row>
    <row r="26" spans="1:15">
      <c r="B26" s="305"/>
      <c r="C26" s="306" t="s">
        <v>172</v>
      </c>
      <c r="D26" s="1872" t="s">
        <v>374</v>
      </c>
      <c r="E26" s="1873"/>
      <c r="F26" s="1061" t="str">
        <f ca="1">'B HZone'!N3</f>
        <v>B HZone</v>
      </c>
      <c r="G26" s="1062"/>
      <c r="H26" s="11"/>
      <c r="I26" s="11" t="b">
        <f>AND(I13=FALSE,I14,I17,I16=FALSE)</f>
        <v>0</v>
      </c>
      <c r="J26" s="1" t="s">
        <v>366</v>
      </c>
      <c r="K26" s="22"/>
    </row>
    <row r="27" spans="1:15">
      <c r="B27" s="305"/>
      <c r="C27" s="306" t="s">
        <v>203</v>
      </c>
      <c r="D27" s="1872" t="s">
        <v>372</v>
      </c>
      <c r="E27" s="1873"/>
      <c r="F27" s="1874" t="str">
        <f ca="1">'HB-C1 Grundlstg Land'!O3</f>
        <v>HB-C1 Grundlstg Land</v>
      </c>
      <c r="G27" s="1875"/>
      <c r="H27" s="11"/>
      <c r="I27" s="1876" t="b">
        <f>IF(AND(I26=FALSE,I25=FALSE,I24=FALSE),TRUE,FALSE)</f>
        <v>0</v>
      </c>
      <c r="J27" s="296" t="s">
        <v>210</v>
      </c>
      <c r="K27" s="26"/>
    </row>
    <row r="28" spans="1:15">
      <c r="B28" s="305"/>
      <c r="C28" s="306" t="s">
        <v>204</v>
      </c>
      <c r="D28" s="1872" t="s">
        <v>371</v>
      </c>
      <c r="E28" s="1873"/>
      <c r="F28" s="1061" t="str">
        <f ca="1">'HB-C2 Grundlstg Bund'!O3</f>
        <v>HB-C2 Grundlstg Bund</v>
      </c>
      <c r="G28" s="1062"/>
      <c r="H28" s="11"/>
      <c r="I28" s="1877"/>
      <c r="J28" s="7"/>
      <c r="K28" s="7"/>
    </row>
    <row r="29" spans="1:15">
      <c r="B29" s="305"/>
      <c r="C29" s="306" t="s">
        <v>206</v>
      </c>
      <c r="D29" s="1872" t="s">
        <v>842</v>
      </c>
      <c r="E29" s="1873"/>
      <c r="F29" s="1061" t="str">
        <f ca="1">'HB-D1 Besondere Lstg Land'!P3</f>
        <v>HB-D1 Besondere Lstg Land</v>
      </c>
      <c r="G29" s="1062"/>
      <c r="H29" s="11"/>
      <c r="J29" s="44"/>
    </row>
    <row r="30" spans="1:15">
      <c r="B30" s="305"/>
      <c r="C30" s="306" t="s">
        <v>207</v>
      </c>
      <c r="D30" s="1872" t="s">
        <v>1047</v>
      </c>
      <c r="E30" s="1873"/>
      <c r="F30" s="1430" t="s">
        <v>1046</v>
      </c>
      <c r="G30" s="1062"/>
      <c r="H30" s="11"/>
      <c r="J30" s="44"/>
    </row>
    <row r="31" spans="1:15">
      <c r="B31" s="305"/>
      <c r="C31" s="306" t="s">
        <v>207</v>
      </c>
      <c r="D31" s="1872" t="s">
        <v>843</v>
      </c>
      <c r="E31" s="1873"/>
      <c r="F31" s="1061" t="str">
        <f ca="1">'HB-D2 Besondere Lstg Bund'!P3</f>
        <v>HB-D2 Besondere Lstg Bund</v>
      </c>
      <c r="G31" s="1062"/>
      <c r="H31" s="1082"/>
    </row>
    <row r="32" spans="1:15">
      <c r="B32" s="305"/>
      <c r="C32" s="306" t="s">
        <v>174</v>
      </c>
      <c r="D32" s="1528" t="s">
        <v>373</v>
      </c>
      <c r="E32" s="1527"/>
      <c r="F32" s="1061" t="str">
        <f ca="1">'E Honorarberechnung'!P3</f>
        <v>E Honorarberechnung</v>
      </c>
      <c r="G32" s="1062"/>
      <c r="H32" s="1517" t="s">
        <v>910</v>
      </c>
      <c r="J32" s="44"/>
    </row>
    <row r="33" spans="2:8" ht="16.5" customHeight="1">
      <c r="B33" s="305"/>
      <c r="C33" s="306" t="s">
        <v>176</v>
      </c>
      <c r="D33" s="1528" t="s">
        <v>336</v>
      </c>
      <c r="E33" s="1527"/>
      <c r="F33" s="1061" t="str">
        <f ca="1">'F Honorarübersicht'!S3</f>
        <v>F Honorarübersicht</v>
      </c>
      <c r="G33" s="1062"/>
      <c r="H33" s="1517"/>
    </row>
    <row r="34" spans="2:8" ht="16.5" customHeight="1">
      <c r="B34" s="305"/>
      <c r="C34" s="306" t="s">
        <v>177</v>
      </c>
      <c r="D34" s="1528" t="s">
        <v>391</v>
      </c>
      <c r="E34" s="1527"/>
      <c r="F34" s="1061" t="str">
        <f ca="1">'G Honorarabrechnung'!M3</f>
        <v>G Honorarabrechnung</v>
      </c>
      <c r="G34" s="460"/>
      <c r="H34" s="1517"/>
    </row>
    <row r="35" spans="2:8">
      <c r="B35" s="3"/>
      <c r="C35" s="301" t="s">
        <v>178</v>
      </c>
      <c r="D35" s="1507" t="s">
        <v>494</v>
      </c>
      <c r="E35" s="1508"/>
      <c r="F35" s="1063" t="str">
        <f ca="1">'H §35 HOAI'!L3</f>
        <v>H §35 HOAI</v>
      </c>
      <c r="G35" s="1064"/>
      <c r="H35" s="1517"/>
    </row>
    <row r="36" spans="2:8"/>
    <row r="37" spans="2:8"/>
    <row r="38" spans="2:8"/>
    <row r="39" spans="2:8">
      <c r="B39" s="1878" t="s">
        <v>117</v>
      </c>
      <c r="C39" s="1878"/>
    </row>
    <row r="40" spans="2:8" ht="17.399999999999999" thickBot="1"/>
    <row r="41" spans="2:8" ht="230.1" customHeight="1" thickTop="1" thickBot="1">
      <c r="B41" s="1534" t="s">
        <v>850</v>
      </c>
      <c r="C41" s="1535"/>
      <c r="D41" s="1535"/>
      <c r="E41" s="1535"/>
      <c r="F41" s="1535"/>
      <c r="G41" s="1536"/>
    </row>
    <row r="42" spans="2:8" ht="17.399999999999999" thickTop="1"/>
    <row r="43" spans="2:8">
      <c r="B43" s="1878" t="s">
        <v>138</v>
      </c>
      <c r="C43" s="1878"/>
    </row>
    <row r="44" spans="2:8" ht="17.399999999999999" thickBot="1"/>
    <row r="45" spans="2:8" ht="195" customHeight="1" thickTop="1" thickBot="1">
      <c r="B45" s="1531" t="s">
        <v>838</v>
      </c>
      <c r="C45" s="1532"/>
      <c r="D45" s="1532"/>
      <c r="E45" s="1532"/>
      <c r="F45" s="1532"/>
      <c r="G45" s="1533"/>
    </row>
    <row r="46" spans="2:8" ht="17.399999999999999" thickTop="1"/>
    <row r="47" spans="2:8"/>
    <row r="48" spans="2:8"/>
    <row r="49"/>
    <row r="67"/>
    <row r="68"/>
  </sheetData>
  <sheetProtection algorithmName="SHA-512" hashValue="5B/Ue9fJsJ/srBCuih6AyTTFLSSECCZkJ6ly3UWLxML0/xR/xyS5vi2/JLBxSbxJA5uO7sVrEgid++SuXMeLvA==" saltValue="OnqQuDR5qiO0iRV/gkDPxw==" spinCount="100000" sheet="1" formatCells="0" formatColumns="0" formatRows="0" insertColumns="0" insertRows="0" deleteColumns="0" deleteRows="0"/>
  <mergeCells count="34">
    <mergeCell ref="D29:E29"/>
    <mergeCell ref="D31:E31"/>
    <mergeCell ref="D25:E25"/>
    <mergeCell ref="D26:E26"/>
    <mergeCell ref="D28:E28"/>
    <mergeCell ref="D30:E30"/>
    <mergeCell ref="B45:G45"/>
    <mergeCell ref="D33:E33"/>
    <mergeCell ref="D34:E34"/>
    <mergeCell ref="D35:E35"/>
    <mergeCell ref="D32:E32"/>
    <mergeCell ref="B41:G41"/>
    <mergeCell ref="B2:E2"/>
    <mergeCell ref="H32:H35"/>
    <mergeCell ref="H2:H8"/>
    <mergeCell ref="C22:G22"/>
    <mergeCell ref="B5:D5"/>
    <mergeCell ref="B6:D6"/>
    <mergeCell ref="B7:D7"/>
    <mergeCell ref="C12:E12"/>
    <mergeCell ref="D13:E13"/>
    <mergeCell ref="D14:E14"/>
    <mergeCell ref="C15:E15"/>
    <mergeCell ref="D16:E16"/>
    <mergeCell ref="E6:G6"/>
    <mergeCell ref="B3:E3"/>
    <mergeCell ref="D19:E19"/>
    <mergeCell ref="D20:E20"/>
    <mergeCell ref="D17:E17"/>
    <mergeCell ref="D27:E27"/>
    <mergeCell ref="C18:E18"/>
    <mergeCell ref="E7:G7"/>
    <mergeCell ref="E8:G8"/>
    <mergeCell ref="B8:D8"/>
  </mergeCells>
  <conditionalFormatting sqref="B27:D27 F27:G27">
    <cfRule type="expression" dxfId="2499" priority="18">
      <formula>$I$25=FALSE</formula>
    </cfRule>
  </conditionalFormatting>
  <conditionalFormatting sqref="B28:D28 F28:G28 B31:D31 F31:G31">
    <cfRule type="expression" dxfId="2498" priority="17">
      <formula>$I$26=FALSE</formula>
    </cfRule>
  </conditionalFormatting>
  <conditionalFormatting sqref="B29:D30 F29:G30">
    <cfRule type="expression" dxfId="2497" priority="1">
      <formula>$I$25=FALSE</formula>
    </cfRule>
  </conditionalFormatting>
  <conditionalFormatting sqref="C13">
    <cfRule type="expression" dxfId="2496" priority="14">
      <formula>IF(COUNTIF(I13:I14,TRUE)&lt;&gt;1,1,0)</formula>
    </cfRule>
  </conditionalFormatting>
  <conditionalFormatting sqref="C14">
    <cfRule type="expression" dxfId="2495" priority="13">
      <formula>IF(COUNTIF(I13:I14,TRUE)&lt;&gt;1,1,0)</formula>
    </cfRule>
  </conditionalFormatting>
  <conditionalFormatting sqref="C16">
    <cfRule type="expression" dxfId="2494" priority="10">
      <formula>IF(AND(I14,(COUNTIF(I16:I17,TRUE)&lt;&gt;1)),1,0)</formula>
    </cfRule>
  </conditionalFormatting>
  <conditionalFormatting sqref="C17">
    <cfRule type="expression" dxfId="2493" priority="9">
      <formula>IF(AND(I14,(COUNTIF(I16:I17,TRUE)&lt;&gt;1)),1,0)</formula>
    </cfRule>
  </conditionalFormatting>
  <conditionalFormatting sqref="C19">
    <cfRule type="expression" dxfId="2492" priority="5">
      <formula>IF(AND(I14,(COUNTIF(I19:I20,TRUE)&lt;&gt;1)),1,0)</formula>
    </cfRule>
  </conditionalFormatting>
  <conditionalFormatting sqref="C20">
    <cfRule type="expression" dxfId="2491" priority="4">
      <formula>IF(AND(I14,(COUNTIF(I19:I20,TRUE)&lt;&gt;1)),1,0)</formula>
    </cfRule>
  </conditionalFormatting>
  <conditionalFormatting sqref="D19:D20">
    <cfRule type="expression" dxfId="2490" priority="2">
      <formula>I19</formula>
    </cfRule>
  </conditionalFormatting>
  <conditionalFormatting sqref="D25">
    <cfRule type="expression" dxfId="2489" priority="23">
      <formula>#REF!</formula>
    </cfRule>
  </conditionalFormatting>
  <conditionalFormatting sqref="E5">
    <cfRule type="expression" dxfId="2488" priority="8">
      <formula>E$5=""</formula>
    </cfRule>
  </conditionalFormatting>
  <conditionalFormatting sqref="E8">
    <cfRule type="expression" dxfId="2487" priority="730">
      <formula>IF($E$8="",TRUE,FALSE)</formula>
    </cfRule>
  </conditionalFormatting>
  <conditionalFormatting sqref="E6:G6">
    <cfRule type="expression" dxfId="2486" priority="7">
      <formula>E6=""</formula>
    </cfRule>
  </conditionalFormatting>
  <conditionalFormatting sqref="G5">
    <cfRule type="expression" dxfId="2485" priority="6">
      <formula>G5=""</formula>
    </cfRule>
  </conditionalFormatting>
  <hyperlinks>
    <hyperlink ref="F25:G25" location="Link_A_anrKosten" display="Link_A_anrKosten" xr:uid="{00000000-0004-0000-0000-000000000000}"/>
    <hyperlink ref="F26:G26" location="Link_B_HonorarZ" display="Link_B_HonorarZ" xr:uid="{00000000-0004-0000-0000-000001000000}"/>
    <hyperlink ref="F27:G27" location="Link_HBC1_Grundlstg" display="Link_HBC1_Grundlstg" xr:uid="{00000000-0004-0000-0000-000002000000}"/>
    <hyperlink ref="F28:G28" location="Link_HBC2_Grundlstg" display="Link_HBC2_Grundlstg" xr:uid="{00000000-0004-0000-0000-000003000000}"/>
    <hyperlink ref="F29:G29" location="Link_HBD1_BesLstg" display="Link_HBD1_BesLstg" xr:uid="{00000000-0004-0000-0000-000004000000}"/>
    <hyperlink ref="F31:G31" location="Link_HBD2_BesLstg" display="Link_HBD2_BesLstg" xr:uid="{00000000-0004-0000-0000-000005000000}"/>
    <hyperlink ref="F32:G32" location="Link_E_Honorar" display="Link_E_Honorar" xr:uid="{00000000-0004-0000-0000-000006000000}"/>
    <hyperlink ref="F33:G33" location="Link_F_Uebersicht" display="Link_F_Uebersicht" xr:uid="{00000000-0004-0000-0000-000007000000}"/>
    <hyperlink ref="F34" location="Link_G_Abrechnung" display="Link_G_Abrechnung" xr:uid="{00000000-0004-0000-0000-000008000000}"/>
    <hyperlink ref="F35:G35" location="Link_H_HOAI" display="Link_H_HOAI" xr:uid="{00000000-0004-0000-0000-000009000000}"/>
    <hyperlink ref="F30:G30" location="Link_HBD1_BesLstg" display="Link_HBD1_BesLstg" xr:uid="{00000000-0004-0000-0000-00000A000000}"/>
    <hyperlink ref="F30" location="'HB-D2 Besondere Lstg BS'!Link_HBD1_BesLstg" tooltip="HB-D2 Besondere Lstg BS" display="'HB-D2 Besondere Lstg BS'!Link_HBD1_BesLstg" xr:uid="{00000000-0004-0000-0000-00000B000000}"/>
  </hyperlinks>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November 2022&amp;R&amp;P</oddFooter>
  </headerFooter>
  <rowBreaks count="1" manualBreakCount="1">
    <brk id="37"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ltText="">
                <anchor moveWithCells="1">
                  <from>
                    <xdr:col>2</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30722" r:id="rId5" name="Check Box 2">
              <controlPr defaultSize="0" autoFill="0" autoLine="0" autoPict="0" altText="">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30723" r:id="rId6" name="Check Box 3">
              <controlPr defaultSize="0" autoFill="0" autoLine="0" autoPict="0" altText="">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30724" r:id="rId7" name="Check Box 4">
              <controlPr defaultSize="0" autoFill="0" autoLine="0" autoPict="0" altText="">
                <anchor moveWithCells="1">
                  <from>
                    <xdr:col>2</xdr:col>
                    <xdr:colOff>0</xdr:colOff>
                    <xdr:row>16</xdr:row>
                    <xdr:rowOff>0</xdr:rowOff>
                  </from>
                  <to>
                    <xdr:col>3</xdr:col>
                    <xdr:colOff>0</xdr:colOff>
                    <xdr:row>17</xdr:row>
                    <xdr:rowOff>0</xdr:rowOff>
                  </to>
                </anchor>
              </controlPr>
            </control>
          </mc:Choice>
        </mc:AlternateContent>
        <mc:AlternateContent xmlns:mc="http://schemas.openxmlformats.org/markup-compatibility/2006">
          <mc:Choice Requires="x14">
            <control shapeId="30725" r:id="rId8" name="Check Box 5">
              <controlPr defaultSize="0" autoFill="0" autoLine="0" autoPict="0" altText="">
                <anchor moveWithCells="1">
                  <from>
                    <xdr:col>2</xdr:col>
                    <xdr:colOff>0</xdr:colOff>
                    <xdr:row>18</xdr:row>
                    <xdr:rowOff>0</xdr:rowOff>
                  </from>
                  <to>
                    <xdr:col>3</xdr:col>
                    <xdr:colOff>0</xdr:colOff>
                    <xdr:row>19</xdr:row>
                    <xdr:rowOff>0</xdr:rowOff>
                  </to>
                </anchor>
              </controlPr>
            </control>
          </mc:Choice>
        </mc:AlternateContent>
        <mc:AlternateContent xmlns:mc="http://schemas.openxmlformats.org/markup-compatibility/2006">
          <mc:Choice Requires="x14">
            <control shapeId="30726" r:id="rId9" name="Check Box 6">
              <controlPr defaultSize="0" autoFill="0" autoLine="0" autoPict="0" altText="">
                <anchor moveWithCells="1">
                  <from>
                    <xdr:col>2</xdr:col>
                    <xdr:colOff>0</xdr:colOff>
                    <xdr:row>19</xdr:row>
                    <xdr:rowOff>0</xdr:rowOff>
                  </from>
                  <to>
                    <xdr:col>3</xdr:col>
                    <xdr:colOff>0</xdr:colOff>
                    <xdr:row>20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pageSetUpPr fitToPage="1"/>
  </sheetPr>
  <dimension ref="A1:U168"/>
  <sheetViews>
    <sheetView showGridLines="0" showRuler="0" topLeftCell="A90" zoomScaleNormal="100" zoomScaleSheetLayoutView="110" workbookViewId="0">
      <selection activeCell="J97" activeCellId="5" sqref="J61 J68 J70 J73 J95 J97"/>
    </sheetView>
  </sheetViews>
  <sheetFormatPr baseColWidth="10" defaultColWidth="0" defaultRowHeight="16.5" customHeight="1" zeroHeight="1"/>
  <cols>
    <col min="1" max="1" width="5.6640625" style="1178" customWidth="1"/>
    <col min="2" max="2" width="3.33203125" style="1179" customWidth="1"/>
    <col min="3" max="3" width="7.109375" style="1179" customWidth="1"/>
    <col min="4" max="4" width="3.33203125" style="1179" customWidth="1"/>
    <col min="5" max="5" width="2.6640625" style="1179" customWidth="1"/>
    <col min="6" max="6" width="46.6640625" style="1179" customWidth="1"/>
    <col min="7" max="7" width="12.33203125" style="1179" customWidth="1"/>
    <col min="8" max="9" width="7.33203125" style="1179" customWidth="1"/>
    <col min="10" max="10" width="11.44140625" style="1179" customWidth="1"/>
    <col min="11" max="11" width="14.44140625" style="1180" customWidth="1"/>
    <col min="12" max="12" width="2.6640625" style="1181" customWidth="1"/>
    <col min="13" max="13" width="11.44140625" style="1937" hidden="1" customWidth="1"/>
    <col min="14" max="16384" width="10.6640625" style="1182" hidden="1"/>
  </cols>
  <sheetData>
    <row r="1" spans="1:16" ht="16.8"/>
    <row r="2" spans="1:16" s="129" customFormat="1" ht="16.5" customHeight="1">
      <c r="A2" s="469"/>
      <c r="B2" s="1515" t="str">
        <f>[1]Projektgrundlagen!L20</f>
        <v>Objektplanung Gebäude</v>
      </c>
      <c r="C2" s="1515"/>
      <c r="D2" s="1515"/>
      <c r="E2" s="1515"/>
      <c r="F2" s="1515"/>
      <c r="G2" s="1516"/>
      <c r="H2" s="1635" t="str">
        <f>IF([1]Projektgrundlagen!F2="","",[1]Projektgrundlagen!F2)</f>
        <v>VII.10.4</v>
      </c>
      <c r="I2" s="1599"/>
      <c r="J2" s="1599" t="s">
        <v>911</v>
      </c>
      <c r="K2" s="1600"/>
      <c r="L2" s="1728" t="s">
        <v>912</v>
      </c>
      <c r="M2" s="1938" t="s">
        <v>59</v>
      </c>
      <c r="P2" s="207" t="s">
        <v>169</v>
      </c>
    </row>
    <row r="3" spans="1:16" s="129" customFormat="1" ht="16.8">
      <c r="A3" s="469"/>
      <c r="B3" s="1529" t="s">
        <v>913</v>
      </c>
      <c r="C3" s="1529"/>
      <c r="D3" s="1529"/>
      <c r="E3" s="1529"/>
      <c r="F3" s="1529"/>
      <c r="G3" s="1530"/>
      <c r="H3" s="1636" t="str">
        <f>IF([1]Projektgrundlagen!F3="","",[1]Projektgrundlagen!F3)</f>
        <v>Aktenzeichen:</v>
      </c>
      <c r="I3" s="1637"/>
      <c r="J3" s="1632" t="str">
        <f>IF([1]Projektgrundlagen!G3="","",[1]Projektgrundlagen!G3)</f>
        <v/>
      </c>
      <c r="K3" s="1633"/>
      <c r="L3" s="1939"/>
      <c r="P3" s="129" t="str">
        <f ca="1">MID(CELL("dateiname",A2),FIND("]",CELL("dateiname",A2))+1,255)</f>
        <v>HB-D2 Besondere Lstg BS</v>
      </c>
    </row>
    <row r="4" spans="1:16" s="129" customFormat="1" ht="7.5" customHeight="1">
      <c r="A4" s="469"/>
      <c r="B4" s="373"/>
      <c r="C4" s="373"/>
      <c r="D4" s="373"/>
      <c r="E4" s="373"/>
      <c r="F4" s="373"/>
      <c r="G4" s="392"/>
      <c r="H4" s="146"/>
      <c r="I4" s="146"/>
      <c r="J4" s="189"/>
      <c r="K4" s="189"/>
      <c r="L4" s="1939"/>
    </row>
    <row r="5" spans="1:16" s="129" customFormat="1" ht="16.8">
      <c r="A5" s="469"/>
      <c r="B5" s="1641" t="str">
        <f>IF([1]Projektgrundlagen!B5="","",[1]Projektgrundlagen!B5)</f>
        <v>Maßnahmennr:</v>
      </c>
      <c r="C5" s="1642"/>
      <c r="D5" s="1642"/>
      <c r="E5" s="1642"/>
      <c r="F5" s="1707" t="str">
        <f>IF(Projektgrundlagen!E5="","",Projektgrundlagen!E5)</f>
        <v>B14HA150700001</v>
      </c>
      <c r="G5" s="1707"/>
      <c r="H5" s="1638" t="str">
        <f>IF([1]Projektgrundlagen!F5="","",[1]Projektgrundlagen!F5)</f>
        <v>Vergabenr.:</v>
      </c>
      <c r="I5" s="1638"/>
      <c r="J5" s="1607" t="str">
        <f>IF(Projektgrundlagen!G5="","",Projektgrundlagen!G5)</f>
        <v>26-004187</v>
      </c>
      <c r="K5" s="1634"/>
      <c r="L5" s="1939"/>
    </row>
    <row r="6" spans="1:16" s="129" customFormat="1" ht="16.8">
      <c r="A6" s="469"/>
      <c r="B6" s="1643" t="str">
        <f>IF([1]Projektgrundlagen!B6="","",[1]Projektgrundlagen!B6)</f>
        <v>Maßnahme:</v>
      </c>
      <c r="C6" s="1644"/>
      <c r="D6" s="1644"/>
      <c r="E6" s="1644"/>
      <c r="F6" s="1647" t="str">
        <f>IF(Projektgrundlagen!E6="","",Projektgrundlagen!E6)</f>
        <v>Neubau ASG TUM Campus Taufkirchen / Ottobrunn</v>
      </c>
      <c r="G6" s="1647"/>
      <c r="H6" s="1647"/>
      <c r="I6" s="1647"/>
      <c r="J6" s="1647"/>
      <c r="K6" s="1648"/>
      <c r="L6" s="1939"/>
    </row>
    <row r="7" spans="1:16" s="129" customFormat="1" ht="16.8">
      <c r="A7" s="469"/>
      <c r="B7" s="1645" t="str">
        <f>IF([1]Projektgrundlagen!B7="","",[1]Projektgrundlagen!B7)</f>
        <v/>
      </c>
      <c r="C7" s="1646"/>
      <c r="D7" s="1646"/>
      <c r="E7" s="1646"/>
      <c r="F7" s="1649" t="str">
        <f>IF([1]Projektgrundlagen!E7="","",[1]Projektgrundlagen!E7)</f>
        <v/>
      </c>
      <c r="G7" s="1649"/>
      <c r="H7" s="1649"/>
      <c r="I7" s="1649"/>
      <c r="J7" s="1649"/>
      <c r="K7" s="1650"/>
      <c r="L7" s="1939"/>
    </row>
    <row r="8" spans="1:16" s="129" customFormat="1" ht="16.8">
      <c r="A8" s="469"/>
      <c r="B8" s="1618" t="str">
        <f>IF([1]Projektgrundlagen!B8="","",[1]Projektgrundlagen!B8)</f>
        <v>Bieter:</v>
      </c>
      <c r="C8" s="1619"/>
      <c r="D8" s="1619"/>
      <c r="E8" s="1619"/>
      <c r="F8" s="1708" t="str">
        <f>IF(Projektgrundlagen!E8="","",Projektgrundlagen!E8)</f>
        <v/>
      </c>
      <c r="G8" s="1708"/>
      <c r="H8" s="1708"/>
      <c r="I8" s="1708"/>
      <c r="J8" s="1708"/>
      <c r="K8" s="1709"/>
      <c r="L8" s="1939"/>
    </row>
    <row r="9" spans="1:16" s="129" customFormat="1" ht="16.5" customHeight="1">
      <c r="A9" s="469"/>
      <c r="B9" s="374"/>
      <c r="C9" s="353"/>
      <c r="D9" s="353"/>
      <c r="E9" s="374"/>
      <c r="F9" s="374"/>
      <c r="G9" s="374"/>
      <c r="H9" s="374"/>
      <c r="I9" s="374"/>
      <c r="J9" s="374"/>
      <c r="K9" s="374"/>
      <c r="L9" s="1939"/>
    </row>
    <row r="10" spans="1:16" ht="107.25" customHeight="1">
      <c r="B10" s="1745" t="s">
        <v>914</v>
      </c>
      <c r="C10" s="1746"/>
      <c r="D10" s="1746"/>
      <c r="E10" s="1746"/>
      <c r="F10" s="1746"/>
      <c r="G10" s="1746"/>
      <c r="H10" s="1746"/>
      <c r="I10" s="1746"/>
      <c r="J10" s="1746"/>
      <c r="K10" s="1747"/>
      <c r="L10" s="1939"/>
    </row>
    <row r="11" spans="1:16" s="129" customFormat="1" ht="16.5" customHeight="1">
      <c r="A11" s="469"/>
      <c r="B11" s="374"/>
      <c r="C11" s="353"/>
      <c r="D11" s="353"/>
      <c r="E11" s="374"/>
      <c r="F11" s="374"/>
      <c r="G11" s="374"/>
      <c r="H11" s="374"/>
      <c r="I11" s="374"/>
      <c r="J11" s="374"/>
      <c r="K11" s="374"/>
      <c r="L11" s="125"/>
    </row>
    <row r="12" spans="1:16" s="129" customFormat="1" ht="27" customHeight="1">
      <c r="A12" s="469"/>
      <c r="B12" s="1733" t="s">
        <v>915</v>
      </c>
      <c r="C12" s="1733"/>
      <c r="D12" s="1733"/>
      <c r="E12" s="1733"/>
      <c r="F12" s="1733"/>
      <c r="G12" s="793" t="s">
        <v>375</v>
      </c>
      <c r="H12" s="1736" t="s">
        <v>916</v>
      </c>
      <c r="I12" s="1736"/>
      <c r="J12" s="1183" t="s">
        <v>376</v>
      </c>
      <c r="K12" s="1184" t="s">
        <v>377</v>
      </c>
      <c r="L12" s="125"/>
      <c r="O12" s="937" t="s">
        <v>420</v>
      </c>
    </row>
    <row r="13" spans="1:16" s="129" customFormat="1" ht="27" customHeight="1">
      <c r="A13" s="469"/>
      <c r="B13" s="1734" t="str">
        <f>IF(Projektgrundlagen!I25,"","Besondere Leistungen Hochbau Land sind nicht Teil dieser Honorarermittlung!")</f>
        <v/>
      </c>
      <c r="C13" s="1734"/>
      <c r="D13" s="1734"/>
      <c r="E13" s="1734"/>
      <c r="F13" s="1734"/>
      <c r="G13" s="599"/>
      <c r="H13" s="796" t="str">
        <f>IF(AND('E Honorarberechnung'!I22=0,'E Honorarberechnung'!L14,NOT('E Honorarberechnung'!M14)),"Fehlende Angabe des Basishonorarsatzes!",IF(AND('E Honorarberechnung'!I23=0,'E Honorarberechnung'!M14,NOT('E Honorarberechnung'!L14)),"Fehlende Angabe des Honorarsatzes!",""))</f>
        <v/>
      </c>
      <c r="I13" s="797"/>
      <c r="J13" s="1185"/>
      <c r="K13" s="1186"/>
      <c r="L13" s="125"/>
      <c r="O13" s="1723">
        <f>IF(AND('E Honorarberechnung'!L14,NOT('E Honorarberechnung'!M14)),'E Honorarberechnung'!I22,IF(AND('E Honorarberechnung'!M14,NOT('E Honorarberechnung'!L14)),'E Honorarberechnung'!I23,""))</f>
        <v>5605210.5375046246</v>
      </c>
      <c r="P13" s="1723"/>
    </row>
    <row r="14" spans="1:16" ht="7.5" customHeight="1">
      <c r="B14" s="1180"/>
      <c r="C14" s="1187"/>
      <c r="D14" s="1188"/>
      <c r="E14" s="1188"/>
      <c r="F14" s="1189"/>
      <c r="G14" s="1190"/>
      <c r="H14" s="1189"/>
      <c r="I14" s="1189"/>
      <c r="J14" s="1191"/>
      <c r="K14" s="174"/>
    </row>
    <row r="15" spans="1:16" s="1194" customFormat="1" ht="35.1" customHeight="1">
      <c r="A15" s="1192"/>
      <c r="B15" s="1744" t="s">
        <v>917</v>
      </c>
      <c r="C15" s="1940"/>
      <c r="D15" s="1940"/>
      <c r="E15" s="1940"/>
      <c r="F15" s="1940"/>
      <c r="G15" s="1940"/>
      <c r="H15" s="1940"/>
      <c r="I15" s="1940"/>
      <c r="J15" s="1940"/>
      <c r="K15" s="1941"/>
      <c r="L15" s="1193"/>
      <c r="O15" s="1195" t="s">
        <v>255</v>
      </c>
      <c r="P15" s="1195" t="s">
        <v>257</v>
      </c>
    </row>
    <row r="16" spans="1:16" ht="24.9" customHeight="1">
      <c r="B16" s="1424"/>
      <c r="C16" s="1403" t="s">
        <v>43</v>
      </c>
      <c r="D16" s="1399"/>
      <c r="E16" s="1942"/>
      <c r="F16" s="1943" t="s">
        <v>918</v>
      </c>
      <c r="G16" s="1944"/>
      <c r="H16" s="1945"/>
      <c r="I16" s="1945"/>
      <c r="J16" s="1946"/>
      <c r="K16" s="1394" t="s">
        <v>919</v>
      </c>
      <c r="M16" s="1182"/>
    </row>
    <row r="17" spans="1:16" s="1204" customFormat="1" ht="39.75" customHeight="1">
      <c r="A17" s="1197"/>
      <c r="B17" s="1198"/>
      <c r="C17" s="1199"/>
      <c r="D17" s="1200"/>
      <c r="E17" s="1201"/>
      <c r="F17" s="1947"/>
      <c r="G17" s="1948"/>
      <c r="H17" s="1949"/>
      <c r="I17" s="1949"/>
      <c r="J17" s="1950"/>
      <c r="K17" s="1202"/>
      <c r="L17" s="1203"/>
    </row>
    <row r="18" spans="1:16" ht="24.9" customHeight="1">
      <c r="B18" s="1419"/>
      <c r="C18" s="1427" t="s">
        <v>42</v>
      </c>
      <c r="D18" s="1400"/>
      <c r="E18" s="1951"/>
      <c r="F18" s="1952" t="s">
        <v>920</v>
      </c>
      <c r="G18" s="1953"/>
      <c r="H18" s="1954"/>
      <c r="I18" s="1954"/>
      <c r="J18" s="1955"/>
      <c r="K18" s="1394" t="s">
        <v>919</v>
      </c>
      <c r="M18" s="1182"/>
    </row>
    <row r="19" spans="1:16" s="1204" customFormat="1" ht="25.5" customHeight="1">
      <c r="A19" s="1197"/>
      <c r="B19" s="1206"/>
      <c r="C19" s="1207"/>
      <c r="D19" s="1208"/>
      <c r="E19" s="1209"/>
      <c r="F19" s="1947"/>
      <c r="G19" s="1956"/>
      <c r="H19" s="1957"/>
      <c r="I19" s="1957"/>
      <c r="J19" s="1958"/>
      <c r="K19" s="1210"/>
      <c r="L19" s="1203"/>
    </row>
    <row r="20" spans="1:16" ht="16.5" customHeight="1">
      <c r="B20" s="1211"/>
      <c r="C20" s="1212"/>
      <c r="D20" s="1213"/>
      <c r="E20" s="1213"/>
      <c r="F20" s="1214"/>
      <c r="G20" s="1215"/>
      <c r="H20" s="1214"/>
      <c r="I20" s="1214"/>
      <c r="J20" s="1216"/>
      <c r="K20" s="174"/>
    </row>
    <row r="21" spans="1:16" s="1194" customFormat="1" ht="35.1" customHeight="1">
      <c r="A21" s="1192"/>
      <c r="B21" s="1744" t="s">
        <v>921</v>
      </c>
      <c r="C21" s="1940"/>
      <c r="D21" s="1940"/>
      <c r="E21" s="1940"/>
      <c r="F21" s="1940"/>
      <c r="G21" s="1940"/>
      <c r="H21" s="1940"/>
      <c r="I21" s="1940"/>
      <c r="J21" s="1940"/>
      <c r="K21" s="1941"/>
      <c r="L21" s="1193"/>
      <c r="O21" s="1195"/>
      <c r="P21" s="1195"/>
    </row>
    <row r="22" spans="1:16" ht="24.9" customHeight="1">
      <c r="B22" s="1419"/>
      <c r="C22" s="1403" t="s">
        <v>40</v>
      </c>
      <c r="D22" s="1399"/>
      <c r="E22" s="1942"/>
      <c r="F22" s="1943" t="s">
        <v>922</v>
      </c>
      <c r="G22" s="1959"/>
      <c r="H22" s="1960"/>
      <c r="I22" s="1960"/>
      <c r="J22" s="1961"/>
      <c r="K22" s="1394" t="s">
        <v>919</v>
      </c>
      <c r="M22" s="1182" t="b">
        <v>1</v>
      </c>
      <c r="O22" s="1182" t="b">
        <f>AND(M22,OR(AND(G22="",J22=""),G22="v.H.-Satz"))</f>
        <v>1</v>
      </c>
      <c r="P22" s="1182" t="b">
        <f>AND(M22,OR(G22="",G22="pauschal"))</f>
        <v>1</v>
      </c>
    </row>
    <row r="23" spans="1:16" s="1204" customFormat="1" ht="24.75" customHeight="1">
      <c r="A23" s="1197"/>
      <c r="B23" s="1217"/>
      <c r="C23" s="1199"/>
      <c r="D23" s="1200"/>
      <c r="E23" s="1201"/>
      <c r="F23" s="1962"/>
      <c r="G23" s="1963"/>
      <c r="H23" s="1964"/>
      <c r="I23" s="1964"/>
      <c r="J23" s="1965"/>
      <c r="K23" s="1218"/>
      <c r="L23" s="1203"/>
      <c r="O23" s="1182" t="b">
        <f t="shared" ref="O23:O92" si="0">AND(M23,OR(AND(G23="",J23=""),G23="v.H.-Satz"))</f>
        <v>1</v>
      </c>
      <c r="P23" s="1182" t="b">
        <f t="shared" ref="P23:P92" si="1">AND(M23,OR(G23="",G23="pauschal"))</f>
        <v>1</v>
      </c>
    </row>
    <row r="24" spans="1:16" s="1204" customFormat="1" ht="93" customHeight="1">
      <c r="A24" s="1197"/>
      <c r="B24" s="1217"/>
      <c r="C24" s="1199"/>
      <c r="D24" s="1200"/>
      <c r="E24" s="1201"/>
      <c r="F24" s="1966" t="s">
        <v>923</v>
      </c>
      <c r="G24" s="1967"/>
      <c r="H24" s="1968"/>
      <c r="I24" s="1968"/>
      <c r="J24" s="1969"/>
      <c r="K24" s="1219"/>
      <c r="L24" s="1203"/>
      <c r="O24" s="1182"/>
      <c r="P24" s="1182"/>
    </row>
    <row r="25" spans="1:16" s="1204" customFormat="1" ht="106.5" customHeight="1">
      <c r="A25" s="1197"/>
      <c r="B25" s="1217"/>
      <c r="C25" s="1199"/>
      <c r="D25" s="1200"/>
      <c r="E25" s="1201"/>
      <c r="F25" s="1966" t="s">
        <v>924</v>
      </c>
      <c r="G25" s="1967"/>
      <c r="H25" s="1968"/>
      <c r="I25" s="1968"/>
      <c r="J25" s="1969"/>
      <c r="K25" s="1202"/>
      <c r="L25" s="1203"/>
      <c r="O25" s="1182"/>
      <c r="P25" s="1182"/>
    </row>
    <row r="26" spans="1:16" ht="24.9" customHeight="1">
      <c r="B26" s="1416"/>
      <c r="C26" s="1427" t="s">
        <v>39</v>
      </c>
      <c r="D26" s="1400"/>
      <c r="E26" s="1951"/>
      <c r="F26" s="1970" t="s">
        <v>925</v>
      </c>
      <c r="G26" s="1971"/>
      <c r="H26" s="1972"/>
      <c r="I26" s="1972"/>
      <c r="J26" s="1973"/>
      <c r="K26" s="1394" t="s">
        <v>919</v>
      </c>
      <c r="M26" s="1182" t="b">
        <v>1</v>
      </c>
      <c r="O26" s="1182" t="b">
        <f t="shared" si="0"/>
        <v>1</v>
      </c>
      <c r="P26" s="1182" t="b">
        <f t="shared" si="1"/>
        <v>1</v>
      </c>
    </row>
    <row r="27" spans="1:16" s="1204" customFormat="1" ht="156" customHeight="1">
      <c r="A27" s="1197"/>
      <c r="B27" s="1220"/>
      <c r="C27" s="1207"/>
      <c r="D27" s="1208"/>
      <c r="E27" s="1209"/>
      <c r="F27" s="1947"/>
      <c r="G27" s="1974"/>
      <c r="H27" s="1975"/>
      <c r="I27" s="1975"/>
      <c r="J27" s="1976"/>
      <c r="K27" s="1221"/>
      <c r="L27" s="1203"/>
      <c r="O27" s="1182" t="b">
        <f t="shared" si="0"/>
        <v>1</v>
      </c>
      <c r="P27" s="1182" t="b">
        <f t="shared" si="1"/>
        <v>1</v>
      </c>
    </row>
    <row r="28" spans="1:16" ht="24.9" customHeight="1">
      <c r="B28" s="1419"/>
      <c r="C28" s="1396" t="s">
        <v>38</v>
      </c>
      <c r="D28" s="1399"/>
      <c r="E28" s="1942"/>
      <c r="F28" s="1952" t="s">
        <v>926</v>
      </c>
      <c r="G28" s="1971"/>
      <c r="H28" s="1972"/>
      <c r="I28" s="1972"/>
      <c r="J28" s="1973"/>
      <c r="K28" s="1426" t="s">
        <v>919</v>
      </c>
      <c r="M28" s="1182" t="b">
        <v>1</v>
      </c>
      <c r="O28" s="1182" t="b">
        <f t="shared" si="0"/>
        <v>1</v>
      </c>
      <c r="P28" s="1182" t="b">
        <f t="shared" si="1"/>
        <v>1</v>
      </c>
    </row>
    <row r="29" spans="1:16" s="1204" customFormat="1" ht="51" customHeight="1">
      <c r="A29" s="1197"/>
      <c r="B29" s="1220"/>
      <c r="C29" s="1199"/>
      <c r="D29" s="1208"/>
      <c r="E29" s="1209"/>
      <c r="F29" s="1947"/>
      <c r="G29" s="1974"/>
      <c r="H29" s="1975"/>
      <c r="I29" s="1975"/>
      <c r="J29" s="1976"/>
      <c r="K29" s="1221"/>
      <c r="L29" s="1203"/>
      <c r="O29" s="1182" t="b">
        <f t="shared" si="0"/>
        <v>1</v>
      </c>
      <c r="P29" s="1182" t="b">
        <f t="shared" si="1"/>
        <v>1</v>
      </c>
    </row>
    <row r="30" spans="1:16" ht="24.9" customHeight="1">
      <c r="B30" s="1419"/>
      <c r="C30" s="1414" t="s">
        <v>196</v>
      </c>
      <c r="D30" s="1399"/>
      <c r="E30" s="1942"/>
      <c r="F30" s="1943" t="s">
        <v>927</v>
      </c>
      <c r="G30" s="1971"/>
      <c r="H30" s="1972"/>
      <c r="I30" s="1972"/>
      <c r="J30" s="1973"/>
      <c r="K30" s="1394" t="s">
        <v>919</v>
      </c>
      <c r="M30" s="1182" t="b">
        <v>1</v>
      </c>
      <c r="O30" s="1182" t="b">
        <f t="shared" si="0"/>
        <v>1</v>
      </c>
      <c r="P30" s="1182" t="b">
        <f t="shared" si="1"/>
        <v>1</v>
      </c>
    </row>
    <row r="31" spans="1:16" s="1204" customFormat="1" ht="85.5" customHeight="1">
      <c r="A31" s="1197"/>
      <c r="B31" s="1220"/>
      <c r="C31" s="1207"/>
      <c r="D31" s="1208"/>
      <c r="E31" s="1209"/>
      <c r="F31" s="1947"/>
      <c r="G31" s="1974"/>
      <c r="H31" s="1975"/>
      <c r="I31" s="1975"/>
      <c r="J31" s="1976"/>
      <c r="K31" s="1221"/>
      <c r="L31" s="1203"/>
      <c r="O31" s="1182" t="b">
        <f t="shared" si="0"/>
        <v>1</v>
      </c>
      <c r="P31" s="1182" t="b">
        <f t="shared" si="1"/>
        <v>1</v>
      </c>
    </row>
    <row r="32" spans="1:16" ht="24.9" customHeight="1">
      <c r="B32" s="1419"/>
      <c r="C32" s="1423" t="s">
        <v>197</v>
      </c>
      <c r="D32" s="1399"/>
      <c r="E32" s="1942"/>
      <c r="F32" s="1943" t="s">
        <v>928</v>
      </c>
      <c r="G32" s="1971"/>
      <c r="H32" s="1972"/>
      <c r="I32" s="1972"/>
      <c r="J32" s="1973"/>
      <c r="K32" s="1394" t="s">
        <v>919</v>
      </c>
      <c r="M32" s="1182" t="b">
        <v>0</v>
      </c>
      <c r="O32" s="1182" t="b">
        <f t="shared" si="0"/>
        <v>0</v>
      </c>
      <c r="P32" s="1182" t="b">
        <f t="shared" si="1"/>
        <v>0</v>
      </c>
    </row>
    <row r="33" spans="1:21" s="1204" customFormat="1" ht="59.25" customHeight="1">
      <c r="A33" s="1197"/>
      <c r="B33" s="1220"/>
      <c r="C33" s="1207"/>
      <c r="D33" s="1208"/>
      <c r="E33" s="1209"/>
      <c r="F33" s="1947"/>
      <c r="G33" s="1974"/>
      <c r="H33" s="1975"/>
      <c r="I33" s="1975"/>
      <c r="J33" s="1976"/>
      <c r="K33" s="1210"/>
      <c r="L33" s="1203"/>
      <c r="O33" s="1182" t="b">
        <f t="shared" si="0"/>
        <v>1</v>
      </c>
      <c r="P33" s="1182" t="b">
        <f t="shared" si="1"/>
        <v>1</v>
      </c>
    </row>
    <row r="34" spans="1:21" ht="16.5" customHeight="1">
      <c r="B34" s="1223"/>
      <c r="C34" s="1224"/>
      <c r="D34" s="1225"/>
      <c r="E34" s="1225"/>
      <c r="F34" s="1226"/>
      <c r="G34" s="1227"/>
      <c r="H34" s="1226"/>
      <c r="I34" s="1226"/>
      <c r="J34" s="1228"/>
      <c r="K34" s="174"/>
      <c r="M34" s="1937" t="b">
        <v>1</v>
      </c>
      <c r="O34" s="1182" t="b">
        <f t="shared" si="0"/>
        <v>1</v>
      </c>
      <c r="P34" s="1182" t="b">
        <f t="shared" si="1"/>
        <v>1</v>
      </c>
    </row>
    <row r="35" spans="1:21" s="1231" customFormat="1" ht="35.1" customHeight="1">
      <c r="A35" s="1229"/>
      <c r="B35" s="1744" t="s">
        <v>929</v>
      </c>
      <c r="C35" s="1940"/>
      <c r="D35" s="1940"/>
      <c r="E35" s="1940"/>
      <c r="F35" s="1940"/>
      <c r="G35" s="1940"/>
      <c r="H35" s="1940"/>
      <c r="I35" s="1940"/>
      <c r="J35" s="1940"/>
      <c r="K35" s="1941"/>
      <c r="L35" s="1230"/>
      <c r="M35" s="1194"/>
      <c r="O35" s="1194" t="b">
        <f t="shared" si="0"/>
        <v>1</v>
      </c>
      <c r="P35" s="1194" t="b">
        <f t="shared" si="1"/>
        <v>1</v>
      </c>
    </row>
    <row r="36" spans="1:21" ht="24.9" customHeight="1">
      <c r="B36" s="1424"/>
      <c r="C36" s="1403" t="s">
        <v>37</v>
      </c>
      <c r="D36" s="1399"/>
      <c r="E36" s="1942"/>
      <c r="F36" s="1977" t="s">
        <v>930</v>
      </c>
      <c r="G36" s="1978"/>
      <c r="H36" s="1964"/>
      <c r="I36" s="1964"/>
      <c r="J36" s="1965"/>
      <c r="K36" s="1394" t="s">
        <v>919</v>
      </c>
      <c r="M36" s="1182" t="b">
        <v>1</v>
      </c>
      <c r="O36" s="1182" t="b">
        <f t="shared" si="0"/>
        <v>1</v>
      </c>
      <c r="P36" s="1182" t="b">
        <f t="shared" si="1"/>
        <v>1</v>
      </c>
      <c r="S36" s="1979"/>
      <c r="T36" s="1979"/>
      <c r="U36" s="1980"/>
    </row>
    <row r="37" spans="1:21" ht="117" customHeight="1">
      <c r="B37" s="1217"/>
      <c r="C37" s="1232"/>
      <c r="D37" s="1196"/>
      <c r="E37" s="1981"/>
      <c r="F37" s="1966" t="s">
        <v>931</v>
      </c>
      <c r="G37" s="1963"/>
      <c r="H37" s="1964"/>
      <c r="I37" s="1964"/>
      <c r="J37" s="1965"/>
      <c r="K37" s="1233"/>
      <c r="L37" s="1234"/>
      <c r="S37" s="1982"/>
      <c r="T37" s="1982"/>
      <c r="U37" s="1983"/>
    </row>
    <row r="38" spans="1:21" ht="53.25" customHeight="1">
      <c r="B38" s="1217"/>
      <c r="C38" s="1232"/>
      <c r="D38" s="1196"/>
      <c r="E38" s="1981"/>
      <c r="F38" s="1966" t="s">
        <v>932</v>
      </c>
      <c r="G38" s="1963"/>
      <c r="H38" s="1964"/>
      <c r="I38" s="1964"/>
      <c r="J38" s="1965"/>
      <c r="K38" s="1233"/>
      <c r="L38" s="1234"/>
      <c r="S38" s="1982"/>
      <c r="T38" s="1982"/>
      <c r="U38" s="1983"/>
    </row>
    <row r="39" spans="1:21" s="1204" customFormat="1" ht="114" customHeight="1">
      <c r="A39" s="1197"/>
      <c r="B39" s="1220"/>
      <c r="C39" s="1235"/>
      <c r="D39" s="1200"/>
      <c r="E39" s="1201"/>
      <c r="F39" s="1966" t="s">
        <v>933</v>
      </c>
      <c r="G39" s="1974"/>
      <c r="H39" s="1975"/>
      <c r="I39" s="1975"/>
      <c r="J39" s="1976"/>
      <c r="K39" s="1236" t="str">
        <f t="shared" ref="K39" si="2">IF(M39,IF(O39,$O$13*H39%,IF(P39,J39)),"")</f>
        <v/>
      </c>
      <c r="L39" s="1237"/>
      <c r="M39" s="1937"/>
      <c r="O39" s="1182" t="b">
        <f t="shared" si="0"/>
        <v>1</v>
      </c>
      <c r="P39" s="1182" t="b">
        <f t="shared" si="1"/>
        <v>1</v>
      </c>
    </row>
    <row r="40" spans="1:21" ht="24.9" customHeight="1">
      <c r="B40" s="1419"/>
      <c r="C40" s="1423" t="s">
        <v>36</v>
      </c>
      <c r="D40" s="1415"/>
      <c r="E40" s="1951"/>
      <c r="F40" s="1984" t="s">
        <v>934</v>
      </c>
      <c r="G40" s="1971"/>
      <c r="H40" s="1972"/>
      <c r="I40" s="1972"/>
      <c r="J40" s="1973"/>
      <c r="K40" s="1394" t="s">
        <v>919</v>
      </c>
      <c r="M40" s="1182" t="b">
        <v>1</v>
      </c>
      <c r="O40" s="1182" t="b">
        <f t="shared" si="0"/>
        <v>1</v>
      </c>
      <c r="P40" s="1182" t="b">
        <f t="shared" si="1"/>
        <v>1</v>
      </c>
    </row>
    <row r="41" spans="1:21" s="1204" customFormat="1" ht="58.5" customHeight="1">
      <c r="A41" s="1197"/>
      <c r="B41" s="1220"/>
      <c r="C41" s="1235"/>
      <c r="D41" s="1208"/>
      <c r="E41" s="1209"/>
      <c r="F41" s="1966" t="s">
        <v>935</v>
      </c>
      <c r="G41" s="1974"/>
      <c r="H41" s="1975"/>
      <c r="I41" s="1975"/>
      <c r="J41" s="1976"/>
      <c r="K41" s="1236"/>
      <c r="L41" s="1237"/>
      <c r="M41" s="1937" t="b">
        <v>0</v>
      </c>
      <c r="O41" s="1182" t="b">
        <f t="shared" si="0"/>
        <v>0</v>
      </c>
      <c r="P41" s="1182" t="b">
        <f t="shared" si="1"/>
        <v>0</v>
      </c>
    </row>
    <row r="42" spans="1:21" ht="24.9" customHeight="1">
      <c r="B42" s="1419"/>
      <c r="C42" s="1396" t="s">
        <v>35</v>
      </c>
      <c r="D42" s="1399"/>
      <c r="E42" s="1942"/>
      <c r="F42" s="1985" t="s">
        <v>936</v>
      </c>
      <c r="G42" s="1971"/>
      <c r="H42" s="1972"/>
      <c r="I42" s="1972"/>
      <c r="J42" s="1973"/>
      <c r="K42" s="1394" t="s">
        <v>919</v>
      </c>
      <c r="L42" s="1234"/>
      <c r="M42" s="1182" t="b">
        <v>1</v>
      </c>
      <c r="O42" s="1182" t="b">
        <f t="shared" si="0"/>
        <v>1</v>
      </c>
      <c r="P42" s="1182" t="b">
        <f t="shared" si="1"/>
        <v>1</v>
      </c>
      <c r="S42" s="1979"/>
      <c r="T42" s="1979"/>
      <c r="U42" s="1980"/>
    </row>
    <row r="43" spans="1:21" ht="95.25" customHeight="1">
      <c r="B43" s="1238"/>
      <c r="C43" s="1239"/>
      <c r="D43" s="1196"/>
      <c r="E43" s="1981"/>
      <c r="F43" s="1966" t="s">
        <v>937</v>
      </c>
      <c r="G43" s="1963"/>
      <c r="H43" s="1964"/>
      <c r="I43" s="1964"/>
      <c r="J43" s="1965"/>
      <c r="K43" s="1222"/>
      <c r="S43" s="1982"/>
      <c r="T43" s="1982"/>
      <c r="U43" s="1983"/>
    </row>
    <row r="44" spans="1:21" ht="99" customHeight="1">
      <c r="B44" s="1238"/>
      <c r="C44" s="1240"/>
      <c r="D44" s="1241"/>
      <c r="E44" s="1981"/>
      <c r="F44" s="1986" t="s">
        <v>938</v>
      </c>
      <c r="G44" s="1974"/>
      <c r="H44" s="1975"/>
      <c r="I44" s="1975"/>
      <c r="J44" s="1976"/>
      <c r="K44" s="1242"/>
      <c r="S44" s="1982"/>
      <c r="T44" s="1982"/>
      <c r="U44" s="1983"/>
    </row>
    <row r="45" spans="1:21" ht="24.9" customHeight="1">
      <c r="B45" s="1416"/>
      <c r="C45" s="1396" t="s">
        <v>200</v>
      </c>
      <c r="D45" s="1399"/>
      <c r="E45" s="1951"/>
      <c r="F45" s="1985" t="s">
        <v>939</v>
      </c>
      <c r="G45" s="1987"/>
      <c r="H45" s="1988"/>
      <c r="I45" s="1988"/>
      <c r="J45" s="1989"/>
      <c r="K45" s="1394" t="s">
        <v>919</v>
      </c>
      <c r="M45" s="1182"/>
      <c r="S45" s="1990"/>
      <c r="T45" s="1990"/>
      <c r="U45" s="1980"/>
    </row>
    <row r="46" spans="1:21" ht="54.75" customHeight="1">
      <c r="B46" s="1243"/>
      <c r="C46" s="1244"/>
      <c r="D46" s="1241"/>
      <c r="E46" s="1991"/>
      <c r="F46" s="1992" t="s">
        <v>940</v>
      </c>
      <c r="G46" s="1993"/>
      <c r="H46" s="1994"/>
      <c r="I46" s="1994"/>
      <c r="J46" s="1995"/>
      <c r="K46" s="1245"/>
      <c r="S46" s="1982"/>
      <c r="T46" s="1982"/>
      <c r="U46" s="1983"/>
    </row>
    <row r="47" spans="1:21" ht="24.9" customHeight="1">
      <c r="B47" s="1425"/>
      <c r="C47" s="1396" t="s">
        <v>201</v>
      </c>
      <c r="D47" s="1399"/>
      <c r="E47" s="1942"/>
      <c r="F47" s="1996" t="s">
        <v>941</v>
      </c>
      <c r="G47" s="1987"/>
      <c r="H47" s="1988"/>
      <c r="I47" s="1988"/>
      <c r="J47" s="1989"/>
      <c r="K47" s="1394" t="s">
        <v>919</v>
      </c>
      <c r="M47" s="1182"/>
      <c r="S47" s="1990"/>
      <c r="T47" s="1990"/>
      <c r="U47" s="1980"/>
    </row>
    <row r="48" spans="1:21" ht="113.25" customHeight="1">
      <c r="B48" s="1206"/>
      <c r="C48" s="1207"/>
      <c r="D48" s="1247"/>
      <c r="E48" s="1201"/>
      <c r="F48" s="1997" t="s">
        <v>942</v>
      </c>
      <c r="G48" s="1998"/>
      <c r="H48" s="1248"/>
      <c r="I48" s="1249"/>
      <c r="J48" s="1999"/>
      <c r="K48" s="1210"/>
      <c r="M48" s="1937" t="b">
        <v>1</v>
      </c>
      <c r="O48" s="1182" t="b">
        <f t="shared" si="0"/>
        <v>1</v>
      </c>
      <c r="P48" s="1182" t="b">
        <f t="shared" si="1"/>
        <v>1</v>
      </c>
    </row>
    <row r="49" spans="1:16" ht="16.5" customHeight="1">
      <c r="B49" s="1211"/>
      <c r="C49" s="1212"/>
      <c r="D49" s="1213"/>
      <c r="E49" s="1213"/>
      <c r="F49" s="1214"/>
      <c r="G49" s="1215"/>
      <c r="H49" s="1214"/>
      <c r="I49" s="1214"/>
      <c r="J49" s="1216"/>
      <c r="K49" s="174"/>
      <c r="M49" s="1937" t="b">
        <v>1</v>
      </c>
      <c r="O49" s="1182" t="b">
        <f t="shared" si="0"/>
        <v>1</v>
      </c>
      <c r="P49" s="1182" t="b">
        <f t="shared" si="1"/>
        <v>1</v>
      </c>
    </row>
    <row r="50" spans="1:16" s="1231" customFormat="1" ht="35.1" customHeight="1">
      <c r="A50" s="1250"/>
      <c r="B50" s="1744" t="s">
        <v>943</v>
      </c>
      <c r="C50" s="1940"/>
      <c r="D50" s="1940"/>
      <c r="E50" s="1940"/>
      <c r="F50" s="1940"/>
      <c r="G50" s="1940"/>
      <c r="H50" s="1940"/>
      <c r="I50" s="1940"/>
      <c r="J50" s="1940"/>
      <c r="K50" s="1941"/>
      <c r="L50" s="1230"/>
      <c r="O50" s="1194" t="b">
        <f t="shared" si="0"/>
        <v>1</v>
      </c>
      <c r="P50" s="1194" t="b">
        <f t="shared" si="1"/>
        <v>1</v>
      </c>
    </row>
    <row r="51" spans="1:16" ht="24.9" customHeight="1">
      <c r="B51" s="1424"/>
      <c r="C51" s="1403" t="s">
        <v>34</v>
      </c>
      <c r="D51" s="1399"/>
      <c r="E51" s="1942"/>
      <c r="F51" s="1977" t="s">
        <v>645</v>
      </c>
      <c r="G51" s="1959"/>
      <c r="H51" s="1960"/>
      <c r="I51" s="1960"/>
      <c r="J51" s="1961"/>
      <c r="K51" s="1394" t="s">
        <v>919</v>
      </c>
      <c r="M51" s="1182" t="b">
        <v>1</v>
      </c>
      <c r="O51" s="1182" t="b">
        <f t="shared" si="0"/>
        <v>1</v>
      </c>
      <c r="P51" s="1182" t="b">
        <f t="shared" si="1"/>
        <v>1</v>
      </c>
    </row>
    <row r="52" spans="1:16" s="1204" customFormat="1" ht="77.25" customHeight="1">
      <c r="A52" s="1197"/>
      <c r="B52" s="1220"/>
      <c r="C52" s="1235"/>
      <c r="D52" s="1208"/>
      <c r="E52" s="1209"/>
      <c r="F52" s="1251" t="s">
        <v>644</v>
      </c>
      <c r="G52" s="1974"/>
      <c r="H52" s="1975"/>
      <c r="I52" s="1975"/>
      <c r="J52" s="1976"/>
      <c r="K52" s="1242"/>
      <c r="L52" s="1203"/>
      <c r="O52" s="1182" t="b">
        <f t="shared" si="0"/>
        <v>1</v>
      </c>
      <c r="P52" s="1182" t="b">
        <f t="shared" si="1"/>
        <v>1</v>
      </c>
    </row>
    <row r="53" spans="1:16" ht="24.9" customHeight="1">
      <c r="B53" s="1419"/>
      <c r="C53" s="1423" t="s">
        <v>222</v>
      </c>
      <c r="D53" s="1399"/>
      <c r="E53" s="1942"/>
      <c r="F53" s="1977" t="s">
        <v>944</v>
      </c>
      <c r="G53" s="1978"/>
      <c r="H53" s="1964"/>
      <c r="I53" s="1964"/>
      <c r="J53" s="1965"/>
      <c r="K53" s="1394" t="s">
        <v>919</v>
      </c>
      <c r="M53" s="1182" t="b">
        <v>1</v>
      </c>
      <c r="O53" s="1182" t="b">
        <f t="shared" si="0"/>
        <v>1</v>
      </c>
      <c r="P53" s="1182" t="b">
        <f t="shared" si="1"/>
        <v>1</v>
      </c>
    </row>
    <row r="54" spans="1:16" s="1204" customFormat="1" ht="99.75" customHeight="1">
      <c r="A54" s="1197"/>
      <c r="B54" s="1220"/>
      <c r="C54" s="1199"/>
      <c r="D54" s="1208"/>
      <c r="E54" s="1209"/>
      <c r="F54" s="1252" t="s">
        <v>945</v>
      </c>
      <c r="G54" s="1963"/>
      <c r="H54" s="1964"/>
      <c r="I54" s="1964"/>
      <c r="J54" s="1965"/>
      <c r="K54" s="1242"/>
      <c r="L54" s="1203"/>
      <c r="O54" s="1182" t="b">
        <f t="shared" si="0"/>
        <v>1</v>
      </c>
      <c r="P54" s="1182" t="b">
        <f t="shared" si="1"/>
        <v>1</v>
      </c>
    </row>
    <row r="55" spans="1:16" ht="24.9" customHeight="1">
      <c r="B55" s="1416"/>
      <c r="C55" s="1393" t="s">
        <v>50</v>
      </c>
      <c r="D55" s="1422"/>
      <c r="E55" s="1942"/>
      <c r="F55" s="1985" t="s">
        <v>946</v>
      </c>
      <c r="G55" s="1971"/>
      <c r="H55" s="1972"/>
      <c r="I55" s="1972"/>
      <c r="J55" s="1973"/>
      <c r="K55" s="1394" t="s">
        <v>919</v>
      </c>
      <c r="M55" s="1182" t="b">
        <v>1</v>
      </c>
      <c r="O55" s="1182" t="b">
        <f t="shared" si="0"/>
        <v>1</v>
      </c>
      <c r="P55" s="1182" t="b">
        <f t="shared" si="1"/>
        <v>1</v>
      </c>
    </row>
    <row r="56" spans="1:16" s="1204" customFormat="1" ht="72" customHeight="1">
      <c r="A56" s="1197"/>
      <c r="B56" s="1220"/>
      <c r="C56" s="1199"/>
      <c r="D56" s="1200"/>
      <c r="E56" s="1201"/>
      <c r="F56" s="1966" t="s">
        <v>947</v>
      </c>
      <c r="G56" s="1974"/>
      <c r="H56" s="1975"/>
      <c r="I56" s="1975"/>
      <c r="J56" s="1976"/>
      <c r="K56" s="1242" t="str">
        <f t="shared" ref="K56:K58" si="3">IF(M56,IF(O56,$O$13*H56%,IF(P56,J56)),"")</f>
        <v/>
      </c>
      <c r="L56" s="1203"/>
      <c r="O56" s="1182" t="b">
        <f t="shared" si="0"/>
        <v>1</v>
      </c>
      <c r="P56" s="1182" t="b">
        <f t="shared" si="1"/>
        <v>1</v>
      </c>
    </row>
    <row r="57" spans="1:16" ht="24.9" customHeight="1">
      <c r="B57" s="1419"/>
      <c r="C57" s="1420" t="s">
        <v>223</v>
      </c>
      <c r="D57" s="1421"/>
      <c r="E57" s="1951"/>
      <c r="F57" s="1985" t="s">
        <v>948</v>
      </c>
      <c r="G57" s="1971"/>
      <c r="H57" s="1972"/>
      <c r="I57" s="1972"/>
      <c r="J57" s="1973"/>
      <c r="K57" s="1394" t="s">
        <v>919</v>
      </c>
      <c r="M57" s="1182" t="b">
        <v>1</v>
      </c>
      <c r="O57" s="1182" t="b">
        <f t="shared" si="0"/>
        <v>1</v>
      </c>
      <c r="P57" s="1182" t="b">
        <f t="shared" si="1"/>
        <v>1</v>
      </c>
    </row>
    <row r="58" spans="1:16" s="1204" customFormat="1" ht="63.75" customHeight="1">
      <c r="A58" s="1197"/>
      <c r="B58" s="1217"/>
      <c r="C58" s="1207"/>
      <c r="D58" s="1208"/>
      <c r="E58" s="1209"/>
      <c r="F58" s="1966" t="s">
        <v>949</v>
      </c>
      <c r="G58" s="1974"/>
      <c r="H58" s="1975"/>
      <c r="I58" s="1975"/>
      <c r="J58" s="1976"/>
      <c r="K58" s="1253" t="str">
        <f t="shared" si="3"/>
        <v/>
      </c>
      <c r="L58" s="1203"/>
      <c r="O58" s="1182" t="b">
        <f t="shared" si="0"/>
        <v>1</v>
      </c>
      <c r="P58" s="1182" t="b">
        <f t="shared" si="1"/>
        <v>1</v>
      </c>
    </row>
    <row r="59" spans="1:16" s="1204" customFormat="1" ht="16.5" customHeight="1">
      <c r="A59" s="1197"/>
      <c r="B59" s="1223"/>
      <c r="C59" s="1254"/>
      <c r="D59" s="1255"/>
      <c r="E59" s="1225"/>
      <c r="F59" s="1226"/>
      <c r="G59" s="1256"/>
      <c r="H59" s="1256"/>
      <c r="I59" s="1256"/>
      <c r="J59" s="1256"/>
      <c r="K59" s="174"/>
      <c r="L59" s="1203"/>
      <c r="M59" s="1937"/>
      <c r="O59" s="1182"/>
      <c r="P59" s="1182"/>
    </row>
    <row r="60" spans="1:16" s="1204" customFormat="1" ht="22.65" customHeight="1">
      <c r="A60" s="1197"/>
      <c r="B60" s="1257" t="s">
        <v>1024</v>
      </c>
      <c r="C60" s="1258"/>
      <c r="D60" s="1258"/>
      <c r="E60" s="1258"/>
      <c r="F60" s="1258"/>
      <c r="G60" s="1258"/>
      <c r="H60" s="1259"/>
      <c r="I60" s="1259"/>
      <c r="J60" s="1260"/>
      <c r="K60" s="1261"/>
      <c r="L60" s="1203"/>
    </row>
    <row r="61" spans="1:16" ht="17.399999999999999">
      <c r="B61" s="1262"/>
      <c r="C61" s="1263" t="s">
        <v>950</v>
      </c>
      <c r="D61" s="1196"/>
      <c r="E61" s="1981"/>
      <c r="F61" s="2000" t="s">
        <v>951</v>
      </c>
      <c r="G61" s="2001" t="s">
        <v>1105</v>
      </c>
      <c r="H61" s="2002"/>
      <c r="I61" s="2003"/>
      <c r="J61" s="1264"/>
      <c r="K61" s="1265">
        <f t="shared" ref="K61:K69" si="4">IF(M61,IF(O61,$O$13*H61%,IF(P61,J61)),"")</f>
        <v>0</v>
      </c>
      <c r="M61" s="1937" t="b">
        <v>1</v>
      </c>
      <c r="O61" s="1182" t="b">
        <f>AND(M61,OR(AND(G61="",J61=""),G61="v.H.-Satz"))</f>
        <v>0</v>
      </c>
      <c r="P61" s="1182" t="b">
        <f>AND(M61,OR(G61="",G61="pauschal"))</f>
        <v>1</v>
      </c>
    </row>
    <row r="62" spans="1:16" s="1204" customFormat="1" ht="107.25" customHeight="1">
      <c r="A62" s="1197"/>
      <c r="B62" s="1217"/>
      <c r="C62" s="1266"/>
      <c r="D62" s="1200"/>
      <c r="E62" s="1201"/>
      <c r="F62" s="2005"/>
      <c r="G62" s="2006"/>
      <c r="H62" s="1267"/>
      <c r="I62" s="1268"/>
      <c r="J62" s="2006"/>
      <c r="K62" s="1269" t="str">
        <f t="shared" si="4"/>
        <v/>
      </c>
      <c r="L62" s="1203"/>
    </row>
    <row r="63" spans="1:16" s="1204" customFormat="1" ht="72" customHeight="1">
      <c r="A63" s="1197"/>
      <c r="B63" s="1217"/>
      <c r="C63" s="1199"/>
      <c r="D63" s="1200"/>
      <c r="E63" s="1201"/>
      <c r="F63" s="1966" t="s">
        <v>952</v>
      </c>
      <c r="G63" s="2006"/>
      <c r="H63" s="1248"/>
      <c r="I63" s="1249"/>
      <c r="J63" s="1998"/>
      <c r="K63" s="1269"/>
      <c r="L63" s="1203"/>
    </row>
    <row r="64" spans="1:16" s="1204" customFormat="1" ht="119.25" customHeight="1">
      <c r="A64" s="1197"/>
      <c r="B64" s="1217"/>
      <c r="C64" s="1199"/>
      <c r="D64" s="1200"/>
      <c r="E64" s="1201"/>
      <c r="F64" s="1966" t="s">
        <v>953</v>
      </c>
      <c r="G64" s="2006"/>
      <c r="H64" s="1248"/>
      <c r="I64" s="1249"/>
      <c r="J64" s="1998"/>
      <c r="K64" s="1269"/>
      <c r="L64" s="1203"/>
    </row>
    <row r="65" spans="1:16" s="1204" customFormat="1" ht="69" customHeight="1">
      <c r="A65" s="1197"/>
      <c r="B65" s="1217"/>
      <c r="C65" s="1199"/>
      <c r="D65" s="1200"/>
      <c r="E65" s="1201"/>
      <c r="F65" s="1966" t="s">
        <v>954</v>
      </c>
      <c r="G65" s="2006"/>
      <c r="H65" s="1248"/>
      <c r="I65" s="1249"/>
      <c r="J65" s="2006"/>
      <c r="K65" s="1269"/>
      <c r="L65" s="1203"/>
    </row>
    <row r="66" spans="1:16" s="1204" customFormat="1" ht="147" customHeight="1">
      <c r="A66" s="1197"/>
      <c r="B66" s="1217"/>
      <c r="C66" s="1199"/>
      <c r="D66" s="1200"/>
      <c r="E66" s="1201"/>
      <c r="F66" s="1966" t="s">
        <v>955</v>
      </c>
      <c r="G66" s="2006"/>
      <c r="H66" s="1248"/>
      <c r="I66" s="1249"/>
      <c r="J66" s="1998"/>
      <c r="K66" s="1269"/>
      <c r="L66" s="1203"/>
    </row>
    <row r="67" spans="1:16" s="1204" customFormat="1" ht="52.5" customHeight="1">
      <c r="A67" s="1197"/>
      <c r="B67" s="1217"/>
      <c r="C67" s="1199"/>
      <c r="D67" s="1200"/>
      <c r="E67" s="1201"/>
      <c r="F67" s="1966" t="s">
        <v>956</v>
      </c>
      <c r="G67" s="2006"/>
      <c r="H67" s="1248"/>
      <c r="I67" s="1249"/>
      <c r="J67" s="1998"/>
      <c r="K67" s="1269"/>
      <c r="L67" s="1203"/>
    </row>
    <row r="68" spans="1:16" ht="17.399999999999999">
      <c r="B68" s="1270"/>
      <c r="C68" s="1246" t="s">
        <v>957</v>
      </c>
      <c r="D68" s="1205"/>
      <c r="E68" s="2007"/>
      <c r="F68" s="1952" t="s">
        <v>958</v>
      </c>
      <c r="G68" s="2008" t="s">
        <v>1105</v>
      </c>
      <c r="H68" s="2009"/>
      <c r="I68" s="2010"/>
      <c r="J68" s="1271"/>
      <c r="K68" s="1272">
        <f t="shared" si="4"/>
        <v>0</v>
      </c>
      <c r="M68" s="1937" t="b">
        <v>1</v>
      </c>
      <c r="O68" s="1182" t="b">
        <f>AND(M68,OR(AND(G68="",J68=""),G68="v.H.-Satz"))</f>
        <v>0</v>
      </c>
      <c r="P68" s="1182" t="b">
        <f>AND(M68,OR(G68="",G68="pauschal"))</f>
        <v>1</v>
      </c>
    </row>
    <row r="69" spans="1:16" s="1204" customFormat="1" ht="66.75" customHeight="1">
      <c r="A69" s="1197"/>
      <c r="B69" s="1217"/>
      <c r="C69" s="1207"/>
      <c r="D69" s="1208"/>
      <c r="E69" s="1209"/>
      <c r="F69" s="1947"/>
      <c r="G69" s="2012"/>
      <c r="H69" s="1273"/>
      <c r="I69" s="1274"/>
      <c r="J69" s="2013"/>
      <c r="K69" s="1275" t="str">
        <f t="shared" si="4"/>
        <v/>
      </c>
      <c r="L69" s="1203"/>
    </row>
    <row r="70" spans="1:16" ht="17.399999999999999">
      <c r="B70" s="1276"/>
      <c r="C70" s="1277" t="s">
        <v>959</v>
      </c>
      <c r="D70" s="1205"/>
      <c r="E70" s="1981"/>
      <c r="F70" s="2014" t="s">
        <v>960</v>
      </c>
      <c r="G70" s="2015" t="s">
        <v>1105</v>
      </c>
      <c r="H70" s="2010"/>
      <c r="I70" s="2016"/>
      <c r="J70" s="1271"/>
      <c r="K70" s="1278">
        <f>IF(M70,IF(O70,$O$13*H70%,IF(P70,J70)),"")</f>
        <v>0</v>
      </c>
      <c r="L70" s="1279"/>
      <c r="M70" s="1937" t="b">
        <v>1</v>
      </c>
      <c r="O70" s="1182" t="b">
        <f>AND(M70,OR(AND(G70="",J70=""),G70="v.H.-Satz"))</f>
        <v>0</v>
      </c>
      <c r="P70" s="1182" t="b">
        <f>AND(M70,OR(G70="",G70="pauschal"))</f>
        <v>1</v>
      </c>
    </row>
    <row r="71" spans="1:16" s="1204" customFormat="1" ht="42.75" customHeight="1">
      <c r="A71" s="1197"/>
      <c r="B71" s="1217"/>
      <c r="C71" s="1199"/>
      <c r="D71" s="1200"/>
      <c r="E71" s="1201"/>
      <c r="F71" s="2017"/>
      <c r="G71" s="2006"/>
      <c r="H71" s="1248"/>
      <c r="I71" s="1249"/>
      <c r="J71" s="1998"/>
      <c r="K71" s="1280"/>
      <c r="L71" s="1203"/>
    </row>
    <row r="72" spans="1:16" s="1204" customFormat="1" ht="122.25" customHeight="1">
      <c r="A72" s="1197"/>
      <c r="B72" s="1217"/>
      <c r="C72" s="1199"/>
      <c r="D72" s="1208"/>
      <c r="E72" s="1201"/>
      <c r="F72" s="1966" t="s">
        <v>961</v>
      </c>
      <c r="G72" s="2006"/>
      <c r="H72" s="1248"/>
      <c r="I72" s="1249"/>
      <c r="J72" s="1998"/>
      <c r="K72" s="1280"/>
      <c r="L72" s="1203"/>
    </row>
    <row r="73" spans="1:16" ht="17.399999999999999">
      <c r="B73" s="1270"/>
      <c r="C73" s="1246" t="s">
        <v>962</v>
      </c>
      <c r="D73" s="1196"/>
      <c r="E73" s="2007"/>
      <c r="F73" s="1952" t="s">
        <v>963</v>
      </c>
      <c r="G73" s="2008" t="s">
        <v>1105</v>
      </c>
      <c r="H73" s="2009"/>
      <c r="I73" s="2010"/>
      <c r="J73" s="1271"/>
      <c r="K73" s="1272">
        <f t="shared" ref="K73:K76" si="5">IF(M73,IF(O73,$O$13*H73%,IF(P73,J73)),"")</f>
        <v>0</v>
      </c>
      <c r="M73" s="1937" t="b">
        <v>1</v>
      </c>
      <c r="O73" s="1182" t="b">
        <f>AND(M73,OR(AND(G73="",J73=""),G73="v.H.-Satz"))</f>
        <v>0</v>
      </c>
      <c r="P73" s="1182" t="b">
        <f>AND(M73,OR(G73="",G73="pauschal"))</f>
        <v>1</v>
      </c>
    </row>
    <row r="74" spans="1:16" s="1204" customFormat="1" ht="48" customHeight="1">
      <c r="A74" s="1197"/>
      <c r="B74" s="1217"/>
      <c r="C74" s="1207"/>
      <c r="D74" s="1208"/>
      <c r="E74" s="1209"/>
      <c r="F74" s="1947"/>
      <c r="G74" s="2012"/>
      <c r="H74" s="1273"/>
      <c r="I74" s="1274"/>
      <c r="J74" s="2013"/>
      <c r="K74" s="1275" t="str">
        <f t="shared" si="5"/>
        <v/>
      </c>
      <c r="L74" s="1203"/>
    </row>
    <row r="75" spans="1:16" ht="17.399999999999999">
      <c r="B75" s="1270"/>
      <c r="C75" s="1246" t="s">
        <v>964</v>
      </c>
      <c r="D75" s="1205"/>
      <c r="E75" s="2007"/>
      <c r="F75" s="2018"/>
      <c r="G75" s="2008"/>
      <c r="H75" s="2009"/>
      <c r="I75" s="2010"/>
      <c r="J75" s="2011"/>
      <c r="K75" s="1272" t="str">
        <f t="shared" si="5"/>
        <v/>
      </c>
      <c r="M75" s="1937" t="b">
        <v>0</v>
      </c>
      <c r="O75" s="1182" t="b">
        <f>AND(M75,OR(AND(G75="",J75=""),G75="v.H.-Satz"))</f>
        <v>0</v>
      </c>
      <c r="P75" s="1182" t="b">
        <f>AND(M75,OR(G75="",G75="pauschal"))</f>
        <v>0</v>
      </c>
    </row>
    <row r="76" spans="1:16" s="1204" customFormat="1" ht="25.5" customHeight="1">
      <c r="A76" s="1197"/>
      <c r="B76" s="1217"/>
      <c r="C76" s="1207"/>
      <c r="D76" s="1208"/>
      <c r="E76" s="1209"/>
      <c r="F76" s="2019"/>
      <c r="G76" s="2012"/>
      <c r="H76" s="1273"/>
      <c r="I76" s="1274"/>
      <c r="J76" s="2013"/>
      <c r="K76" s="1275" t="str">
        <f t="shared" si="5"/>
        <v/>
      </c>
      <c r="L76" s="1203"/>
    </row>
    <row r="77" spans="1:16" ht="17.399999999999999">
      <c r="B77" s="1270"/>
      <c r="C77" s="1263" t="s">
        <v>965</v>
      </c>
      <c r="D77" s="1196"/>
      <c r="E77" s="1981"/>
      <c r="F77" s="2020"/>
      <c r="G77" s="2001"/>
      <c r="H77" s="2002"/>
      <c r="I77" s="2003"/>
      <c r="J77" s="2004"/>
      <c r="K77" s="1272" t="str">
        <f>IF(M77,IF(O77,$O$13*H77%,IF(P77,J77)),"")</f>
        <v/>
      </c>
      <c r="M77" s="1937" t="b">
        <v>0</v>
      </c>
      <c r="O77" s="1182" t="b">
        <f>AND(M77,OR(AND(G77="",J77=""),G77="v.H.-Satz"))</f>
        <v>0</v>
      </c>
      <c r="P77" s="1182" t="b">
        <f>AND(M77,OR(G77="",G77="pauschal"))</f>
        <v>0</v>
      </c>
    </row>
    <row r="78" spans="1:16" s="1204" customFormat="1" ht="16.5" customHeight="1">
      <c r="A78" s="1197"/>
      <c r="B78" s="1217"/>
      <c r="C78" s="1207"/>
      <c r="D78" s="1208"/>
      <c r="E78" s="1209"/>
      <c r="F78" s="2021"/>
      <c r="G78" s="2012"/>
      <c r="H78" s="1273"/>
      <c r="I78" s="1274"/>
      <c r="J78" s="2012"/>
      <c r="K78" s="1281"/>
      <c r="L78" s="1203"/>
    </row>
    <row r="79" spans="1:16" ht="17.399999999999999">
      <c r="B79" s="1270"/>
      <c r="C79" s="1263" t="s">
        <v>966</v>
      </c>
      <c r="D79" s="1196"/>
      <c r="E79" s="1981"/>
      <c r="F79" s="2020"/>
      <c r="G79" s="2001"/>
      <c r="H79" s="2010"/>
      <c r="I79" s="2009"/>
      <c r="J79" s="2004"/>
      <c r="K79" s="1272" t="str">
        <f>IF(M79,IF(O79,$O$13*H79%,IF(P79,J79)),"")</f>
        <v/>
      </c>
      <c r="M79" s="1937" t="b">
        <v>0</v>
      </c>
      <c r="O79" s="1182" t="b">
        <f>AND(M79,OR(AND(G79="",J79=""),G79="v.H.-Satz"))</f>
        <v>0</v>
      </c>
      <c r="P79" s="1182" t="b">
        <f>AND(M79,OR(G79="",G79="pauschal"))</f>
        <v>0</v>
      </c>
    </row>
    <row r="80" spans="1:16" s="1204" customFormat="1" ht="16.5" customHeight="1" thickBot="1">
      <c r="A80" s="1197"/>
      <c r="B80" s="1217"/>
      <c r="C80" s="1207"/>
      <c r="D80" s="1247"/>
      <c r="E80" s="1201"/>
      <c r="F80" s="2021"/>
      <c r="G80" s="2012"/>
      <c r="H80" s="1273"/>
      <c r="I80" s="1274"/>
      <c r="J80" s="1998"/>
      <c r="K80" s="1281"/>
      <c r="L80" s="1203"/>
    </row>
    <row r="81" spans="1:16" s="1204" customFormat="1" ht="22.65" customHeight="1" thickBot="1">
      <c r="A81" s="1197"/>
      <c r="B81" s="1748" t="s">
        <v>1023</v>
      </c>
      <c r="C81" s="2022"/>
      <c r="D81" s="2022"/>
      <c r="E81" s="2022"/>
      <c r="F81" s="2022"/>
      <c r="G81" s="2022"/>
      <c r="H81" s="2022"/>
      <c r="I81" s="2022"/>
      <c r="J81" s="2023"/>
      <c r="K81" s="1282">
        <f>IF(Projektgrundlagen!I25,IF(COUNT(K61:K80)&gt;0,SUM(K61:K80),""),0)</f>
        <v>0</v>
      </c>
      <c r="L81" s="1203"/>
      <c r="M81" s="1937" t="b">
        <v>0</v>
      </c>
      <c r="O81" s="1182" t="b">
        <f t="shared" ref="O81" si="6">AND(M81,OR(AND(G81="",J81=""),G81="v.H.-Satz"))</f>
        <v>0</v>
      </c>
      <c r="P81" s="1182" t="b">
        <f t="shared" ref="P81" si="7">AND(M81,OR(G81="",G81="pauschal"))</f>
        <v>0</v>
      </c>
    </row>
    <row r="82" spans="1:16" s="1204" customFormat="1" ht="16.5" customHeight="1">
      <c r="A82" s="1197"/>
      <c r="B82" s="1283"/>
      <c r="C82" s="1199"/>
      <c r="D82" s="1284"/>
      <c r="E82" s="1201"/>
      <c r="F82" s="2024"/>
      <c r="G82" s="1999"/>
      <c r="H82" s="1248"/>
      <c r="I82" s="1249"/>
      <c r="J82" s="2025"/>
      <c r="K82" s="1285"/>
      <c r="L82" s="1203"/>
    </row>
    <row r="83" spans="1:16" s="1204" customFormat="1" ht="35.1" customHeight="1">
      <c r="A83" s="1197"/>
      <c r="B83" s="1744" t="s">
        <v>967</v>
      </c>
      <c r="C83" s="2026"/>
      <c r="D83" s="2026"/>
      <c r="E83" s="2026"/>
      <c r="F83" s="2026"/>
      <c r="G83" s="2026"/>
      <c r="H83" s="2026"/>
      <c r="I83" s="2026"/>
      <c r="J83" s="2026"/>
      <c r="K83" s="2027"/>
      <c r="L83" s="1203"/>
      <c r="O83" s="1182" t="b">
        <f t="shared" si="0"/>
        <v>1</v>
      </c>
      <c r="P83" s="1182" t="b">
        <f t="shared" si="1"/>
        <v>1</v>
      </c>
    </row>
    <row r="84" spans="1:16" ht="24.9" customHeight="1">
      <c r="A84" s="1286"/>
      <c r="B84" s="1395"/>
      <c r="C84" s="1418" t="s">
        <v>33</v>
      </c>
      <c r="D84" s="1401"/>
      <c r="E84" s="2028"/>
      <c r="F84" s="2029" t="s">
        <v>968</v>
      </c>
      <c r="G84" s="1959"/>
      <c r="H84" s="1960"/>
      <c r="I84" s="1960"/>
      <c r="J84" s="1961"/>
      <c r="K84" s="1394" t="s">
        <v>919</v>
      </c>
      <c r="M84" s="1182" t="b">
        <v>1</v>
      </c>
      <c r="O84" s="1182" t="b">
        <f t="shared" si="0"/>
        <v>1</v>
      </c>
      <c r="P84" s="1182" t="b">
        <f t="shared" si="1"/>
        <v>1</v>
      </c>
    </row>
    <row r="85" spans="1:16" s="1204" customFormat="1" ht="49.5" customHeight="1">
      <c r="A85" s="1197"/>
      <c r="B85" s="1217"/>
      <c r="C85" s="1287"/>
      <c r="D85" s="1200"/>
      <c r="E85" s="1201"/>
      <c r="F85" s="2030"/>
      <c r="G85" s="1963"/>
      <c r="H85" s="1964"/>
      <c r="I85" s="1964"/>
      <c r="J85" s="1965"/>
      <c r="K85" s="1288"/>
      <c r="L85" s="1203"/>
      <c r="O85" s="1182" t="b">
        <f t="shared" si="0"/>
        <v>1</v>
      </c>
      <c r="P85" s="1182" t="b">
        <f t="shared" si="1"/>
        <v>1</v>
      </c>
    </row>
    <row r="86" spans="1:16" s="1204" customFormat="1" ht="84" customHeight="1">
      <c r="A86" s="1197"/>
      <c r="B86" s="1217"/>
      <c r="C86" s="1289"/>
      <c r="D86" s="1208"/>
      <c r="E86" s="1209"/>
      <c r="F86" s="2031" t="s">
        <v>969</v>
      </c>
      <c r="G86" s="1967"/>
      <c r="H86" s="1968"/>
      <c r="I86" s="1968"/>
      <c r="J86" s="1969"/>
      <c r="K86" s="1290"/>
      <c r="L86" s="1203"/>
      <c r="O86" s="1182"/>
      <c r="P86" s="1182"/>
    </row>
    <row r="87" spans="1:16" ht="24.9" customHeight="1">
      <c r="B87" s="1332"/>
      <c r="C87" s="1396" t="s">
        <v>32</v>
      </c>
      <c r="D87" s="1399"/>
      <c r="E87" s="1942"/>
      <c r="F87" s="1943" t="s">
        <v>970</v>
      </c>
      <c r="G87" s="1971"/>
      <c r="H87" s="1972"/>
      <c r="I87" s="1972"/>
      <c r="J87" s="1973"/>
      <c r="K87" s="1394" t="s">
        <v>919</v>
      </c>
      <c r="M87" s="1182" t="b">
        <v>1</v>
      </c>
      <c r="O87" s="1182" t="b">
        <f t="shared" si="0"/>
        <v>1</v>
      </c>
      <c r="P87" s="1182" t="b">
        <f t="shared" si="1"/>
        <v>1</v>
      </c>
    </row>
    <row r="88" spans="1:16" s="1204" customFormat="1" ht="52.5" customHeight="1">
      <c r="A88" s="1197"/>
      <c r="B88" s="1220"/>
      <c r="C88" s="1291"/>
      <c r="D88" s="1200"/>
      <c r="E88" s="1201"/>
      <c r="F88" s="2032"/>
      <c r="G88" s="1974"/>
      <c r="H88" s="1975"/>
      <c r="I88" s="1975"/>
      <c r="J88" s="1976"/>
      <c r="K88" s="1242"/>
      <c r="L88" s="1237"/>
      <c r="O88" s="1182" t="b">
        <f t="shared" si="0"/>
        <v>1</v>
      </c>
      <c r="P88" s="1182" t="b">
        <f t="shared" si="1"/>
        <v>1</v>
      </c>
    </row>
    <row r="89" spans="1:16" ht="24.9" customHeight="1">
      <c r="B89" s="1416"/>
      <c r="C89" s="1417" t="s">
        <v>31</v>
      </c>
      <c r="D89" s="1400"/>
      <c r="E89" s="1951"/>
      <c r="F89" s="1985" t="s">
        <v>971</v>
      </c>
      <c r="G89" s="1971"/>
      <c r="H89" s="1972"/>
      <c r="I89" s="1972"/>
      <c r="J89" s="1973"/>
      <c r="K89" s="1394" t="s">
        <v>919</v>
      </c>
      <c r="M89" s="1182" t="b">
        <v>0</v>
      </c>
      <c r="O89" s="1182" t="b">
        <f t="shared" si="0"/>
        <v>0</v>
      </c>
      <c r="P89" s="1182" t="b">
        <f t="shared" si="1"/>
        <v>0</v>
      </c>
    </row>
    <row r="90" spans="1:16" s="1204" customFormat="1" ht="97.5" customHeight="1">
      <c r="A90" s="1197"/>
      <c r="B90" s="1217"/>
      <c r="C90" s="1207"/>
      <c r="D90" s="1208"/>
      <c r="E90" s="1209"/>
      <c r="F90" s="1292" t="s">
        <v>972</v>
      </c>
      <c r="G90" s="1974"/>
      <c r="H90" s="1975"/>
      <c r="I90" s="1975"/>
      <c r="J90" s="1976"/>
      <c r="K90" s="1242"/>
      <c r="L90" s="1203"/>
      <c r="O90" s="1182" t="b">
        <f t="shared" si="0"/>
        <v>1</v>
      </c>
      <c r="P90" s="1182" t="b">
        <f t="shared" si="1"/>
        <v>1</v>
      </c>
    </row>
    <row r="91" spans="1:16" ht="24.9" customHeight="1">
      <c r="A91" s="1286"/>
      <c r="B91" s="1413"/>
      <c r="C91" s="1414" t="s">
        <v>226</v>
      </c>
      <c r="D91" s="1415"/>
      <c r="E91" s="1951"/>
      <c r="F91" s="1952" t="s">
        <v>973</v>
      </c>
      <c r="G91" s="1971"/>
      <c r="H91" s="1954"/>
      <c r="I91" s="1954"/>
      <c r="J91" s="1955"/>
      <c r="K91" s="1394" t="s">
        <v>919</v>
      </c>
      <c r="M91" s="1182" t="b">
        <v>1</v>
      </c>
      <c r="O91" s="1182" t="b">
        <f t="shared" si="0"/>
        <v>1</v>
      </c>
      <c r="P91" s="1182" t="b">
        <f t="shared" si="1"/>
        <v>1</v>
      </c>
    </row>
    <row r="92" spans="1:16" ht="61.5" customHeight="1">
      <c r="B92" s="1217"/>
      <c r="C92" s="1199"/>
      <c r="D92" s="1200"/>
      <c r="E92" s="1201"/>
      <c r="F92" s="2033"/>
      <c r="G92" s="1956"/>
      <c r="H92" s="1957"/>
      <c r="I92" s="1957"/>
      <c r="J92" s="1958"/>
      <c r="K92" s="1293"/>
      <c r="L92" s="1234"/>
      <c r="M92" s="1937" t="b">
        <v>0</v>
      </c>
      <c r="O92" s="1182" t="b">
        <f t="shared" si="0"/>
        <v>0</v>
      </c>
      <c r="P92" s="1182" t="b">
        <f t="shared" si="1"/>
        <v>0</v>
      </c>
    </row>
    <row r="93" spans="1:16" ht="16.5" customHeight="1">
      <c r="B93" s="1294"/>
      <c r="C93" s="1295"/>
      <c r="D93" s="1296"/>
      <c r="E93" s="1297"/>
      <c r="F93" s="2034"/>
      <c r="G93" s="1999"/>
      <c r="H93" s="1298"/>
      <c r="I93" s="1299"/>
      <c r="J93" s="2035"/>
      <c r="K93" s="1300"/>
    </row>
    <row r="94" spans="1:16" s="1204" customFormat="1" ht="22.65" customHeight="1">
      <c r="A94" s="1197"/>
      <c r="B94" s="1257" t="s">
        <v>1022</v>
      </c>
      <c r="C94" s="1258"/>
      <c r="D94" s="1258"/>
      <c r="E94" s="1258"/>
      <c r="F94" s="1258"/>
      <c r="G94" s="1258"/>
      <c r="H94" s="1259"/>
      <c r="I94" s="1259"/>
      <c r="J94" s="1260"/>
      <c r="K94" s="1261"/>
      <c r="L94" s="1203"/>
    </row>
    <row r="95" spans="1:16" ht="18" customHeight="1">
      <c r="B95" s="1409"/>
      <c r="C95" s="1410" t="s">
        <v>974</v>
      </c>
      <c r="D95" s="1401"/>
      <c r="E95" s="2028"/>
      <c r="F95" s="2029" t="s">
        <v>975</v>
      </c>
      <c r="G95" s="2036" t="s">
        <v>1105</v>
      </c>
      <c r="H95" s="2037"/>
      <c r="I95" s="2038"/>
      <c r="J95" s="1411"/>
      <c r="K95" s="1412">
        <f t="shared" ref="K95:K104" si="8">IF(M95,IF(O95,$O$13*H95%,IF(P95,J95)),"")</f>
        <v>0</v>
      </c>
      <c r="L95" s="1234"/>
      <c r="M95" s="1182" t="b">
        <v>1</v>
      </c>
      <c r="O95" s="1182" t="b">
        <f>AND(M95,OR(AND(G95="",J95=""),G95="v.H.-Satz"))</f>
        <v>0</v>
      </c>
      <c r="P95" s="1182" t="b">
        <f>AND(M95,OR(G95="",G95="pauschal"))</f>
        <v>1</v>
      </c>
    </row>
    <row r="96" spans="1:16" s="1204" customFormat="1" ht="28.5" customHeight="1">
      <c r="A96" s="1197"/>
      <c r="B96" s="1301"/>
      <c r="C96" s="1235"/>
      <c r="D96" s="1208"/>
      <c r="E96" s="1201"/>
      <c r="F96" s="2032"/>
      <c r="G96" s="2039"/>
      <c r="H96" s="1267"/>
      <c r="I96" s="1268"/>
      <c r="J96" s="2006"/>
      <c r="K96" s="1302" t="str">
        <f t="shared" si="8"/>
        <v/>
      </c>
      <c r="L96" s="1237"/>
    </row>
    <row r="97" spans="1:16" ht="17.399999999999999">
      <c r="B97" s="1405"/>
      <c r="C97" s="1406" t="s">
        <v>976</v>
      </c>
      <c r="D97" s="1399"/>
      <c r="E97" s="1951"/>
      <c r="F97" s="1952" t="s">
        <v>977</v>
      </c>
      <c r="G97" s="2040" t="s">
        <v>1105</v>
      </c>
      <c r="H97" s="2041"/>
      <c r="I97" s="2041"/>
      <c r="J97" s="1407"/>
      <c r="K97" s="1408">
        <f t="shared" si="8"/>
        <v>0</v>
      </c>
      <c r="L97" s="1234"/>
      <c r="M97" s="1182" t="b">
        <v>1</v>
      </c>
      <c r="O97" s="1182" t="b">
        <f>AND(M97,OR(AND(G97="",J97=""),G97="v.H.-Satz"))</f>
        <v>0</v>
      </c>
      <c r="P97" s="1182" t="b">
        <f>AND(M97,OR(G97="",G97="pauschal"))</f>
        <v>1</v>
      </c>
    </row>
    <row r="98" spans="1:16" s="1204" customFormat="1" ht="70.5" customHeight="1">
      <c r="A98" s="1197"/>
      <c r="B98" s="1301"/>
      <c r="C98" s="1235"/>
      <c r="D98" s="1208"/>
      <c r="E98" s="1209"/>
      <c r="F98" s="1947"/>
      <c r="G98" s="2012"/>
      <c r="H98" s="1305"/>
      <c r="I98" s="1306"/>
      <c r="J98" s="2012"/>
      <c r="K98" s="1307" t="str">
        <f t="shared" si="8"/>
        <v/>
      </c>
      <c r="L98" s="1203"/>
    </row>
    <row r="99" spans="1:16" ht="17.399999999999999">
      <c r="B99" s="1262"/>
      <c r="C99" s="1303" t="s">
        <v>978</v>
      </c>
      <c r="D99" s="1196"/>
      <c r="E99" s="1981"/>
      <c r="F99" s="2042"/>
      <c r="G99" s="2008"/>
      <c r="H99" s="2043"/>
      <c r="I99" s="2043"/>
      <c r="J99" s="2044"/>
      <c r="K99" s="1304" t="str">
        <f t="shared" si="8"/>
        <v/>
      </c>
      <c r="L99" s="1234"/>
      <c r="M99" s="1937" t="b">
        <v>0</v>
      </c>
      <c r="O99" s="1182" t="b">
        <f>AND(M99,OR(AND(G99="",J99=""),G99="v.H.-Satz"))</f>
        <v>0</v>
      </c>
      <c r="P99" s="1182" t="b">
        <f>AND(M99,OR(G99="",G99="pauschal"))</f>
        <v>0</v>
      </c>
    </row>
    <row r="100" spans="1:16" s="1204" customFormat="1" ht="16.5" customHeight="1">
      <c r="A100" s="1197"/>
      <c r="B100" s="1301"/>
      <c r="C100" s="1266"/>
      <c r="D100" s="1200"/>
      <c r="E100" s="1201"/>
      <c r="F100" s="2045"/>
      <c r="G100" s="2006"/>
      <c r="H100" s="1267"/>
      <c r="I100" s="1268"/>
      <c r="J100" s="2006"/>
      <c r="K100" s="1308" t="str">
        <f t="shared" si="8"/>
        <v/>
      </c>
      <c r="L100" s="1203"/>
    </row>
    <row r="101" spans="1:16" ht="17.399999999999999">
      <c r="B101" s="1262"/>
      <c r="C101" s="1277" t="s">
        <v>979</v>
      </c>
      <c r="D101" s="1205"/>
      <c r="E101" s="2007"/>
      <c r="F101" s="2046"/>
      <c r="G101" s="2008"/>
      <c r="H101" s="2047"/>
      <c r="I101" s="2047"/>
      <c r="J101" s="2048"/>
      <c r="K101" s="1309" t="str">
        <f t="shared" si="8"/>
        <v/>
      </c>
      <c r="L101" s="1234"/>
      <c r="M101" s="1937" t="b">
        <v>0</v>
      </c>
      <c r="O101" s="1182" t="b">
        <f>AND(M101,OR(AND(G101="",J101=""),G101="v.H.-Satz"))</f>
        <v>0</v>
      </c>
      <c r="P101" s="1182" t="b">
        <f>AND(M101,OR(G101="",G101="pauschal"))</f>
        <v>0</v>
      </c>
    </row>
    <row r="102" spans="1:16" s="1204" customFormat="1" ht="16.5" customHeight="1">
      <c r="A102" s="1197"/>
      <c r="B102" s="1301"/>
      <c r="C102" s="1235"/>
      <c r="D102" s="1208"/>
      <c r="E102" s="1209"/>
      <c r="F102" s="2049"/>
      <c r="G102" s="2012"/>
      <c r="H102" s="1305"/>
      <c r="I102" s="1306"/>
      <c r="J102" s="2012"/>
      <c r="K102" s="1307" t="str">
        <f t="shared" si="8"/>
        <v/>
      </c>
      <c r="L102" s="1203"/>
    </row>
    <row r="103" spans="1:16" ht="17.399999999999999">
      <c r="B103" s="1262"/>
      <c r="C103" s="1303" t="s">
        <v>980</v>
      </c>
      <c r="D103" s="1196"/>
      <c r="E103" s="1981"/>
      <c r="F103" s="2050"/>
      <c r="G103" s="2001"/>
      <c r="H103" s="2043"/>
      <c r="I103" s="2043"/>
      <c r="J103" s="2044"/>
      <c r="K103" s="1304" t="str">
        <f t="shared" si="8"/>
        <v/>
      </c>
      <c r="L103" s="1234"/>
      <c r="M103" s="1937" t="b">
        <v>0</v>
      </c>
      <c r="O103" s="1182" t="b">
        <f>AND(M103,OR(AND(G103="",J103=""),G103="v.H.-Satz"))</f>
        <v>0</v>
      </c>
      <c r="P103" s="1182" t="b">
        <f>AND(M103,OR(G103="",G103="pauschal"))</f>
        <v>0</v>
      </c>
    </row>
    <row r="104" spans="1:16" s="1204" customFormat="1" ht="16.5" customHeight="1" thickBot="1">
      <c r="A104" s="1197"/>
      <c r="B104" s="1217"/>
      <c r="C104" s="1266"/>
      <c r="D104" s="1200"/>
      <c r="E104" s="1201"/>
      <c r="F104" s="2051"/>
      <c r="G104" s="2006"/>
      <c r="H104" s="1267"/>
      <c r="I104" s="1268"/>
      <c r="J104" s="2006"/>
      <c r="K104" s="1308" t="str">
        <f t="shared" si="8"/>
        <v/>
      </c>
      <c r="L104" s="1203"/>
    </row>
    <row r="105" spans="1:16" s="1204" customFormat="1" ht="22.65" customHeight="1" thickBot="1">
      <c r="A105" s="1197"/>
      <c r="B105" s="1748" t="s">
        <v>1021</v>
      </c>
      <c r="C105" s="2022"/>
      <c r="D105" s="2022"/>
      <c r="E105" s="2022"/>
      <c r="F105" s="2022"/>
      <c r="G105" s="2022"/>
      <c r="H105" s="2022"/>
      <c r="I105" s="2022"/>
      <c r="J105" s="2023"/>
      <c r="K105" s="1282">
        <f>IF(Projektgrundlagen!I25,IF(COUNT(K95:K104)&gt;0,SUM(K95:K104),""),0)</f>
        <v>0</v>
      </c>
      <c r="L105" s="1203"/>
      <c r="O105" s="1182" t="b">
        <f t="shared" ref="O105" si="9">AND(M105,OR(AND(G105="",J105=""),G105="v.H.-Satz"))</f>
        <v>1</v>
      </c>
      <c r="P105" s="1182" t="b">
        <f t="shared" ref="P105" si="10">AND(M105,OR(G105="",G105="pauschal"))</f>
        <v>1</v>
      </c>
    </row>
    <row r="106" spans="1:16" s="1319" customFormat="1" ht="16.5" customHeight="1">
      <c r="A106" s="1310"/>
      <c r="B106" s="1311"/>
      <c r="C106" s="1312"/>
      <c r="D106" s="1313"/>
      <c r="E106" s="1314"/>
      <c r="F106" s="2052"/>
      <c r="G106" s="2053"/>
      <c r="H106" s="1315"/>
      <c r="I106" s="1316"/>
      <c r="J106" s="2053"/>
      <c r="K106" s="1317"/>
      <c r="L106" s="1318"/>
    </row>
    <row r="107" spans="1:16" s="1231" customFormat="1" ht="35.1" customHeight="1">
      <c r="A107" s="1229"/>
      <c r="B107" s="1751" t="s">
        <v>981</v>
      </c>
      <c r="C107" s="2054"/>
      <c r="D107" s="2054"/>
      <c r="E107" s="2054"/>
      <c r="F107" s="2054"/>
      <c r="G107" s="2054"/>
      <c r="H107" s="2054"/>
      <c r="I107" s="2054"/>
      <c r="J107" s="2054"/>
      <c r="K107" s="2055"/>
      <c r="L107" s="1230"/>
      <c r="O107" s="1194" t="b">
        <f t="shared" ref="O107:O121" si="11">AND(M107,OR(AND(G107="",J107=""),G107="v.H.-Satz"))</f>
        <v>1</v>
      </c>
      <c r="P107" s="1194" t="b">
        <f t="shared" ref="P107:P121" si="12">AND(M107,OR(G107="",G107="pauschal"))</f>
        <v>1</v>
      </c>
    </row>
    <row r="108" spans="1:16" ht="24.9" customHeight="1">
      <c r="B108" s="1752" t="s">
        <v>982</v>
      </c>
      <c r="C108" s="1753"/>
      <c r="D108" s="1401"/>
      <c r="E108" s="2028"/>
      <c r="F108" s="2056" t="s">
        <v>983</v>
      </c>
      <c r="G108" s="1959"/>
      <c r="H108" s="1960"/>
      <c r="I108" s="1960"/>
      <c r="J108" s="1961"/>
      <c r="K108" s="1394" t="s">
        <v>919</v>
      </c>
      <c r="M108" s="1182" t="b">
        <v>0</v>
      </c>
      <c r="O108" s="1182" t="b">
        <f t="shared" si="11"/>
        <v>0</v>
      </c>
      <c r="P108" s="1182" t="b">
        <f t="shared" si="12"/>
        <v>0</v>
      </c>
    </row>
    <row r="109" spans="1:16" s="1204" customFormat="1" ht="96" customHeight="1">
      <c r="A109" s="1197"/>
      <c r="B109" s="1220"/>
      <c r="C109" s="1199"/>
      <c r="D109" s="1200"/>
      <c r="E109" s="1201"/>
      <c r="F109" s="2031" t="s">
        <v>984</v>
      </c>
      <c r="G109" s="1974"/>
      <c r="H109" s="1975"/>
      <c r="I109" s="1975"/>
      <c r="J109" s="1976"/>
      <c r="K109" s="1202"/>
      <c r="L109" s="1203"/>
      <c r="M109" s="1937" t="b">
        <v>0</v>
      </c>
      <c r="O109" s="1182" t="b">
        <f t="shared" si="11"/>
        <v>0</v>
      </c>
      <c r="P109" s="1182" t="b">
        <f t="shared" si="12"/>
        <v>0</v>
      </c>
    </row>
    <row r="110" spans="1:16" ht="24.9" customHeight="1">
      <c r="B110" s="1749" t="s">
        <v>985</v>
      </c>
      <c r="C110" s="1750"/>
      <c r="D110" s="1400"/>
      <c r="E110" s="1951"/>
      <c r="F110" s="2057" t="s">
        <v>986</v>
      </c>
      <c r="G110" s="1971"/>
      <c r="H110" s="1972"/>
      <c r="I110" s="1972"/>
      <c r="J110" s="1973"/>
      <c r="K110" s="1394" t="s">
        <v>919</v>
      </c>
      <c r="M110" s="1182" t="b">
        <v>0</v>
      </c>
      <c r="O110" s="1182" t="b">
        <f t="shared" si="11"/>
        <v>0</v>
      </c>
      <c r="P110" s="1182" t="b">
        <f t="shared" si="12"/>
        <v>0</v>
      </c>
    </row>
    <row r="111" spans="1:16" ht="66">
      <c r="B111" s="1220"/>
      <c r="C111" s="1207"/>
      <c r="D111" s="1208"/>
      <c r="E111" s="1209"/>
      <c r="F111" s="2031" t="s">
        <v>987</v>
      </c>
      <c r="G111" s="1974"/>
      <c r="H111" s="1975"/>
      <c r="I111" s="1975"/>
      <c r="J111" s="1976"/>
      <c r="K111" s="1221"/>
      <c r="M111" s="1937" t="b">
        <v>0</v>
      </c>
      <c r="O111" s="1182" t="b">
        <f t="shared" si="11"/>
        <v>0</v>
      </c>
      <c r="P111" s="1182" t="b">
        <f t="shared" si="12"/>
        <v>0</v>
      </c>
    </row>
    <row r="112" spans="1:16" ht="24.9" customHeight="1">
      <c r="B112" s="1749" t="s">
        <v>988</v>
      </c>
      <c r="C112" s="1750"/>
      <c r="D112" s="1399"/>
      <c r="E112" s="1942"/>
      <c r="F112" s="1985" t="s">
        <v>989</v>
      </c>
      <c r="G112" s="1971"/>
      <c r="H112" s="1972"/>
      <c r="I112" s="1972"/>
      <c r="J112" s="1973"/>
      <c r="K112" s="1394" t="s">
        <v>919</v>
      </c>
      <c r="M112" s="1182" t="b">
        <v>1</v>
      </c>
      <c r="O112" s="1182" t="b">
        <f t="shared" si="11"/>
        <v>1</v>
      </c>
      <c r="P112" s="1182" t="b">
        <f t="shared" si="12"/>
        <v>1</v>
      </c>
    </row>
    <row r="113" spans="1:16" ht="62.25" customHeight="1">
      <c r="B113" s="1217"/>
      <c r="C113" s="1320"/>
      <c r="D113" s="1247"/>
      <c r="E113" s="1201"/>
      <c r="F113" s="2031" t="s">
        <v>990</v>
      </c>
      <c r="G113" s="2058"/>
      <c r="H113" s="2059"/>
      <c r="I113" s="2059"/>
      <c r="J113" s="2060"/>
      <c r="K113" s="1210"/>
      <c r="M113" s="1937" t="b">
        <v>1</v>
      </c>
      <c r="O113" s="1182" t="b">
        <f t="shared" si="11"/>
        <v>1</v>
      </c>
      <c r="P113" s="1182" t="b">
        <f t="shared" si="12"/>
        <v>1</v>
      </c>
    </row>
    <row r="114" spans="1:16" ht="16.8">
      <c r="B114" s="1223"/>
      <c r="C114" s="1321"/>
      <c r="D114" s="1322"/>
      <c r="E114" s="1225"/>
      <c r="F114" s="1226"/>
      <c r="G114" s="1323"/>
      <c r="H114" s="1324"/>
      <c r="I114" s="1324"/>
      <c r="J114" s="1325"/>
      <c r="K114" s="174"/>
      <c r="M114" s="1937" t="b">
        <v>0</v>
      </c>
      <c r="O114" s="1182" t="b">
        <f t="shared" si="11"/>
        <v>0</v>
      </c>
      <c r="P114" s="1182" t="b">
        <f t="shared" si="12"/>
        <v>0</v>
      </c>
    </row>
    <row r="115" spans="1:16" s="1194" customFormat="1" ht="35.1" customHeight="1">
      <c r="A115" s="1192"/>
      <c r="B115" s="1751" t="s">
        <v>991</v>
      </c>
      <c r="C115" s="2054"/>
      <c r="D115" s="2054"/>
      <c r="E115" s="2054"/>
      <c r="F115" s="2054"/>
      <c r="G115" s="2054"/>
      <c r="H115" s="2054"/>
      <c r="I115" s="2054"/>
      <c r="J115" s="2054"/>
      <c r="K115" s="2055"/>
      <c r="L115" s="1193"/>
      <c r="M115" s="1194" t="b">
        <v>1</v>
      </c>
      <c r="O115" s="1194" t="b">
        <f t="shared" si="11"/>
        <v>1</v>
      </c>
      <c r="P115" s="1194" t="b">
        <f t="shared" si="12"/>
        <v>1</v>
      </c>
    </row>
    <row r="116" spans="1:16" ht="24.9" customHeight="1">
      <c r="B116" s="1402"/>
      <c r="C116" s="1403" t="s">
        <v>26</v>
      </c>
      <c r="D116" s="1404"/>
      <c r="E116" s="1942"/>
      <c r="F116" s="2029" t="s">
        <v>992</v>
      </c>
      <c r="G116" s="1959"/>
      <c r="H116" s="1960"/>
      <c r="I116" s="1960"/>
      <c r="J116" s="1961"/>
      <c r="K116" s="1394" t="s">
        <v>993</v>
      </c>
      <c r="M116" s="1182" t="b">
        <v>1</v>
      </c>
      <c r="O116" s="1182" t="b">
        <f t="shared" si="11"/>
        <v>1</v>
      </c>
      <c r="P116" s="1182" t="b">
        <f t="shared" si="12"/>
        <v>1</v>
      </c>
    </row>
    <row r="117" spans="1:16" s="1204" customFormat="1" ht="158.25" customHeight="1">
      <c r="A117" s="1197"/>
      <c r="B117" s="1326"/>
      <c r="C117" s="1207"/>
      <c r="D117" s="1208"/>
      <c r="E117" s="1209"/>
      <c r="F117" s="2032"/>
      <c r="G117" s="1974"/>
      <c r="H117" s="1975"/>
      <c r="I117" s="1975"/>
      <c r="J117" s="1976"/>
      <c r="K117" s="1221"/>
      <c r="L117" s="1203"/>
      <c r="M117" s="1937" t="b">
        <v>1</v>
      </c>
      <c r="N117" s="1182"/>
      <c r="O117" s="1182" t="b">
        <f t="shared" si="11"/>
        <v>1</v>
      </c>
      <c r="P117" s="1182" t="b">
        <f t="shared" si="12"/>
        <v>1</v>
      </c>
    </row>
    <row r="118" spans="1:16" ht="24.9" customHeight="1">
      <c r="A118" s="1286"/>
      <c r="B118" s="1395"/>
      <c r="C118" s="1403" t="s">
        <v>47</v>
      </c>
      <c r="D118" s="1399" t="s">
        <v>74</v>
      </c>
      <c r="E118" s="1942"/>
      <c r="F118" s="1952" t="s">
        <v>994</v>
      </c>
      <c r="G118" s="2061"/>
      <c r="H118" s="1954"/>
      <c r="I118" s="1954"/>
      <c r="J118" s="1955"/>
      <c r="K118" s="1394" t="s">
        <v>919</v>
      </c>
      <c r="M118" s="1182" t="b">
        <v>0</v>
      </c>
      <c r="O118" s="1182" t="b">
        <f t="shared" si="11"/>
        <v>0</v>
      </c>
      <c r="P118" s="1182" t="b">
        <f t="shared" si="12"/>
        <v>0</v>
      </c>
    </row>
    <row r="119" spans="1:16" ht="30" customHeight="1">
      <c r="B119" s="1327"/>
      <c r="C119" s="1328"/>
      <c r="D119" s="1329"/>
      <c r="E119" s="1330"/>
      <c r="F119" s="2032"/>
      <c r="G119" s="2062"/>
      <c r="H119" s="2063"/>
      <c r="I119" s="2063"/>
      <c r="J119" s="2064"/>
      <c r="K119" s="1331"/>
      <c r="M119" s="1937" t="b">
        <v>1</v>
      </c>
      <c r="O119" s="1182" t="b">
        <f t="shared" si="11"/>
        <v>1</v>
      </c>
      <c r="P119" s="1182" t="b">
        <f t="shared" si="12"/>
        <v>1</v>
      </c>
    </row>
    <row r="120" spans="1:16" ht="24.9" customHeight="1">
      <c r="B120" s="1332"/>
      <c r="C120" s="1403" t="s">
        <v>25</v>
      </c>
      <c r="D120" s="1400"/>
      <c r="E120" s="1942"/>
      <c r="F120" s="1952" t="s">
        <v>995</v>
      </c>
      <c r="G120" s="2061"/>
      <c r="H120" s="1954"/>
      <c r="I120" s="1954"/>
      <c r="J120" s="1955"/>
      <c r="K120" s="1394" t="s">
        <v>919</v>
      </c>
      <c r="M120" s="1182" t="b">
        <v>1</v>
      </c>
      <c r="O120" s="1182" t="b">
        <f t="shared" si="11"/>
        <v>1</v>
      </c>
      <c r="P120" s="1182" t="b">
        <f t="shared" si="12"/>
        <v>1</v>
      </c>
    </row>
    <row r="121" spans="1:16" ht="42.75" customHeight="1">
      <c r="B121" s="1217"/>
      <c r="C121" s="1266"/>
      <c r="D121" s="1200"/>
      <c r="E121" s="1201"/>
      <c r="F121" s="2030"/>
      <c r="G121" s="2062"/>
      <c r="H121" s="2063"/>
      <c r="I121" s="2063"/>
      <c r="J121" s="2064"/>
      <c r="K121" s="1218"/>
      <c r="M121" s="1937" t="b">
        <v>1</v>
      </c>
      <c r="O121" s="1182" t="b">
        <f t="shared" si="11"/>
        <v>1</v>
      </c>
      <c r="P121" s="1182" t="b">
        <f t="shared" si="12"/>
        <v>1</v>
      </c>
    </row>
    <row r="122" spans="1:16" ht="99" customHeight="1">
      <c r="B122" s="1217"/>
      <c r="C122" s="1199"/>
      <c r="D122" s="1200"/>
      <c r="E122" s="1201"/>
      <c r="F122" s="2065" t="s">
        <v>996</v>
      </c>
      <c r="G122" s="2062"/>
      <c r="H122" s="2063"/>
      <c r="I122" s="2063"/>
      <c r="J122" s="2064"/>
      <c r="K122" s="1219"/>
    </row>
    <row r="123" spans="1:16" ht="87.75" customHeight="1">
      <c r="B123" s="1220"/>
      <c r="C123" s="1235"/>
      <c r="D123" s="1200"/>
      <c r="E123" s="1209"/>
      <c r="F123" s="2031" t="s">
        <v>997</v>
      </c>
      <c r="G123" s="1948"/>
      <c r="H123" s="1949"/>
      <c r="I123" s="1949"/>
      <c r="J123" s="1950"/>
      <c r="K123" s="1202"/>
    </row>
    <row r="124" spans="1:16" ht="24.9" customHeight="1">
      <c r="A124" s="1286"/>
      <c r="B124" s="1395"/>
      <c r="C124" s="1396" t="s">
        <v>24</v>
      </c>
      <c r="D124" s="1397"/>
      <c r="E124" s="1398"/>
      <c r="F124" s="1985" t="s">
        <v>998</v>
      </c>
      <c r="G124" s="2066"/>
      <c r="H124" s="2067"/>
      <c r="I124" s="2067"/>
      <c r="J124" s="2068"/>
      <c r="K124" s="1394" t="s">
        <v>919</v>
      </c>
      <c r="M124" s="1182"/>
    </row>
    <row r="125" spans="1:16" ht="135.75" customHeight="1">
      <c r="A125" s="1286"/>
      <c r="B125" s="1334"/>
      <c r="C125" s="1232"/>
      <c r="D125" s="1200"/>
      <c r="E125" s="1201"/>
      <c r="F125" s="2065" t="s">
        <v>999</v>
      </c>
      <c r="G125" s="2069"/>
      <c r="H125" s="2070"/>
      <c r="I125" s="2070"/>
      <c r="J125" s="2071"/>
      <c r="K125" s="1222"/>
    </row>
    <row r="126" spans="1:16" ht="49.5" customHeight="1">
      <c r="A126" s="1286"/>
      <c r="B126" s="1334"/>
      <c r="C126" s="1232"/>
      <c r="D126" s="1200"/>
      <c r="E126" s="1201"/>
      <c r="F126" s="2065" t="s">
        <v>1000</v>
      </c>
      <c r="G126" s="2069"/>
      <c r="H126" s="2070"/>
      <c r="I126" s="2070"/>
      <c r="J126" s="2071"/>
      <c r="K126" s="1222"/>
    </row>
    <row r="127" spans="1:16" ht="104.25" customHeight="1">
      <c r="A127" s="1286"/>
      <c r="B127" s="1335"/>
      <c r="C127" s="1336"/>
      <c r="D127" s="1200"/>
      <c r="E127" s="1201"/>
      <c r="F127" s="2065" t="s">
        <v>1001</v>
      </c>
      <c r="G127" s="2069"/>
      <c r="H127" s="2070"/>
      <c r="I127" s="2070"/>
      <c r="J127" s="2071"/>
      <c r="K127" s="1218"/>
    </row>
    <row r="128" spans="1:16" ht="44.25" customHeight="1">
      <c r="A128" s="1286"/>
      <c r="B128" s="1337"/>
      <c r="C128" s="1232"/>
      <c r="D128" s="1200"/>
      <c r="E128" s="1201"/>
      <c r="F128" s="2031" t="s">
        <v>1002</v>
      </c>
      <c r="G128" s="2072"/>
      <c r="H128" s="2073"/>
      <c r="I128" s="2073"/>
      <c r="J128" s="2074"/>
      <c r="K128" s="1202"/>
    </row>
    <row r="129" spans="1:16" ht="24.9" customHeight="1">
      <c r="B129" s="1332"/>
      <c r="C129" s="1393" t="s">
        <v>46</v>
      </c>
      <c r="D129" s="1333"/>
      <c r="E129" s="1338"/>
      <c r="F129" s="1985" t="s">
        <v>1003</v>
      </c>
      <c r="G129" s="2075"/>
      <c r="H129" s="2076"/>
      <c r="I129" s="2077"/>
      <c r="J129" s="2078"/>
      <c r="K129" s="1394" t="s">
        <v>919</v>
      </c>
    </row>
    <row r="130" spans="1:16" ht="54" customHeight="1">
      <c r="B130" s="1339"/>
      <c r="C130" s="1340"/>
      <c r="D130" s="1247"/>
      <c r="E130" s="1201"/>
      <c r="F130" s="2079" t="s">
        <v>1004</v>
      </c>
      <c r="G130" s="2080"/>
      <c r="H130" s="2077"/>
      <c r="I130" s="2081"/>
      <c r="J130" s="2082"/>
      <c r="K130" s="1210"/>
    </row>
    <row r="131" spans="1:16" ht="16.5" customHeight="1">
      <c r="C131" s="1341"/>
      <c r="D131" s="1284"/>
      <c r="E131" s="1342"/>
      <c r="F131" s="2083"/>
      <c r="G131" s="2084"/>
      <c r="H131" s="2085"/>
      <c r="I131" s="2084"/>
      <c r="J131" s="2084"/>
      <c r="K131" s="1285"/>
    </row>
    <row r="132" spans="1:16" ht="22.65" customHeight="1">
      <c r="B132" s="1257" t="s">
        <v>1020</v>
      </c>
      <c r="C132" s="1343"/>
      <c r="D132" s="1344"/>
      <c r="E132" s="1345"/>
      <c r="F132" s="2086"/>
      <c r="G132" s="2087"/>
      <c r="H132" s="2087"/>
      <c r="I132" s="2087"/>
      <c r="J132" s="2087"/>
      <c r="K132" s="1346"/>
    </row>
    <row r="133" spans="1:16" ht="17.399999999999999">
      <c r="B133" s="1347"/>
      <c r="C133" s="1348" t="s">
        <v>1005</v>
      </c>
      <c r="D133" s="1196"/>
      <c r="E133" s="1981"/>
      <c r="F133" s="2088" t="s">
        <v>1006</v>
      </c>
      <c r="G133" s="2001"/>
      <c r="H133" s="2043"/>
      <c r="I133" s="2043"/>
      <c r="J133" s="2044"/>
      <c r="K133" s="1349" t="str">
        <f>IF(M133,IF(O133,$O$13*H133%,IF(P133,J133)),"")</f>
        <v/>
      </c>
      <c r="M133" s="1937" t="b">
        <v>0</v>
      </c>
      <c r="O133" s="1182" t="b">
        <f t="shared" ref="O133:O138" si="13">AND(M133,OR(AND(G133="",J133=""),G133="v.H.-Satz"))</f>
        <v>0</v>
      </c>
      <c r="P133" s="1182" t="b">
        <f>AND(M133,OR(G133="",G133="pauschal"))</f>
        <v>0</v>
      </c>
    </row>
    <row r="134" spans="1:16" s="1204" customFormat="1" ht="38.25" customHeight="1">
      <c r="A134" s="1197"/>
      <c r="B134" s="1350"/>
      <c r="C134" s="1207"/>
      <c r="D134" s="1208"/>
      <c r="E134" s="1209"/>
      <c r="F134" s="2089"/>
      <c r="G134" s="2039"/>
      <c r="H134" s="1273"/>
      <c r="I134" s="1274"/>
      <c r="J134" s="2012"/>
      <c r="K134" s="446"/>
      <c r="L134" s="1203"/>
      <c r="M134" s="1937" t="b">
        <v>1</v>
      </c>
      <c r="N134" s="1182"/>
      <c r="O134" s="1182" t="b">
        <f t="shared" si="13"/>
        <v>1</v>
      </c>
      <c r="P134" s="1182" t="b">
        <f>AND(M134,OR(G134="",G134="pauschal"))</f>
        <v>1</v>
      </c>
    </row>
    <row r="135" spans="1:16" ht="17.399999999999999">
      <c r="B135" s="1347"/>
      <c r="C135" s="1392" t="s">
        <v>1007</v>
      </c>
      <c r="D135" s="1196"/>
      <c r="E135" s="1981"/>
      <c r="F135" s="2090"/>
      <c r="G135" s="2001"/>
      <c r="H135" s="2043"/>
      <c r="I135" s="2043"/>
      <c r="J135" s="2044"/>
      <c r="K135" s="1349" t="str">
        <f>IF(M135,IF(O135,$O$13*H135%,IF(P135,J135)),"")</f>
        <v/>
      </c>
      <c r="M135" s="1937" t="b">
        <v>0</v>
      </c>
      <c r="O135" s="1182" t="b">
        <f t="shared" si="13"/>
        <v>0</v>
      </c>
      <c r="P135" s="1182" t="b">
        <f t="shared" ref="P135:P138" si="14">AND(M135,OR(G135="",G135="pauschal"))</f>
        <v>0</v>
      </c>
    </row>
    <row r="136" spans="1:16" s="1204" customFormat="1" ht="24.9" customHeight="1">
      <c r="A136" s="1197"/>
      <c r="B136" s="1350"/>
      <c r="C136" s="1207"/>
      <c r="D136" s="1208"/>
      <c r="E136" s="1209"/>
      <c r="F136" s="2091"/>
      <c r="G136" s="2012"/>
      <c r="H136" s="1273"/>
      <c r="I136" s="1274"/>
      <c r="J136" s="2012"/>
      <c r="K136" s="446"/>
      <c r="L136" s="1203"/>
      <c r="M136" s="1937" t="b">
        <v>1</v>
      </c>
      <c r="N136" s="1182"/>
      <c r="O136" s="1182" t="b">
        <f t="shared" si="13"/>
        <v>1</v>
      </c>
      <c r="P136" s="1182" t="b">
        <f t="shared" si="14"/>
        <v>1</v>
      </c>
    </row>
    <row r="137" spans="1:16" ht="17.399999999999999">
      <c r="B137" s="1347"/>
      <c r="C137" s="1392" t="s">
        <v>1008</v>
      </c>
      <c r="D137" s="1196"/>
      <c r="E137" s="1981"/>
      <c r="F137" s="2092"/>
      <c r="G137" s="2001"/>
      <c r="H137" s="2043"/>
      <c r="I137" s="2043"/>
      <c r="J137" s="2044"/>
      <c r="K137" s="1349" t="str">
        <f>IF(M137,IF(O137,$O$13*H137%,IF(P137,J137)),"")</f>
        <v/>
      </c>
      <c r="M137" s="1937" t="b">
        <v>0</v>
      </c>
      <c r="O137" s="1182" t="b">
        <f t="shared" si="13"/>
        <v>0</v>
      </c>
      <c r="P137" s="1182" t="b">
        <f t="shared" si="14"/>
        <v>0</v>
      </c>
    </row>
    <row r="138" spans="1:16" s="1204" customFormat="1" ht="24.9" customHeight="1" thickBot="1">
      <c r="A138" s="1197"/>
      <c r="B138" s="1350"/>
      <c r="C138" s="1207"/>
      <c r="D138" s="1208"/>
      <c r="E138" s="1209"/>
      <c r="F138" s="2091"/>
      <c r="G138" s="2012"/>
      <c r="H138" s="1273"/>
      <c r="I138" s="1274"/>
      <c r="J138" s="2012"/>
      <c r="K138" s="446"/>
      <c r="L138" s="1203"/>
      <c r="M138" s="1937" t="b">
        <v>1</v>
      </c>
      <c r="N138" s="1182"/>
      <c r="O138" s="1182" t="b">
        <f t="shared" si="13"/>
        <v>1</v>
      </c>
      <c r="P138" s="1182" t="b">
        <f t="shared" si="14"/>
        <v>1</v>
      </c>
    </row>
    <row r="139" spans="1:16" ht="22.65" customHeight="1" thickBot="1">
      <c r="B139" s="1748" t="s">
        <v>1019</v>
      </c>
      <c r="C139" s="2093"/>
      <c r="D139" s="2093"/>
      <c r="E139" s="2093"/>
      <c r="F139" s="2093"/>
      <c r="G139" s="2093"/>
      <c r="H139" s="2093"/>
      <c r="I139" s="2093"/>
      <c r="J139" s="2094"/>
      <c r="K139" s="1282" t="str">
        <f>IF(Projektgrundlagen!I25,IF(COUNT(K133:K138)&gt;0,SUM(K133:K138),""),0)</f>
        <v/>
      </c>
      <c r="M139" s="1937" t="b">
        <v>0</v>
      </c>
      <c r="O139" s="1182" t="b">
        <f>AND(M139,OR(AND(B139="",J139=""),B139="v.H.-Satz"))</f>
        <v>0</v>
      </c>
      <c r="P139" s="1182" t="b">
        <f>AND(M139,OR(B139="",B139="pauschal"))</f>
        <v>0</v>
      </c>
    </row>
    <row r="140" spans="1:16" ht="16.8">
      <c r="B140" s="1211"/>
      <c r="C140" s="1187"/>
      <c r="D140" s="1188"/>
      <c r="E140" s="1188"/>
      <c r="F140" s="1189"/>
      <c r="G140" s="1190"/>
      <c r="H140" s="1189"/>
      <c r="I140" s="1189"/>
      <c r="J140" s="1191"/>
      <c r="K140" s="174"/>
      <c r="M140" s="1937" t="b">
        <v>1</v>
      </c>
      <c r="O140" s="1182" t="b">
        <f t="shared" ref="O140" si="15">AND(M140,OR(AND(G140="",J140=""),G140="v.H.-Satz"))</f>
        <v>1</v>
      </c>
      <c r="P140" s="1182" t="b">
        <f t="shared" ref="P140" si="16">AND(M140,OR(G140="",G140="pauschal"))</f>
        <v>1</v>
      </c>
    </row>
    <row r="141" spans="1:16" s="1181" customFormat="1" ht="22.65" customHeight="1">
      <c r="A141" s="1178"/>
      <c r="B141" s="1257" t="s">
        <v>1018</v>
      </c>
      <c r="C141" s="1351"/>
      <c r="D141" s="1351"/>
      <c r="E141" s="1351"/>
      <c r="F141" s="1351"/>
      <c r="G141" s="1351"/>
      <c r="H141" s="1351"/>
      <c r="I141" s="1351"/>
      <c r="J141" s="1351"/>
      <c r="K141" s="1352"/>
      <c r="M141" s="1937"/>
      <c r="N141" s="1182"/>
      <c r="O141" s="1182"/>
      <c r="P141" s="1182"/>
    </row>
    <row r="142" spans="1:16" s="1181" customFormat="1" ht="16.8">
      <c r="A142" s="1178"/>
      <c r="B142" s="1353"/>
      <c r="C142" s="1354"/>
      <c r="D142" s="1355"/>
      <c r="E142" s="1355"/>
      <c r="F142" s="1428" t="s">
        <v>1009</v>
      </c>
      <c r="G142" s="1354"/>
      <c r="H142" s="1355"/>
      <c r="I142" s="1355"/>
      <c r="J142" s="1355"/>
      <c r="K142" s="1356">
        <f>IF(Projektgrundlagen!I25,IF(COUNT(K81, K105)&gt;0,SUM(K81,K105),""),0)</f>
        <v>0</v>
      </c>
      <c r="M142" s="1937"/>
      <c r="N142" s="1182"/>
      <c r="O142" s="1182"/>
      <c r="P142" s="1182"/>
    </row>
    <row r="143" spans="1:16" s="1181" customFormat="1" ht="17.399999999999999" thickBot="1">
      <c r="A143" s="1178"/>
      <c r="B143" s="1357"/>
      <c r="C143" s="1358"/>
      <c r="D143" s="1359"/>
      <c r="E143" s="1359"/>
      <c r="F143" s="1429" t="s">
        <v>1010</v>
      </c>
      <c r="G143" s="1358"/>
      <c r="H143" s="1359"/>
      <c r="I143" s="1359"/>
      <c r="J143" s="1359"/>
      <c r="K143" s="1360" t="str">
        <f>IF(Projektgrundlagen!I25,IF(COUNT(K139)&gt;0,SUM(K139),""),0)</f>
        <v/>
      </c>
      <c r="M143" s="1937"/>
      <c r="N143" s="1182"/>
      <c r="O143" s="1182"/>
      <c r="P143" s="1182"/>
    </row>
    <row r="144" spans="1:16" s="1181" customFormat="1" ht="30" customHeight="1" thickBot="1">
      <c r="A144" s="1178"/>
      <c r="B144" s="1754" t="s">
        <v>1044</v>
      </c>
      <c r="C144" s="1755"/>
      <c r="D144" s="1755"/>
      <c r="E144" s="1755"/>
      <c r="F144" s="2095"/>
      <c r="G144" s="2095"/>
      <c r="H144" s="2095"/>
      <c r="I144" s="2095"/>
      <c r="J144" s="2095"/>
      <c r="K144" s="1361">
        <f>IF(Projektgrundlagen!I25,IF(COUNT(K142,K143)&gt;0,SUM(K142,K143),""),0)</f>
        <v>0</v>
      </c>
      <c r="M144" s="1937"/>
      <c r="N144" s="1182"/>
      <c r="O144" s="1182"/>
      <c r="P144" s="1182"/>
    </row>
    <row r="145" spans="1:16" s="1181" customFormat="1" ht="16.8">
      <c r="A145" s="1178"/>
      <c r="B145" s="1179"/>
      <c r="C145" s="1179"/>
      <c r="D145" s="1179"/>
      <c r="E145" s="1179"/>
      <c r="F145" s="1179"/>
      <c r="G145" s="1179"/>
      <c r="H145" s="1179"/>
      <c r="I145" s="1179"/>
      <c r="J145" s="1179"/>
      <c r="K145" s="1180"/>
      <c r="M145" s="1937"/>
      <c r="N145" s="1182"/>
      <c r="O145" s="1182"/>
      <c r="P145" s="1182"/>
    </row>
    <row r="146" spans="1:16" s="1181" customFormat="1" ht="16.8" hidden="1">
      <c r="A146" s="1178"/>
      <c r="B146" s="1179"/>
      <c r="C146" s="1179"/>
      <c r="D146" s="1179"/>
      <c r="E146" s="1179"/>
      <c r="F146" s="1179"/>
      <c r="G146" s="1179"/>
      <c r="H146" s="1179"/>
      <c r="I146" s="1179"/>
      <c r="J146" s="1179"/>
      <c r="K146" s="1180"/>
      <c r="M146" s="1937"/>
      <c r="N146" s="1182"/>
      <c r="O146" s="1182"/>
      <c r="P146" s="1182"/>
    </row>
    <row r="147" spans="1:16" s="1181" customFormat="1" ht="16.8" hidden="1">
      <c r="A147" s="1178"/>
      <c r="B147" s="1179"/>
      <c r="C147" s="1179"/>
      <c r="D147" s="1179"/>
      <c r="E147" s="1179"/>
      <c r="F147" s="1179"/>
      <c r="G147" s="1179"/>
      <c r="H147" s="1179"/>
      <c r="I147" s="1179"/>
      <c r="J147" s="1179"/>
      <c r="K147" s="1180"/>
      <c r="M147" s="1937"/>
      <c r="N147" s="1182"/>
      <c r="O147" s="1182"/>
      <c r="P147" s="1182"/>
    </row>
    <row r="148" spans="1:16" s="1181" customFormat="1" ht="16.8" hidden="1">
      <c r="A148" s="1178"/>
      <c r="B148" s="1179"/>
      <c r="C148" s="1179"/>
      <c r="D148" s="1179"/>
      <c r="E148" s="1179"/>
      <c r="F148" s="1179"/>
      <c r="G148" s="1179"/>
      <c r="H148" s="1179"/>
      <c r="I148" s="1179"/>
      <c r="J148" s="1179"/>
      <c r="K148" s="1180"/>
      <c r="M148" s="1937"/>
      <c r="N148" s="1182"/>
      <c r="O148" s="1182"/>
      <c r="P148" s="1182"/>
    </row>
    <row r="149" spans="1:16" s="1181" customFormat="1" ht="16.8" hidden="1">
      <c r="A149" s="1178"/>
      <c r="B149" s="1179"/>
      <c r="C149" s="1179"/>
      <c r="D149" s="1179"/>
      <c r="E149" s="1179"/>
      <c r="F149" s="1179"/>
      <c r="G149" s="1179"/>
      <c r="H149" s="1179"/>
      <c r="I149" s="1179"/>
      <c r="J149" s="1179"/>
      <c r="K149" s="1180"/>
      <c r="M149" s="1937"/>
      <c r="N149" s="1182"/>
      <c r="O149" s="1182"/>
      <c r="P149" s="1182"/>
    </row>
    <row r="150" spans="1:16" s="1181" customFormat="1" ht="16.8" hidden="1">
      <c r="A150" s="1178"/>
      <c r="B150" s="1179"/>
      <c r="C150" s="1179"/>
      <c r="D150" s="1179"/>
      <c r="E150" s="1179"/>
      <c r="F150" s="1179"/>
      <c r="G150" s="1179"/>
      <c r="H150" s="1179"/>
      <c r="I150" s="1179"/>
      <c r="J150" s="1179"/>
      <c r="K150" s="1180"/>
      <c r="M150" s="1937"/>
      <c r="N150" s="1182"/>
      <c r="O150" s="1182"/>
      <c r="P150" s="1182"/>
    </row>
    <row r="151" spans="1:16" s="1181" customFormat="1" ht="16.8" hidden="1">
      <c r="A151" s="1178"/>
      <c r="B151" s="1179"/>
      <c r="C151" s="1179"/>
      <c r="D151" s="1179"/>
      <c r="E151" s="1179"/>
      <c r="F151" s="1179"/>
      <c r="G151" s="1179"/>
      <c r="H151" s="1179"/>
      <c r="I151" s="1179"/>
      <c r="J151" s="1179"/>
      <c r="K151" s="1180"/>
      <c r="M151" s="1937"/>
      <c r="N151" s="1182"/>
      <c r="O151" s="1182"/>
      <c r="P151" s="1182"/>
    </row>
    <row r="152" spans="1:16" s="1181" customFormat="1" ht="16.8" hidden="1">
      <c r="A152" s="1178"/>
      <c r="B152" s="1179"/>
      <c r="C152" s="1179"/>
      <c r="D152" s="1179"/>
      <c r="E152" s="1179"/>
      <c r="F152" s="1179"/>
      <c r="G152" s="1179"/>
      <c r="H152" s="1179"/>
      <c r="I152" s="1179"/>
      <c r="J152" s="1179"/>
      <c r="K152" s="1180"/>
      <c r="M152" s="1937"/>
      <c r="N152" s="1182"/>
      <c r="O152" s="1182"/>
      <c r="P152" s="1182"/>
    </row>
    <row r="153" spans="1:16" s="1181" customFormat="1" ht="16.8" hidden="1">
      <c r="A153" s="1178"/>
      <c r="B153" s="1179"/>
      <c r="C153" s="1179"/>
      <c r="D153" s="1179"/>
      <c r="E153" s="1179"/>
      <c r="F153" s="1179"/>
      <c r="G153" s="1179"/>
      <c r="H153" s="1179"/>
      <c r="I153" s="1179"/>
      <c r="J153" s="1179"/>
      <c r="K153" s="1180"/>
      <c r="M153" s="1937"/>
      <c r="N153" s="1182"/>
      <c r="O153" s="1182"/>
      <c r="P153" s="1182"/>
    </row>
    <row r="154" spans="1:16" s="1181" customFormat="1" ht="16.8" hidden="1">
      <c r="A154" s="1178"/>
      <c r="B154" s="1179"/>
      <c r="C154" s="1179"/>
      <c r="D154" s="1179"/>
      <c r="E154" s="1179"/>
      <c r="F154" s="1179"/>
      <c r="G154" s="1179"/>
      <c r="H154" s="1179"/>
      <c r="I154" s="1179"/>
      <c r="J154" s="1179"/>
      <c r="K154" s="1180"/>
      <c r="M154" s="1937"/>
      <c r="N154" s="1182"/>
      <c r="O154" s="1182"/>
      <c r="P154" s="1182"/>
    </row>
    <row r="155" spans="1:16" s="1181" customFormat="1" ht="16.8" hidden="1">
      <c r="A155" s="1178"/>
      <c r="B155" s="1179"/>
      <c r="C155" s="1179"/>
      <c r="D155" s="1179"/>
      <c r="E155" s="1179"/>
      <c r="F155" s="1179"/>
      <c r="G155" s="1179"/>
      <c r="H155" s="1179"/>
      <c r="I155" s="1179"/>
      <c r="J155" s="1179"/>
      <c r="K155" s="1180"/>
      <c r="M155" s="1937"/>
      <c r="N155" s="1182"/>
      <c r="O155" s="1182"/>
      <c r="P155" s="1182"/>
    </row>
    <row r="156" spans="1:16" s="1181" customFormat="1" ht="16.8" hidden="1">
      <c r="A156" s="1178"/>
      <c r="B156" s="1179"/>
      <c r="C156" s="1179"/>
      <c r="D156" s="1179"/>
      <c r="E156" s="1179"/>
      <c r="F156" s="1179"/>
      <c r="G156" s="1179"/>
      <c r="H156" s="1179"/>
      <c r="I156" s="1179"/>
      <c r="J156" s="1179"/>
      <c r="K156" s="1180"/>
      <c r="M156" s="1937"/>
      <c r="N156" s="1182"/>
      <c r="O156" s="1182"/>
      <c r="P156" s="1182"/>
    </row>
    <row r="157" spans="1:16" s="1178" customFormat="1" ht="16.8" hidden="1">
      <c r="B157" s="1179"/>
      <c r="C157" s="1179"/>
      <c r="D157" s="1179"/>
      <c r="E157" s="1179"/>
      <c r="F157" s="1179"/>
      <c r="G157" s="1179"/>
      <c r="H157" s="1179"/>
      <c r="I157" s="1179"/>
      <c r="J157" s="1179"/>
      <c r="K157" s="1180"/>
      <c r="L157" s="1181"/>
      <c r="M157" s="1937"/>
      <c r="N157" s="1182"/>
      <c r="O157" s="1182"/>
      <c r="P157" s="1182"/>
    </row>
    <row r="158" spans="1:16" s="1178" customFormat="1" ht="16.8" hidden="1">
      <c r="B158" s="1179"/>
      <c r="C158" s="1179"/>
      <c r="D158" s="1179"/>
      <c r="E158" s="1179"/>
      <c r="F158" s="1179"/>
      <c r="G158" s="1179"/>
      <c r="H158" s="1179"/>
      <c r="I158" s="1179"/>
      <c r="J158" s="1179"/>
      <c r="K158" s="1180"/>
      <c r="L158" s="1181"/>
      <c r="M158" s="1937"/>
      <c r="N158" s="1182"/>
      <c r="O158" s="1182"/>
      <c r="P158" s="1182"/>
    </row>
    <row r="159" spans="1:16" s="1178" customFormat="1" ht="16.8" hidden="1">
      <c r="B159" s="1179"/>
      <c r="C159" s="1179"/>
      <c r="D159" s="1179"/>
      <c r="E159" s="1179"/>
      <c r="F159" s="1179"/>
      <c r="G159" s="1179"/>
      <c r="H159" s="1179"/>
      <c r="I159" s="1179"/>
      <c r="J159" s="1179"/>
      <c r="K159" s="1180"/>
      <c r="L159" s="1181"/>
      <c r="M159" s="1937"/>
      <c r="N159" s="1182"/>
      <c r="O159" s="1182"/>
      <c r="P159" s="1182"/>
    </row>
    <row r="160" spans="1:16" s="1178" customFormat="1" ht="16.8" hidden="1">
      <c r="B160" s="1179"/>
      <c r="C160" s="1179"/>
      <c r="D160" s="1179"/>
      <c r="E160" s="1179"/>
      <c r="F160" s="1179"/>
      <c r="G160" s="1179"/>
      <c r="H160" s="1179"/>
      <c r="I160" s="1179"/>
      <c r="J160" s="1179"/>
      <c r="K160" s="1180"/>
      <c r="L160" s="1181"/>
      <c r="M160" s="1937"/>
      <c r="N160" s="1182"/>
      <c r="O160" s="1182"/>
      <c r="P160" s="1182"/>
    </row>
    <row r="161" spans="2:16" s="1178" customFormat="1" ht="16.8" hidden="1">
      <c r="B161" s="1179"/>
      <c r="C161" s="1179"/>
      <c r="D161" s="1179"/>
      <c r="E161" s="1179"/>
      <c r="F161" s="1179"/>
      <c r="G161" s="1179"/>
      <c r="H161" s="1179"/>
      <c r="I161" s="1179"/>
      <c r="J161" s="1179"/>
      <c r="K161" s="1180"/>
      <c r="L161" s="1181"/>
      <c r="M161" s="1937"/>
      <c r="N161" s="1182"/>
      <c r="O161" s="1182"/>
      <c r="P161" s="1182"/>
    </row>
    <row r="162" spans="2:16" s="1178" customFormat="1" ht="16.8" hidden="1">
      <c r="B162" s="1179"/>
      <c r="C162" s="1179"/>
      <c r="D162" s="1179"/>
      <c r="E162" s="1179"/>
      <c r="F162" s="1179"/>
      <c r="G162" s="1179"/>
      <c r="H162" s="1179"/>
      <c r="I162" s="1179"/>
      <c r="J162" s="1179"/>
      <c r="K162" s="1180"/>
      <c r="L162" s="1181"/>
      <c r="M162" s="1937"/>
      <c r="N162" s="1182"/>
      <c r="O162" s="1182"/>
      <c r="P162" s="1182"/>
    </row>
    <row r="163" spans="2:16" s="1178" customFormat="1" ht="16.8" hidden="1">
      <c r="B163" s="1179"/>
      <c r="C163" s="1179"/>
      <c r="D163" s="1179"/>
      <c r="E163" s="1179"/>
      <c r="F163" s="1179"/>
      <c r="G163" s="1179"/>
      <c r="H163" s="1179"/>
      <c r="I163" s="1179"/>
      <c r="J163" s="1179"/>
      <c r="K163" s="1180"/>
      <c r="L163" s="1181"/>
      <c r="M163" s="1937"/>
      <c r="N163" s="1182"/>
      <c r="O163" s="1182"/>
      <c r="P163" s="1182"/>
    </row>
    <row r="164" spans="2:16" s="1178" customFormat="1" ht="16.8" hidden="1">
      <c r="B164" s="1179"/>
      <c r="C164" s="1179"/>
      <c r="D164" s="1179"/>
      <c r="E164" s="1179"/>
      <c r="F164" s="1179"/>
      <c r="G164" s="1179"/>
      <c r="H164" s="1179"/>
      <c r="I164" s="1179"/>
      <c r="J164" s="1179"/>
      <c r="K164" s="1180"/>
      <c r="L164" s="1181"/>
      <c r="M164" s="1937"/>
      <c r="N164" s="1182"/>
      <c r="O164" s="1182"/>
      <c r="P164" s="1182"/>
    </row>
    <row r="165" spans="2:16" s="1178" customFormat="1" ht="16.8" hidden="1">
      <c r="B165" s="1179"/>
      <c r="C165" s="1179"/>
      <c r="D165" s="1179"/>
      <c r="E165" s="1179"/>
      <c r="F165" s="1179"/>
      <c r="G165" s="1179"/>
      <c r="H165" s="1179"/>
      <c r="I165" s="1179"/>
      <c r="J165" s="1179"/>
      <c r="K165" s="1180"/>
      <c r="L165" s="1181"/>
      <c r="M165" s="1937"/>
      <c r="N165" s="1182"/>
      <c r="O165" s="1182"/>
      <c r="P165" s="1182"/>
    </row>
    <row r="166" spans="2:16" s="1178" customFormat="1" ht="16.8" hidden="1">
      <c r="B166" s="1179"/>
      <c r="C166" s="1179"/>
      <c r="D166" s="1179"/>
      <c r="E166" s="1179"/>
      <c r="F166" s="1179"/>
      <c r="G166" s="1179"/>
      <c r="H166" s="1179"/>
      <c r="I166" s="1179"/>
      <c r="J166" s="1179"/>
      <c r="K166" s="1180"/>
      <c r="L166" s="1181"/>
      <c r="M166" s="1937"/>
      <c r="N166" s="1182"/>
      <c r="O166" s="1182"/>
      <c r="P166" s="1182"/>
    </row>
    <row r="167" spans="2:16" s="1178" customFormat="1" ht="16.8" hidden="1">
      <c r="B167" s="1179"/>
      <c r="C167" s="1179"/>
      <c r="D167" s="1179"/>
      <c r="E167" s="1179"/>
      <c r="F167" s="1179"/>
      <c r="G167" s="1179"/>
      <c r="H167" s="1179"/>
      <c r="I167" s="1179"/>
      <c r="J167" s="1179"/>
      <c r="K167" s="1180"/>
      <c r="L167" s="1181"/>
      <c r="M167" s="1937"/>
      <c r="N167" s="1182"/>
      <c r="O167" s="1182"/>
      <c r="P167" s="1182"/>
    </row>
    <row r="168" spans="2:16" s="1178" customFormat="1" ht="16.8" hidden="1">
      <c r="B168" s="1179"/>
      <c r="C168" s="1179"/>
      <c r="D168" s="1179"/>
      <c r="E168" s="1179"/>
      <c r="F168" s="1179"/>
      <c r="G168" s="1179"/>
      <c r="H168" s="1179"/>
      <c r="I168" s="1179"/>
      <c r="J168" s="1179"/>
      <c r="K168" s="1180"/>
      <c r="L168" s="1181"/>
      <c r="M168" s="1937"/>
      <c r="N168" s="1182"/>
      <c r="O168" s="1182"/>
      <c r="P168" s="1182"/>
    </row>
  </sheetData>
  <sheetProtection algorithmName="SHA-512" hashValue="ZTtYSwBUYiu9nYo4FQi9mHuRikVeog4PabY91NqsiysPz1fowlzGQiqMSw1qDtTk+q+2nXV77fmijrQ345ueZw==" saltValue="9iGLQYnKeIaLsz3sNtrtAA==" spinCount="100000" sheet="1" formatRows="0"/>
  <mergeCells count="106">
    <mergeCell ref="F135:F136"/>
    <mergeCell ref="H135:I135"/>
    <mergeCell ref="F137:F138"/>
    <mergeCell ref="H137:I137"/>
    <mergeCell ref="B139:J139"/>
    <mergeCell ref="B144:J144"/>
    <mergeCell ref="F118:F119"/>
    <mergeCell ref="G118:J119"/>
    <mergeCell ref="F120:F121"/>
    <mergeCell ref="G120:J123"/>
    <mergeCell ref="G124:J127"/>
    <mergeCell ref="F133:F134"/>
    <mergeCell ref="H133:I133"/>
    <mergeCell ref="B110:C110"/>
    <mergeCell ref="G110:J111"/>
    <mergeCell ref="B112:C112"/>
    <mergeCell ref="G112:J113"/>
    <mergeCell ref="B115:K115"/>
    <mergeCell ref="F116:F117"/>
    <mergeCell ref="G116:J117"/>
    <mergeCell ref="F103:F104"/>
    <mergeCell ref="H103:I103"/>
    <mergeCell ref="B105:J105"/>
    <mergeCell ref="B107:K107"/>
    <mergeCell ref="B108:C108"/>
    <mergeCell ref="G108:J109"/>
    <mergeCell ref="F97:F98"/>
    <mergeCell ref="H97:I97"/>
    <mergeCell ref="F99:F100"/>
    <mergeCell ref="H99:I99"/>
    <mergeCell ref="F101:F102"/>
    <mergeCell ref="H101:I101"/>
    <mergeCell ref="F87:F88"/>
    <mergeCell ref="G87:J88"/>
    <mergeCell ref="G89:J90"/>
    <mergeCell ref="F91:F92"/>
    <mergeCell ref="G91:J92"/>
    <mergeCell ref="F95:F96"/>
    <mergeCell ref="H95:I95"/>
    <mergeCell ref="F79:F80"/>
    <mergeCell ref="H79:I79"/>
    <mergeCell ref="B81:J81"/>
    <mergeCell ref="B83:K83"/>
    <mergeCell ref="F84:F85"/>
    <mergeCell ref="G84:J85"/>
    <mergeCell ref="F73:F74"/>
    <mergeCell ref="H73:I73"/>
    <mergeCell ref="F75:F76"/>
    <mergeCell ref="H75:I75"/>
    <mergeCell ref="F77:F78"/>
    <mergeCell ref="H77:I77"/>
    <mergeCell ref="G57:J58"/>
    <mergeCell ref="F61:F62"/>
    <mergeCell ref="H61:I61"/>
    <mergeCell ref="F68:F69"/>
    <mergeCell ref="H68:I68"/>
    <mergeCell ref="F70:F71"/>
    <mergeCell ref="H70:I70"/>
    <mergeCell ref="G42:J44"/>
    <mergeCell ref="S42:T42"/>
    <mergeCell ref="B50:K50"/>
    <mergeCell ref="G51:J52"/>
    <mergeCell ref="G53:J54"/>
    <mergeCell ref="G55:J56"/>
    <mergeCell ref="F32:F33"/>
    <mergeCell ref="G32:J33"/>
    <mergeCell ref="B35:K35"/>
    <mergeCell ref="G36:J39"/>
    <mergeCell ref="S36:T36"/>
    <mergeCell ref="G40:J41"/>
    <mergeCell ref="F26:F27"/>
    <mergeCell ref="G26:J27"/>
    <mergeCell ref="F28:F29"/>
    <mergeCell ref="G28:J29"/>
    <mergeCell ref="F30:F31"/>
    <mergeCell ref="G30:J31"/>
    <mergeCell ref="F16:F17"/>
    <mergeCell ref="G16:J17"/>
    <mergeCell ref="F18:F19"/>
    <mergeCell ref="G18:J19"/>
    <mergeCell ref="B21:K21"/>
    <mergeCell ref="F22:F23"/>
    <mergeCell ref="G22:J23"/>
    <mergeCell ref="B10:K10"/>
    <mergeCell ref="B12:F12"/>
    <mergeCell ref="H12:I12"/>
    <mergeCell ref="B13:F13"/>
    <mergeCell ref="O13:P13"/>
    <mergeCell ref="B15:K15"/>
    <mergeCell ref="J5:K5"/>
    <mergeCell ref="B6:E6"/>
    <mergeCell ref="F6:K6"/>
    <mergeCell ref="B7:E7"/>
    <mergeCell ref="F7:K7"/>
    <mergeCell ref="B8:E8"/>
    <mergeCell ref="F8:K8"/>
    <mergeCell ref="B2:G2"/>
    <mergeCell ref="H2:I2"/>
    <mergeCell ref="J2:K2"/>
    <mergeCell ref="L2:L10"/>
    <mergeCell ref="B3:G3"/>
    <mergeCell ref="H3:I3"/>
    <mergeCell ref="J3:K3"/>
    <mergeCell ref="B5:E5"/>
    <mergeCell ref="F5:G5"/>
    <mergeCell ref="H5:I5"/>
  </mergeCells>
  <conditionalFormatting sqref="F16">
    <cfRule type="expression" dxfId="449" priority="363">
      <formula>AND($M16,F16="")</formula>
    </cfRule>
  </conditionalFormatting>
  <conditionalFormatting sqref="F18">
    <cfRule type="expression" dxfId="448" priority="291">
      <formula>AND($M18,F18="")</formula>
    </cfRule>
  </conditionalFormatting>
  <conditionalFormatting sqref="F48">
    <cfRule type="expression" dxfId="442" priority="372">
      <formula>NOT(#REF!)</formula>
    </cfRule>
  </conditionalFormatting>
  <conditionalFormatting sqref="F61 F68 F70">
    <cfRule type="expression" dxfId="441" priority="376">
      <formula>AND($M61,F61="")</formula>
    </cfRule>
  </conditionalFormatting>
  <conditionalFormatting sqref="F73 F75">
    <cfRule type="expression" dxfId="438" priority="269">
      <formula>AND($M73,F73="")</formula>
    </cfRule>
  </conditionalFormatting>
  <conditionalFormatting sqref="F77">
    <cfRule type="expression" dxfId="436" priority="186">
      <formula>AND($M77,F77="")</formula>
    </cfRule>
  </conditionalFormatting>
  <conditionalFormatting sqref="F79">
    <cfRule type="expression" dxfId="434" priority="184">
      <formula>AND($M79,F79="")</formula>
    </cfRule>
  </conditionalFormatting>
  <conditionalFormatting sqref="F82">
    <cfRule type="expression" dxfId="433" priority="416">
      <formula>NOT($M71)</formula>
    </cfRule>
  </conditionalFormatting>
  <conditionalFormatting sqref="F97">
    <cfRule type="expression" dxfId="428" priority="233">
      <formula>AND($M97,F97="")</formula>
    </cfRule>
  </conditionalFormatting>
  <conditionalFormatting sqref="F99">
    <cfRule type="expression" dxfId="427" priority="217">
      <formula>AND($M99,F99="")</formula>
    </cfRule>
  </conditionalFormatting>
  <conditionalFormatting sqref="F101">
    <cfRule type="expression" dxfId="426" priority="165">
      <formula>AND($M101,F101="")</formula>
    </cfRule>
  </conditionalFormatting>
  <conditionalFormatting sqref="F103">
    <cfRule type="expression" dxfId="425" priority="181">
      <formula>AND($M103,F103="")</formula>
    </cfRule>
  </conditionalFormatting>
  <conditionalFormatting sqref="G18">
    <cfRule type="expression" dxfId="416" priority="290">
      <formula>NOT($M18)</formula>
    </cfRule>
  </conditionalFormatting>
  <conditionalFormatting sqref="G32">
    <cfRule type="expression" dxfId="415" priority="323">
      <formula>NOT($M32)</formula>
    </cfRule>
  </conditionalFormatting>
  <conditionalFormatting sqref="G68 G70 G16 G61">
    <cfRule type="expression" dxfId="414" priority="377">
      <formula>NOT($M16)</formula>
    </cfRule>
  </conditionalFormatting>
  <conditionalFormatting sqref="G75 G73 G79">
    <cfRule type="expression" dxfId="413" priority="270">
      <formula>NOT($M73)</formula>
    </cfRule>
  </conditionalFormatting>
  <conditionalFormatting sqref="G77">
    <cfRule type="expression" dxfId="412" priority="188">
      <formula>NOT($M77)</formula>
    </cfRule>
  </conditionalFormatting>
  <conditionalFormatting sqref="G95">
    <cfRule type="expression" dxfId="411" priority="249">
      <formula>NOT($M95)</formula>
    </cfRule>
  </conditionalFormatting>
  <conditionalFormatting sqref="G97">
    <cfRule type="expression" dxfId="410" priority="234">
      <formula>NOT($M97)</formula>
    </cfRule>
  </conditionalFormatting>
  <conditionalFormatting sqref="G99">
    <cfRule type="expression" dxfId="409" priority="218">
      <formula>NOT($M99)</formula>
    </cfRule>
  </conditionalFormatting>
  <conditionalFormatting sqref="G101">
    <cfRule type="expression" dxfId="408" priority="166">
      <formula>NOT($M101)</formula>
    </cfRule>
  </conditionalFormatting>
  <conditionalFormatting sqref="G103">
    <cfRule type="expression" dxfId="407" priority="182">
      <formula>NOT($M103)</formula>
    </cfRule>
  </conditionalFormatting>
  <conditionalFormatting sqref="G108">
    <cfRule type="expression" dxfId="406" priority="314">
      <formula>NOT($M108)</formula>
    </cfRule>
  </conditionalFormatting>
  <conditionalFormatting sqref="G110">
    <cfRule type="expression" dxfId="404" priority="312">
      <formula>NOT($M110)</formula>
    </cfRule>
  </conditionalFormatting>
  <conditionalFormatting sqref="G112">
    <cfRule type="expression" dxfId="402" priority="310">
      <formula>NOT($M112)</formula>
    </cfRule>
  </conditionalFormatting>
  <conditionalFormatting sqref="G118">
    <cfRule type="expression" dxfId="400" priority="306">
      <formula>NOT($M118)</formula>
    </cfRule>
  </conditionalFormatting>
  <conditionalFormatting sqref="G133">
    <cfRule type="expression" dxfId="398" priority="105">
      <formula>NOT($M133)</formula>
    </cfRule>
  </conditionalFormatting>
  <conditionalFormatting sqref="G135">
    <cfRule type="expression" dxfId="397" priority="134">
      <formula>NOT($M135)</formula>
    </cfRule>
  </conditionalFormatting>
  <conditionalFormatting sqref="G137">
    <cfRule type="expression" dxfId="396" priority="76">
      <formula>NOT($M137)</formula>
    </cfRule>
  </conditionalFormatting>
  <conditionalFormatting sqref="H133">
    <cfRule type="expression" dxfId="391" priority="108">
      <formula>AND(M133,OR(G133="pauschal",J133&lt;&gt;""))</formula>
    </cfRule>
  </conditionalFormatting>
  <conditionalFormatting sqref="H135">
    <cfRule type="expression" dxfId="390" priority="137">
      <formula>AND(M135,OR(G135="pauschal",J135&lt;&gt;""))</formula>
    </cfRule>
  </conditionalFormatting>
  <conditionalFormatting sqref="H137">
    <cfRule type="expression" dxfId="389" priority="79">
      <formula>AND(M137,OR(G137="pauschal",J137&lt;&gt;""))</formula>
    </cfRule>
  </conditionalFormatting>
  <conditionalFormatting sqref="H61:I61">
    <cfRule type="expression" dxfId="388" priority="298">
      <formula>AND(M61,OR(G61="pauschal",J61&lt;&gt;""))</formula>
    </cfRule>
    <cfRule type="expression" dxfId="387" priority="301">
      <formula>AND(M61,H61="",G61&lt;&gt;"pauschal",J61="")</formula>
    </cfRule>
    <cfRule type="expression" dxfId="386" priority="300">
      <formula>M61=FALSE</formula>
    </cfRule>
    <cfRule type="expression" dxfId="385" priority="295">
      <formula>AND(M61,H61="",G61&lt;&gt;"pauschal",J61="")</formula>
    </cfRule>
    <cfRule type="expression" dxfId="384" priority="304">
      <formula>AND(M61,OR(G61="pauschal",J61&lt;&gt;""))</formula>
    </cfRule>
    <cfRule type="expression" dxfId="383" priority="294">
      <formula>M61=FALSE</formula>
    </cfRule>
  </conditionalFormatting>
  <conditionalFormatting sqref="H68:I68 H70:I70">
    <cfRule type="expression" dxfId="382" priority="394">
      <formula>AND(M68,OR(G68="pauschal",J68&lt;&gt;""))</formula>
    </cfRule>
    <cfRule type="expression" dxfId="381" priority="391">
      <formula>AND(M68,H68="",G68&lt;&gt;"pauschal",J68="")</formula>
    </cfRule>
    <cfRule type="expression" dxfId="380" priority="390">
      <formula>M68=FALSE</formula>
    </cfRule>
  </conditionalFormatting>
  <conditionalFormatting sqref="H68:I68">
    <cfRule type="expression" dxfId="379" priority="407">
      <formula>M68=FALSE</formula>
    </cfRule>
    <cfRule type="expression" dxfId="378" priority="411">
      <formula>AND(M68,OR(G68="pauschal",J68&lt;&gt;""))</formula>
    </cfRule>
    <cfRule type="expression" dxfId="377" priority="408">
      <formula>AND(M68,H68="",G68&lt;&gt;"pauschal",J68="")</formula>
    </cfRule>
  </conditionalFormatting>
  <conditionalFormatting sqref="H70:I70">
    <cfRule type="expression" dxfId="376" priority="405">
      <formula>AND(M70,OR(G70="pauschal",J70&lt;&gt;""))</formula>
    </cfRule>
    <cfRule type="expression" dxfId="375" priority="401">
      <formula>M70=FALSE</formula>
    </cfRule>
    <cfRule type="expression" dxfId="374" priority="402">
      <formula>AND(M70,H70="",G70&lt;&gt;"pauschal",J70="")</formula>
    </cfRule>
  </conditionalFormatting>
  <conditionalFormatting sqref="H73:I73">
    <cfRule type="expression" dxfId="373" priority="258">
      <formula>AND(M73,H73="",G73&lt;&gt;"pauschal",J73="")</formula>
    </cfRule>
    <cfRule type="expression" dxfId="372" priority="267">
      <formula>AND(M73,OR(G73="pauschal",J73&lt;&gt;""))</formula>
    </cfRule>
    <cfRule type="expression" dxfId="371" priority="264">
      <formula>AND(M73,H73="",G73&lt;&gt;"pauschal",J73="")</formula>
    </cfRule>
    <cfRule type="expression" dxfId="370" priority="263">
      <formula>M73=FALSE</formula>
    </cfRule>
    <cfRule type="expression" dxfId="369" priority="261">
      <formula>AND(M73,OR(G73="pauschal",J73&lt;&gt;""))</formula>
    </cfRule>
    <cfRule type="expression" dxfId="368" priority="257">
      <formula>M73=FALSE</formula>
    </cfRule>
  </conditionalFormatting>
  <conditionalFormatting sqref="H75:I75 H79:I79">
    <cfRule type="expression" dxfId="367" priority="276">
      <formula>AND(M75,OR(G75="pauschal",J75&lt;&gt;""))</formula>
    </cfRule>
    <cfRule type="expression" dxfId="366" priority="273">
      <formula>AND(M75,H75="",G75&lt;&gt;"pauschal",J75="")</formula>
    </cfRule>
    <cfRule type="expression" dxfId="365" priority="272">
      <formula>M75=FALSE</formula>
    </cfRule>
  </conditionalFormatting>
  <conditionalFormatting sqref="H75:I75">
    <cfRule type="expression" dxfId="364" priority="288">
      <formula>AND(M75,OR(G75="pauschal",J75&lt;&gt;""))</formula>
    </cfRule>
    <cfRule type="expression" dxfId="363" priority="285">
      <formula>AND(M75,H75="",G75&lt;&gt;"pauschal",J75="")</formula>
    </cfRule>
    <cfRule type="expression" dxfId="362" priority="284">
      <formula>M75=FALSE</formula>
    </cfRule>
  </conditionalFormatting>
  <conditionalFormatting sqref="H77:I77">
    <cfRule type="expression" dxfId="361" priority="190">
      <formula>M77=FALSE</formula>
    </cfRule>
    <cfRule type="expression" dxfId="360" priority="194">
      <formula>AND(M77,OR(G77="pauschal",J77&lt;&gt;""))</formula>
    </cfRule>
    <cfRule type="expression" dxfId="359" priority="196">
      <formula>M77=FALSE</formula>
    </cfRule>
    <cfRule type="expression" dxfId="358" priority="200">
      <formula>AND(M77,OR(G77="pauschal",J77&lt;&gt;""))</formula>
    </cfRule>
    <cfRule type="expression" dxfId="357" priority="191">
      <formula>AND(M77,H77="",G77&lt;&gt;"pauschal",J77="")</formula>
    </cfRule>
    <cfRule type="expression" dxfId="356" priority="197">
      <formula>AND(M77,H77="",G77&lt;&gt;"pauschal",J77="")</formula>
    </cfRule>
  </conditionalFormatting>
  <conditionalFormatting sqref="H79:I79">
    <cfRule type="expression" dxfId="355" priority="278">
      <formula>M79=FALSE</formula>
    </cfRule>
    <cfRule type="expression" dxfId="354" priority="279">
      <formula>AND(M79,H79="",G79&lt;&gt;"pauschal",J79="")</formula>
    </cfRule>
    <cfRule type="expression" dxfId="353" priority="282">
      <formula>AND(M79,OR(G79="pauschal",J79&lt;&gt;""))</formula>
    </cfRule>
  </conditionalFormatting>
  <conditionalFormatting sqref="H95:I95">
    <cfRule type="expression" dxfId="352" priority="238">
      <formula>AND(M95,H95="",G95&lt;&gt;"pauschal",J95="")</formula>
    </cfRule>
    <cfRule type="expression" dxfId="351" priority="241">
      <formula>AND(M95,OR(G95="pauschal",J95&lt;&gt;""))</formula>
    </cfRule>
    <cfRule type="expression" dxfId="350" priority="243">
      <formula>M95=FALSE</formula>
    </cfRule>
    <cfRule type="expression" dxfId="349" priority="244">
      <formula>AND(M95,H95="",G95&lt;&gt;"pauschal",J95="")</formula>
    </cfRule>
    <cfRule type="expression" dxfId="348" priority="247">
      <formula>AND(M95,OR(G95="pauschal",J95&lt;&gt;""))</formula>
    </cfRule>
    <cfRule type="expression" dxfId="347" priority="237">
      <formula>M95=FALSE</formula>
    </cfRule>
  </conditionalFormatting>
  <conditionalFormatting sqref="H97:I97">
    <cfRule type="expression" dxfId="346" priority="231">
      <formula>AND(M97,OR(G97="pauschal",J97&lt;&gt;""))</formula>
    </cfRule>
    <cfRule type="expression" dxfId="345" priority="228">
      <formula>AND(M97,H97="",G97&lt;&gt;"pauschal",J97="")</formula>
    </cfRule>
    <cfRule type="expression" dxfId="344" priority="227">
      <formula>M97=FALSE</formula>
    </cfRule>
    <cfRule type="expression" dxfId="343" priority="222">
      <formula>AND(M97,H97="",G97&lt;&gt;"pauschal",J97="")</formula>
    </cfRule>
    <cfRule type="expression" dxfId="342" priority="225">
      <formula>AND(M97,OR(G97="pauschal",J97&lt;&gt;""))</formula>
    </cfRule>
    <cfRule type="expression" dxfId="341" priority="221">
      <formula>M97=FALSE</formula>
    </cfRule>
  </conditionalFormatting>
  <conditionalFormatting sqref="H99:I99">
    <cfRule type="expression" dxfId="340" priority="209">
      <formula>AND(M99,OR(G99="pauschal",J99&lt;&gt;""))</formula>
    </cfRule>
    <cfRule type="expression" dxfId="339" priority="211">
      <formula>M99=FALSE</formula>
    </cfRule>
    <cfRule type="expression" dxfId="338" priority="212">
      <formula>AND(M99,H99="",G99&lt;&gt;"pauschal",J99="")</formula>
    </cfRule>
    <cfRule type="expression" dxfId="337" priority="215">
      <formula>AND(M99,OR(G99="pauschal",J99&lt;&gt;""))</formula>
    </cfRule>
    <cfRule type="expression" dxfId="336" priority="205">
      <formula>M99=FALSE</formula>
    </cfRule>
    <cfRule type="expression" dxfId="335" priority="206">
      <formula>AND(M99,H99="",G99&lt;&gt;"pauschal",J99="")</formula>
    </cfRule>
  </conditionalFormatting>
  <conditionalFormatting sqref="H101:I101">
    <cfRule type="expression" dxfId="334" priority="163">
      <formula>AND(M101,OR(G101="pauschal",J101&lt;&gt;""))</formula>
    </cfRule>
    <cfRule type="expression" dxfId="333" priority="153">
      <formula>M101=FALSE</formula>
    </cfRule>
    <cfRule type="expression" dxfId="332" priority="154">
      <formula>AND(M101,H101="",G101&lt;&gt;"pauschal",J101="")</formula>
    </cfRule>
    <cfRule type="expression" dxfId="331" priority="157">
      <formula>AND(M101,OR(G101="pauschal",J101&lt;&gt;""))</formula>
    </cfRule>
    <cfRule type="expression" dxfId="330" priority="159">
      <formula>M101=FALSE</formula>
    </cfRule>
    <cfRule type="expression" dxfId="329" priority="160">
      <formula>AND(M101,H101="",G101&lt;&gt;"pauschal",J101="")</formula>
    </cfRule>
  </conditionalFormatting>
  <conditionalFormatting sqref="H103:I103">
    <cfRule type="expression" dxfId="328" priority="169">
      <formula>M103=FALSE</formula>
    </cfRule>
    <cfRule type="expression" dxfId="327" priority="170">
      <formula>AND(M103,H103="",G103&lt;&gt;"pauschal",J103="")</formula>
    </cfRule>
    <cfRule type="expression" dxfId="326" priority="179">
      <formula>AND(M103,OR(G103="pauschal",J103&lt;&gt;""))</formula>
    </cfRule>
    <cfRule type="expression" dxfId="325" priority="173">
      <formula>AND(M103,OR(G103="pauschal",J103&lt;&gt;""))</formula>
    </cfRule>
    <cfRule type="expression" dxfId="324" priority="175">
      <formula>M103=FALSE</formula>
    </cfRule>
    <cfRule type="expression" dxfId="323" priority="176">
      <formula>AND(M103,H103="",G103&lt;&gt;"pauschal",J103="")</formula>
    </cfRule>
  </conditionalFormatting>
  <conditionalFormatting sqref="H133:I133">
    <cfRule type="expression" dxfId="322" priority="103">
      <formula>AND(M133,OR(G133="pauschal",J133&lt;&gt;""))</formula>
    </cfRule>
    <cfRule type="expression" dxfId="321" priority="107">
      <formula>M133=FALSE</formula>
    </cfRule>
    <cfRule type="expression" dxfId="320" priority="98">
      <formula>M133=FALSE</formula>
    </cfRule>
    <cfRule type="expression" dxfId="319" priority="99">
      <formula>AND(M133,H133="",G133&lt;&gt;"pauschal",J133="")</formula>
    </cfRule>
    <cfRule type="expression" dxfId="318" priority="100">
      <formula>AND(M133,OR(G133="pauschal",J133&lt;&gt;""))</formula>
    </cfRule>
    <cfRule type="expression" dxfId="317" priority="101">
      <formula>M133=FALSE</formula>
    </cfRule>
    <cfRule type="expression" dxfId="316" priority="102">
      <formula>AND(M133,H133="",G133&lt;&gt;"pauschal",J133="")</formula>
    </cfRule>
  </conditionalFormatting>
  <conditionalFormatting sqref="H135:I135">
    <cfRule type="expression" dxfId="315" priority="131">
      <formula>AND(M135,H135="",G135&lt;&gt;"pauschal",J135="")</formula>
    </cfRule>
    <cfRule type="expression" dxfId="314" priority="132">
      <formula>AND(M135,OR(G135="pauschal",J135&lt;&gt;""))</formula>
    </cfRule>
    <cfRule type="expression" dxfId="313" priority="130">
      <formula>M135=FALSE</formula>
    </cfRule>
    <cfRule type="expression" dxfId="312" priority="127">
      <formula>M135=FALSE</formula>
    </cfRule>
    <cfRule type="expression" dxfId="311" priority="129">
      <formula>AND(M135,OR(G135="pauschal",J135&lt;&gt;""))</formula>
    </cfRule>
    <cfRule type="expression" dxfId="310" priority="128">
      <formula>AND(M135,H135="",G135&lt;&gt;"pauschal",J135="")</formula>
    </cfRule>
    <cfRule type="expression" dxfId="309" priority="136">
      <formula>M135=FALSE</formula>
    </cfRule>
  </conditionalFormatting>
  <conditionalFormatting sqref="H137:I137">
    <cfRule type="expression" dxfId="308" priority="73">
      <formula>AND(M137,H137="",G137&lt;&gt;"pauschal",J137="")</formula>
    </cfRule>
    <cfRule type="expression" dxfId="307" priority="78">
      <formula>M137=FALSE</formula>
    </cfRule>
    <cfRule type="expression" dxfId="306" priority="74">
      <formula>AND(M137,OR(G137="pauschal",J137&lt;&gt;""))</formula>
    </cfRule>
    <cfRule type="expression" dxfId="305" priority="69">
      <formula>M137=FALSE</formula>
    </cfRule>
    <cfRule type="expression" dxfId="304" priority="70">
      <formula>AND(M137,H137="",G137&lt;&gt;"pauschal",J137="")</formula>
    </cfRule>
    <cfRule type="expression" dxfId="303" priority="71">
      <formula>AND(M137,OR(G137="pauschal",J137&lt;&gt;""))</formula>
    </cfRule>
    <cfRule type="expression" dxfId="302" priority="72">
      <formula>M137=FALSE</formula>
    </cfRule>
  </conditionalFormatting>
  <conditionalFormatting sqref="I133">
    <cfRule type="expression" dxfId="301" priority="112">
      <formula>AND(N133,OR(#REF!="pauschal",#REF!&lt;&gt;""))</formula>
    </cfRule>
  </conditionalFormatting>
  <conditionalFormatting sqref="I135">
    <cfRule type="expression" dxfId="300" priority="141">
      <formula>AND(N135,OR(#REF!="pauschal",#REF!&lt;&gt;""))</formula>
    </cfRule>
  </conditionalFormatting>
  <conditionalFormatting sqref="I137">
    <cfRule type="expression" dxfId="299" priority="83">
      <formula>AND(N137,OR(#REF!="pauschal",#REF!&lt;&gt;""))</formula>
    </cfRule>
  </conditionalFormatting>
  <conditionalFormatting sqref="J61">
    <cfRule type="expression" dxfId="298" priority="299">
      <formula>M61=FALSE</formula>
    </cfRule>
    <cfRule type="expression" dxfId="297" priority="303">
      <formula>AND(M61,G61="v.H.-Satz")</formula>
    </cfRule>
    <cfRule type="expression" dxfId="296" priority="296">
      <formula>AND(M61,J61="",G61&lt;&gt;"v.H.-Satz",H61="")</formula>
    </cfRule>
    <cfRule type="expression" dxfId="295" priority="293">
      <formula>M61=FALSE</formula>
    </cfRule>
    <cfRule type="expression" dxfId="294" priority="297">
      <formula>AND(M61,G61="v.H.-Satz")</formula>
    </cfRule>
    <cfRule type="expression" dxfId="293" priority="302">
      <formula>AND(M61,J61="",G61&lt;&gt;"v.H.-Satz",H61="")</formula>
    </cfRule>
  </conditionalFormatting>
  <conditionalFormatting sqref="J68 J70">
    <cfRule type="expression" dxfId="292" priority="389">
      <formula>M68=FALSE</formula>
    </cfRule>
    <cfRule type="expression" dxfId="291" priority="393">
      <formula>AND(M68,G68="v.H.-Satz")</formula>
    </cfRule>
    <cfRule type="expression" dxfId="290" priority="392">
      <formula>AND(M68,J68="",G68&lt;&gt;"v.H.-Satz",H68="")</formula>
    </cfRule>
  </conditionalFormatting>
  <conditionalFormatting sqref="J68">
    <cfRule type="expression" dxfId="289" priority="410">
      <formula>AND(M68,G68="v.H.-Satz")</formula>
    </cfRule>
    <cfRule type="expression" dxfId="288" priority="406">
      <formula>M68=FALSE</formula>
    </cfRule>
    <cfRule type="expression" dxfId="287" priority="409">
      <formula>AND(M68,J68="",G68&lt;&gt;"v.H.-Satz",H68="")</formula>
    </cfRule>
  </conditionalFormatting>
  <conditionalFormatting sqref="J70">
    <cfRule type="expression" dxfId="286" priority="400">
      <formula>M70=FALSE</formula>
    </cfRule>
    <cfRule type="expression" dxfId="285" priority="403">
      <formula>AND(M70,J70="",G70&lt;&gt;"v.H.-Satz",H70="")</formula>
    </cfRule>
    <cfRule type="expression" dxfId="284" priority="404">
      <formula>AND(M70,G70="v.H.-Satz")</formula>
    </cfRule>
  </conditionalFormatting>
  <conditionalFormatting sqref="J73">
    <cfRule type="expression" dxfId="283" priority="256">
      <formula>M73=FALSE</formula>
    </cfRule>
    <cfRule type="expression" dxfId="282" priority="259">
      <formula>AND(M73,J73="",G73&lt;&gt;"v.H.-Satz",H73="")</formula>
    </cfRule>
    <cfRule type="expression" dxfId="281" priority="260">
      <formula>AND(M73,G73="v.H.-Satz")</formula>
    </cfRule>
    <cfRule type="expression" dxfId="280" priority="265">
      <formula>AND(M73,J73="",G73&lt;&gt;"v.H.-Satz",H73="")</formula>
    </cfRule>
    <cfRule type="expression" dxfId="279" priority="266">
      <formula>AND(M73,G73="v.H.-Satz")</formula>
    </cfRule>
    <cfRule type="expression" dxfId="278" priority="262">
      <formula>M73=FALSE</formula>
    </cfRule>
  </conditionalFormatting>
  <conditionalFormatting sqref="J75 J79">
    <cfRule type="expression" dxfId="277" priority="274">
      <formula>AND(M75,J75="",G75&lt;&gt;"v.H.-Satz",H75="")</formula>
    </cfRule>
    <cfRule type="expression" dxfId="276" priority="275">
      <formula>AND(M75,G75="v.H.-Satz")</formula>
    </cfRule>
    <cfRule type="expression" dxfId="275" priority="271">
      <formula>M75=FALSE</formula>
    </cfRule>
  </conditionalFormatting>
  <conditionalFormatting sqref="J75">
    <cfRule type="expression" dxfId="274" priority="286">
      <formula>AND(M75,J75="",G75&lt;&gt;"v.H.-Satz",H75="")</formula>
    </cfRule>
    <cfRule type="expression" dxfId="273" priority="283">
      <formula>M75=FALSE</formula>
    </cfRule>
    <cfRule type="expression" dxfId="272" priority="287">
      <formula>AND(M75,G75="v.H.-Satz")</formula>
    </cfRule>
  </conditionalFormatting>
  <conditionalFormatting sqref="J77">
    <cfRule type="expression" dxfId="271" priority="193">
      <formula>AND(M77,G77="v.H.-Satz")</formula>
    </cfRule>
    <cfRule type="expression" dxfId="270" priority="199">
      <formula>AND(M77,G77="v.H.-Satz")</formula>
    </cfRule>
    <cfRule type="expression" dxfId="269" priority="198">
      <formula>AND(M77,J77="",G77&lt;&gt;"v.H.-Satz",H77="")</formula>
    </cfRule>
    <cfRule type="expression" dxfId="268" priority="195">
      <formula>M77=FALSE</formula>
    </cfRule>
    <cfRule type="expression" dxfId="267" priority="189">
      <formula>M77=FALSE</formula>
    </cfRule>
    <cfRule type="expression" dxfId="266" priority="192">
      <formula>AND(M77,J77="",G77&lt;&gt;"v.H.-Satz",H77="")</formula>
    </cfRule>
  </conditionalFormatting>
  <conditionalFormatting sqref="J79">
    <cfRule type="expression" dxfId="265" priority="281">
      <formula>AND(M79,G79="v.H.-Satz")</formula>
    </cfRule>
    <cfRule type="expression" dxfId="264" priority="277">
      <formula>M79=FALSE</formula>
    </cfRule>
    <cfRule type="expression" dxfId="263" priority="280">
      <formula>AND(M79,J79="",G79&lt;&gt;"v.H.-Satz",H79="")</formula>
    </cfRule>
  </conditionalFormatting>
  <conditionalFormatting sqref="J95">
    <cfRule type="expression" dxfId="262" priority="240">
      <formula>AND(M95,G95="v.H.-Satz")</formula>
    </cfRule>
    <cfRule type="expression" dxfId="261" priority="246">
      <formula>AND(M95,G95="v.H.-Satz")</formula>
    </cfRule>
    <cfRule type="expression" dxfId="260" priority="245">
      <formula>AND(M95,J95="",G95&lt;&gt;"v.H.-Satz",H95="")</formula>
    </cfRule>
    <cfRule type="expression" dxfId="259" priority="242">
      <formula>M95=FALSE</formula>
    </cfRule>
    <cfRule type="expression" dxfId="258" priority="239">
      <formula>AND(M95,J95="",G95&lt;&gt;"v.H.-Satz",H95="")</formula>
    </cfRule>
    <cfRule type="expression" dxfId="257" priority="236">
      <formula>M95=FALSE</formula>
    </cfRule>
  </conditionalFormatting>
  <conditionalFormatting sqref="J97">
    <cfRule type="expression" dxfId="256" priority="220">
      <formula>M97=FALSE</formula>
    </cfRule>
    <cfRule type="expression" dxfId="255" priority="223">
      <formula>AND(M97,J97="",G97&lt;&gt;"v.H.-Satz",H97="")</formula>
    </cfRule>
    <cfRule type="expression" dxfId="254" priority="224">
      <formula>AND(M97,G97="v.H.-Satz")</formula>
    </cfRule>
    <cfRule type="expression" dxfId="253" priority="226">
      <formula>M97=FALSE</formula>
    </cfRule>
    <cfRule type="expression" dxfId="252" priority="229">
      <formula>AND(M97,J97="",G97&lt;&gt;"v.H.-Satz",H97="")</formula>
    </cfRule>
    <cfRule type="expression" dxfId="251" priority="230">
      <formula>AND(M97,G97="v.H.-Satz")</formula>
    </cfRule>
  </conditionalFormatting>
  <conditionalFormatting sqref="J99">
    <cfRule type="expression" dxfId="250" priority="214">
      <formula>AND(M99,G99="v.H.-Satz")</formula>
    </cfRule>
    <cfRule type="expression" dxfId="249" priority="210">
      <formula>M99=FALSE</formula>
    </cfRule>
    <cfRule type="expression" dxfId="248" priority="204">
      <formula>M99=FALSE</formula>
    </cfRule>
    <cfRule type="expression" dxfId="247" priority="207">
      <formula>AND(M99,J99="",G99&lt;&gt;"v.H.-Satz",H99="")</formula>
    </cfRule>
    <cfRule type="expression" dxfId="246" priority="208">
      <formula>AND(M99,G99="v.H.-Satz")</formula>
    </cfRule>
    <cfRule type="expression" dxfId="245" priority="213">
      <formula>AND(M99,J99="",G99&lt;&gt;"v.H.-Satz",H99="")</formula>
    </cfRule>
  </conditionalFormatting>
  <conditionalFormatting sqref="J101">
    <cfRule type="expression" dxfId="244" priority="155">
      <formula>AND(M101,J101="",G101&lt;&gt;"v.H.-Satz",H101="")</formula>
    </cfRule>
    <cfRule type="expression" dxfId="243" priority="152">
      <formula>M101=FALSE</formula>
    </cfRule>
    <cfRule type="expression" dxfId="242" priority="158">
      <formula>M101=FALSE</formula>
    </cfRule>
    <cfRule type="expression" dxfId="241" priority="162">
      <formula>AND(M101,G101="v.H.-Satz")</formula>
    </cfRule>
    <cfRule type="expression" dxfId="240" priority="161">
      <formula>AND(M101,J101="",G101&lt;&gt;"v.H.-Satz",H101="")</formula>
    </cfRule>
    <cfRule type="expression" dxfId="239" priority="156">
      <formula>AND(M101,G101="v.H.-Satz")</formula>
    </cfRule>
  </conditionalFormatting>
  <conditionalFormatting sqref="J103">
    <cfRule type="expression" dxfId="238" priority="174">
      <formula>M103=FALSE</formula>
    </cfRule>
    <cfRule type="expression" dxfId="237" priority="172">
      <formula>AND(M103,G103="v.H.-Satz")</formula>
    </cfRule>
    <cfRule type="expression" dxfId="236" priority="171">
      <formula>AND(M103,J103="",G103&lt;&gt;"v.H.-Satz",H103="")</formula>
    </cfRule>
    <cfRule type="expression" dxfId="235" priority="177">
      <formula>AND(M103,J103="",G103&lt;&gt;"v.H.-Satz",H103="")</formula>
    </cfRule>
    <cfRule type="expression" dxfId="234" priority="178">
      <formula>AND(M103,G103="v.H.-Satz")</formula>
    </cfRule>
    <cfRule type="expression" dxfId="233" priority="168">
      <formula>M103=FALSE</formula>
    </cfRule>
  </conditionalFormatting>
  <conditionalFormatting sqref="J133">
    <cfRule type="expression" dxfId="232" priority="93">
      <formula>AND(M133,J133="",G133&lt;&gt;"v.H.-Satz",H133="")</formula>
    </cfRule>
    <cfRule type="expression" dxfId="231" priority="92">
      <formula>M133=FALSE</formula>
    </cfRule>
    <cfRule type="expression" dxfId="230" priority="110">
      <formula>AND(M133,G133="v.H.-Satz")</formula>
    </cfRule>
    <cfRule type="expression" dxfId="229" priority="97">
      <formula>AND(M133,G133="v.H.-Satz")</formula>
    </cfRule>
    <cfRule type="expression" dxfId="228" priority="96">
      <formula>AND(M133,J133="",G133&lt;&gt;"v.H.-Satz",H133="")</formula>
    </cfRule>
    <cfRule type="expression" dxfId="227" priority="109">
      <formula>M133=FALSE</formula>
    </cfRule>
    <cfRule type="expression" dxfId="226" priority="95">
      <formula>M133=FALSE</formula>
    </cfRule>
    <cfRule type="expression" dxfId="225" priority="94">
      <formula>AND(M133,G133="v.H.-Satz")</formula>
    </cfRule>
  </conditionalFormatting>
  <conditionalFormatting sqref="J135">
    <cfRule type="expression" dxfId="224" priority="139">
      <formula>AND(M135,G135="v.H.-Satz")</formula>
    </cfRule>
    <cfRule type="expression" dxfId="223" priority="126">
      <formula>AND(M135,G135="v.H.-Satz")</formula>
    </cfRule>
    <cfRule type="expression" dxfId="222" priority="125">
      <formula>AND(M135,J135="",G135&lt;&gt;"v.H.-Satz",H135="")</formula>
    </cfRule>
    <cfRule type="expression" dxfId="221" priority="124">
      <formula>M135=FALSE</formula>
    </cfRule>
    <cfRule type="expression" dxfId="220" priority="123">
      <formula>AND(M135,G135="v.H.-Satz")</formula>
    </cfRule>
    <cfRule type="expression" dxfId="219" priority="122">
      <formula>AND(M135,J135="",G135&lt;&gt;"v.H.-Satz",H135="")</formula>
    </cfRule>
    <cfRule type="expression" dxfId="218" priority="121">
      <formula>M135=FALSE</formula>
    </cfRule>
    <cfRule type="expression" dxfId="217" priority="138">
      <formula>M135=FALSE</formula>
    </cfRule>
  </conditionalFormatting>
  <conditionalFormatting sqref="J137">
    <cfRule type="expression" dxfId="216" priority="81">
      <formula>AND(M137,G137="v.H.-Satz")</formula>
    </cfRule>
    <cfRule type="expression" dxfId="215" priority="80">
      <formula>M137=FALSE</formula>
    </cfRule>
    <cfRule type="expression" dxfId="214" priority="68">
      <formula>AND(M137,G137="v.H.-Satz")</formula>
    </cfRule>
    <cfRule type="expression" dxfId="213" priority="67">
      <formula>AND(M137,J137="",G137&lt;&gt;"v.H.-Satz",H137="")</formula>
    </cfRule>
    <cfRule type="expression" dxfId="212" priority="66">
      <formula>M137=FALSE</formula>
    </cfRule>
    <cfRule type="expression" dxfId="211" priority="65">
      <formula>AND(M137,G137="v.H.-Satz")</formula>
    </cfRule>
    <cfRule type="expression" dxfId="210" priority="64">
      <formula>AND(M137,J137="",G137&lt;&gt;"v.H.-Satz",H137="")</formula>
    </cfRule>
    <cfRule type="expression" dxfId="209" priority="63">
      <formula>M137=FALSE</formula>
    </cfRule>
  </conditionalFormatting>
  <conditionalFormatting sqref="S36:T38">
    <cfRule type="expression" dxfId="199" priority="420">
      <formula>AND(#REF!,OR(R36="pauschal",U36&lt;&gt;""))</formula>
    </cfRule>
  </conditionalFormatting>
  <conditionalFormatting sqref="S42:T47">
    <cfRule type="expression" dxfId="198" priority="413">
      <formula>AND(#REF!,OR(R42="pauschal",U42&lt;&gt;""))</formula>
    </cfRule>
  </conditionalFormatting>
  <conditionalFormatting sqref="S36:U38">
    <cfRule type="expression" dxfId="196" priority="417">
      <formula>#REF!=FALSE</formula>
    </cfRule>
  </conditionalFormatting>
  <conditionalFormatting sqref="S42:U47">
    <cfRule type="expression" dxfId="194" priority="412">
      <formula>#REF!=FALSE</formula>
    </cfRule>
  </conditionalFormatting>
  <conditionalFormatting sqref="U36:U38">
    <cfRule type="expression" dxfId="193" priority="418">
      <formula>AND(#REF!,R36="v.H.-Satz")</formula>
    </cfRule>
  </conditionalFormatting>
  <conditionalFormatting sqref="U42:U47">
    <cfRule type="expression" dxfId="192" priority="415">
      <formula>AND(#REF!,R42="v.H.-Satz")</formula>
    </cfRule>
  </conditionalFormatting>
  <dataValidations count="5">
    <dataValidation type="list" allowBlank="1" showInputMessage="1" showErrorMessage="1" sqref="G73 G68 G116 G70 G22 G28 G36 G53 G87 G91 G108 G110 G112 G120 G16 G30 G40 G57 G55 G89 G84 G118 G61 G18 G75 G79 G26 G42 G95 G97 G99 G77 G103 G101 G135 G133 G137 G51" xr:uid="{00000000-0002-0000-0900-000000000000}">
      <formula1>"v.H.-Satz,pauschal"</formula1>
    </dataValidation>
    <dataValidation allowBlank="1" showErrorMessage="1" prompt="Kopfzeile" sqref="F68 F73 F42:F47 F91 F110 F112 F61 F18 F75 F79 F70 F95 F97 F99 F77 F103 F101" xr:uid="{00000000-0002-0000-0900-000001000000}"/>
    <dataValidation allowBlank="1" showErrorMessage="1" sqref="E28 E18 E26 F48 E40 E57 E84 F111 F113 E89 E55 E16 E68 E70 E22 E36:E38 E42:E47 E53 E87 E91 E108 E110 E112 E116 E120 E30 E32 E118 E61 E73 E79 E75 F80 F82 E95 E97 E99 E77 F78 E103 E101 E135 E133 E137 E51" xr:uid="{00000000-0002-0000-0900-000002000000}"/>
    <dataValidation allowBlank="1" showInputMessage="1" showErrorMessage="1" prompt="Stichwort" sqref="F16 F32 F108 F30 F28" xr:uid="{00000000-0002-0000-0900-000003000000}"/>
    <dataValidation allowBlank="1" showInputMessage="1" showErrorMessage="1" prompt="Langtext" sqref="F109" xr:uid="{00000000-0002-0000-0900-000004000000}"/>
  </dataValidations>
  <pageMargins left="0.39370078740157483" right="0.19685039370078741" top="0.39370078740157483" bottom="0.47244094488188981" header="0.31496062992125984" footer="0.31496062992125984"/>
  <pageSetup paperSize="9" scale="84" fitToHeight="0" orientation="portrait" r:id="rId1"/>
  <headerFooter scaleWithDoc="0">
    <oddFooter>&amp;L&amp;8©  VHF Bayern - Stand August 2022&amp;R&amp;P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4753" r:id="rId4" name="Kontrollkästchen 5">
              <controlPr defaultSize="0" autoFill="0" autoLine="0" autoPict="0" altText="">
                <anchor moveWithCells="1">
                  <from>
                    <xdr:col>1</xdr:col>
                    <xdr:colOff>0</xdr:colOff>
                    <xdr:row>69</xdr:row>
                    <xdr:rowOff>0</xdr:rowOff>
                  </from>
                  <to>
                    <xdr:col>2</xdr:col>
                    <xdr:colOff>0</xdr:colOff>
                    <xdr:row>70</xdr:row>
                    <xdr:rowOff>0</xdr:rowOff>
                  </to>
                </anchor>
              </controlPr>
            </control>
          </mc:Choice>
        </mc:AlternateContent>
        <mc:AlternateContent xmlns:mc="http://schemas.openxmlformats.org/markup-compatibility/2006">
          <mc:Choice Requires="x14">
            <control shapeId="74754" r:id="rId5" name="Check Box 2">
              <controlPr defaultSize="0" autoFill="0" autoLine="0" autoPict="0" altText="">
                <anchor moveWithCells="1">
                  <from>
                    <xdr:col>1</xdr:col>
                    <xdr:colOff>0</xdr:colOff>
                    <xdr:row>67</xdr:row>
                    <xdr:rowOff>0</xdr:rowOff>
                  </from>
                  <to>
                    <xdr:col>2</xdr:col>
                    <xdr:colOff>0</xdr:colOff>
                    <xdr:row>68</xdr:row>
                    <xdr:rowOff>0</xdr:rowOff>
                  </to>
                </anchor>
              </controlPr>
            </control>
          </mc:Choice>
        </mc:AlternateContent>
        <mc:AlternateContent xmlns:mc="http://schemas.openxmlformats.org/markup-compatibility/2006">
          <mc:Choice Requires="x14">
            <control shapeId="74755" r:id="rId6" name="Kontrollkästchen 2">
              <controlPr defaultSize="0" autoFill="0" autoLine="0" autoPict="0" altText="">
                <anchor moveWithCells="1">
                  <from>
                    <xdr:col>1</xdr:col>
                    <xdr:colOff>0</xdr:colOff>
                    <xdr:row>67</xdr:row>
                    <xdr:rowOff>0</xdr:rowOff>
                  </from>
                  <to>
                    <xdr:col>2</xdr:col>
                    <xdr:colOff>0</xdr:colOff>
                    <xdr:row>68</xdr:row>
                    <xdr:rowOff>0</xdr:rowOff>
                  </to>
                </anchor>
              </controlPr>
            </control>
          </mc:Choice>
        </mc:AlternateContent>
        <mc:AlternateContent xmlns:mc="http://schemas.openxmlformats.org/markup-compatibility/2006">
          <mc:Choice Requires="x14">
            <control shapeId="74756" r:id="rId7" name="Check Box 4">
              <controlPr defaultSize="0" autoFill="0" autoLine="0" autoPict="0" altText="">
                <anchor moveWithCells="1">
                  <from>
                    <xdr:col>1</xdr:col>
                    <xdr:colOff>0</xdr:colOff>
                    <xdr:row>69</xdr:row>
                    <xdr:rowOff>0</xdr:rowOff>
                  </from>
                  <to>
                    <xdr:col>2</xdr:col>
                    <xdr:colOff>0</xdr:colOff>
                    <xdr:row>70</xdr:row>
                    <xdr:rowOff>0</xdr:rowOff>
                  </to>
                </anchor>
              </controlPr>
            </control>
          </mc:Choice>
        </mc:AlternateContent>
        <mc:AlternateContent xmlns:mc="http://schemas.openxmlformats.org/markup-compatibility/2006">
          <mc:Choice Requires="x14">
            <control shapeId="74757" r:id="rId8" name="Check Box 5">
              <controlPr defaultSize="0" autoFill="0" autoLine="0" autoPict="0" altText="">
                <anchor moveWithCells="1">
                  <from>
                    <xdr:col>1</xdr:col>
                    <xdr:colOff>0</xdr:colOff>
                    <xdr:row>69</xdr:row>
                    <xdr:rowOff>0</xdr:rowOff>
                  </from>
                  <to>
                    <xdr:col>2</xdr:col>
                    <xdr:colOff>0</xdr:colOff>
                    <xdr:row>70</xdr:row>
                    <xdr:rowOff>0</xdr:rowOff>
                  </to>
                </anchor>
              </controlPr>
            </control>
          </mc:Choice>
        </mc:AlternateContent>
        <mc:AlternateContent xmlns:mc="http://schemas.openxmlformats.org/markup-compatibility/2006">
          <mc:Choice Requires="x14">
            <control shapeId="74758" r:id="rId9" name="Check Box 6">
              <controlPr defaultSize="0" autoFill="0" autoLine="0" autoPict="0" altText="">
                <anchor moveWithCells="1">
                  <from>
                    <xdr:col>1</xdr:col>
                    <xdr:colOff>0</xdr:colOff>
                    <xdr:row>60</xdr:row>
                    <xdr:rowOff>0</xdr:rowOff>
                  </from>
                  <to>
                    <xdr:col>2</xdr:col>
                    <xdr:colOff>0</xdr:colOff>
                    <xdr:row>61</xdr:row>
                    <xdr:rowOff>0</xdr:rowOff>
                  </to>
                </anchor>
              </controlPr>
            </control>
          </mc:Choice>
        </mc:AlternateContent>
        <mc:AlternateContent xmlns:mc="http://schemas.openxmlformats.org/markup-compatibility/2006">
          <mc:Choice Requires="x14">
            <control shapeId="74759" r:id="rId10" name="Check Box 7">
              <controlPr defaultSize="0" autoFill="0" autoLine="0" autoPict="0" altText="">
                <anchor moveWithCells="1">
                  <from>
                    <xdr:col>1</xdr:col>
                    <xdr:colOff>0</xdr:colOff>
                    <xdr:row>60</xdr:row>
                    <xdr:rowOff>0</xdr:rowOff>
                  </from>
                  <to>
                    <xdr:col>2</xdr:col>
                    <xdr:colOff>0</xdr:colOff>
                    <xdr:row>61</xdr:row>
                    <xdr:rowOff>0</xdr:rowOff>
                  </to>
                </anchor>
              </controlPr>
            </control>
          </mc:Choice>
        </mc:AlternateContent>
        <mc:AlternateContent xmlns:mc="http://schemas.openxmlformats.org/markup-compatibility/2006">
          <mc:Choice Requires="x14">
            <control shapeId="74760" r:id="rId11" name="Check Box 8">
              <controlPr defaultSize="0" autoFill="0" autoLine="0" autoPict="0" altText="">
                <anchor moveWithCells="1">
                  <from>
                    <xdr:col>1</xdr:col>
                    <xdr:colOff>0</xdr:colOff>
                    <xdr:row>78</xdr:row>
                    <xdr:rowOff>0</xdr:rowOff>
                  </from>
                  <to>
                    <xdr:col>2</xdr:col>
                    <xdr:colOff>0</xdr:colOff>
                    <xdr:row>79</xdr:row>
                    <xdr:rowOff>0</xdr:rowOff>
                  </to>
                </anchor>
              </controlPr>
            </control>
          </mc:Choice>
        </mc:AlternateContent>
        <mc:AlternateContent xmlns:mc="http://schemas.openxmlformats.org/markup-compatibility/2006">
          <mc:Choice Requires="x14">
            <control shapeId="74761" r:id="rId12" name="Check Box 9">
              <controlPr defaultSize="0" autoFill="0" autoLine="0" autoPict="0" altText="">
                <anchor moveWithCells="1">
                  <from>
                    <xdr:col>1</xdr:col>
                    <xdr:colOff>0</xdr:colOff>
                    <xdr:row>74</xdr:row>
                    <xdr:rowOff>0</xdr:rowOff>
                  </from>
                  <to>
                    <xdr:col>2</xdr:col>
                    <xdr:colOff>0</xdr:colOff>
                    <xdr:row>75</xdr:row>
                    <xdr:rowOff>0</xdr:rowOff>
                  </to>
                </anchor>
              </controlPr>
            </control>
          </mc:Choice>
        </mc:AlternateContent>
        <mc:AlternateContent xmlns:mc="http://schemas.openxmlformats.org/markup-compatibility/2006">
          <mc:Choice Requires="x14">
            <control shapeId="74762" r:id="rId13" name="Check Box 10">
              <controlPr defaultSize="0" autoFill="0" autoLine="0" autoPict="0" altText="">
                <anchor moveWithCells="1">
                  <from>
                    <xdr:col>1</xdr:col>
                    <xdr:colOff>0</xdr:colOff>
                    <xdr:row>74</xdr:row>
                    <xdr:rowOff>0</xdr:rowOff>
                  </from>
                  <to>
                    <xdr:col>2</xdr:col>
                    <xdr:colOff>0</xdr:colOff>
                    <xdr:row>75</xdr:row>
                    <xdr:rowOff>0</xdr:rowOff>
                  </to>
                </anchor>
              </controlPr>
            </control>
          </mc:Choice>
        </mc:AlternateContent>
        <mc:AlternateContent xmlns:mc="http://schemas.openxmlformats.org/markup-compatibility/2006">
          <mc:Choice Requires="x14">
            <control shapeId="74763" r:id="rId14" name="Check Box 11">
              <controlPr defaultSize="0" autoFill="0" autoLine="0" autoPict="0" altText="">
                <anchor moveWithCells="1">
                  <from>
                    <xdr:col>1</xdr:col>
                    <xdr:colOff>0</xdr:colOff>
                    <xdr:row>78</xdr:row>
                    <xdr:rowOff>0</xdr:rowOff>
                  </from>
                  <to>
                    <xdr:col>2</xdr:col>
                    <xdr:colOff>0</xdr:colOff>
                    <xdr:row>79</xdr:row>
                    <xdr:rowOff>0</xdr:rowOff>
                  </to>
                </anchor>
              </controlPr>
            </control>
          </mc:Choice>
        </mc:AlternateContent>
        <mc:AlternateContent xmlns:mc="http://schemas.openxmlformats.org/markup-compatibility/2006">
          <mc:Choice Requires="x14">
            <control shapeId="74764" r:id="rId15" name="Check Box 12">
              <controlPr defaultSize="0" autoFill="0" autoLine="0" autoPict="0" altText="">
                <anchor moveWithCells="1">
                  <from>
                    <xdr:col>1</xdr:col>
                    <xdr:colOff>0</xdr:colOff>
                    <xdr:row>78</xdr:row>
                    <xdr:rowOff>0</xdr:rowOff>
                  </from>
                  <to>
                    <xdr:col>2</xdr:col>
                    <xdr:colOff>0</xdr:colOff>
                    <xdr:row>79</xdr:row>
                    <xdr:rowOff>0</xdr:rowOff>
                  </to>
                </anchor>
              </controlPr>
            </control>
          </mc:Choice>
        </mc:AlternateContent>
        <mc:AlternateContent xmlns:mc="http://schemas.openxmlformats.org/markup-compatibility/2006">
          <mc:Choice Requires="x14">
            <control shapeId="74765" r:id="rId16" name="Check Box 13">
              <controlPr defaultSize="0" autoFill="0" autoLine="0" autoPict="0" altText="">
                <anchor moveWithCells="1">
                  <from>
                    <xdr:col>1</xdr:col>
                    <xdr:colOff>0</xdr:colOff>
                    <xdr:row>72</xdr:row>
                    <xdr:rowOff>0</xdr:rowOff>
                  </from>
                  <to>
                    <xdr:col>2</xdr:col>
                    <xdr:colOff>0</xdr:colOff>
                    <xdr:row>73</xdr:row>
                    <xdr:rowOff>0</xdr:rowOff>
                  </to>
                </anchor>
              </controlPr>
            </control>
          </mc:Choice>
        </mc:AlternateContent>
        <mc:AlternateContent xmlns:mc="http://schemas.openxmlformats.org/markup-compatibility/2006">
          <mc:Choice Requires="x14">
            <control shapeId="74766" r:id="rId17" name="Check Box 14">
              <controlPr defaultSize="0" autoFill="0" autoLine="0" autoPict="0" altText="">
                <anchor moveWithCells="1">
                  <from>
                    <xdr:col>1</xdr:col>
                    <xdr:colOff>0</xdr:colOff>
                    <xdr:row>72</xdr:row>
                    <xdr:rowOff>0</xdr:rowOff>
                  </from>
                  <to>
                    <xdr:col>2</xdr:col>
                    <xdr:colOff>0</xdr:colOff>
                    <xdr:row>73</xdr:row>
                    <xdr:rowOff>0</xdr:rowOff>
                  </to>
                </anchor>
              </controlPr>
            </control>
          </mc:Choice>
        </mc:AlternateContent>
        <mc:AlternateContent xmlns:mc="http://schemas.openxmlformats.org/markup-compatibility/2006">
          <mc:Choice Requires="x14">
            <control shapeId="74767" r:id="rId18" name="Check Box 15">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74768" r:id="rId19" name="Check Box 16">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74769" r:id="rId20" name="Check Box 17">
              <controlPr defaultSize="0" autoFill="0" autoLine="0" autoPict="0" altText="">
                <anchor moveWithCells="1">
                  <from>
                    <xdr:col>1</xdr:col>
                    <xdr:colOff>0</xdr:colOff>
                    <xdr:row>96</xdr:row>
                    <xdr:rowOff>0</xdr:rowOff>
                  </from>
                  <to>
                    <xdr:col>2</xdr:col>
                    <xdr:colOff>0</xdr:colOff>
                    <xdr:row>97</xdr:row>
                    <xdr:rowOff>0</xdr:rowOff>
                  </to>
                </anchor>
              </controlPr>
            </control>
          </mc:Choice>
        </mc:AlternateContent>
        <mc:AlternateContent xmlns:mc="http://schemas.openxmlformats.org/markup-compatibility/2006">
          <mc:Choice Requires="x14">
            <control shapeId="74770" r:id="rId21" name="Check Box 18">
              <controlPr defaultSize="0" autoFill="0" autoLine="0" autoPict="0" altText="">
                <anchor moveWithCells="1">
                  <from>
                    <xdr:col>1</xdr:col>
                    <xdr:colOff>0</xdr:colOff>
                    <xdr:row>96</xdr:row>
                    <xdr:rowOff>0</xdr:rowOff>
                  </from>
                  <to>
                    <xdr:col>2</xdr:col>
                    <xdr:colOff>0</xdr:colOff>
                    <xdr:row>97</xdr:row>
                    <xdr:rowOff>0</xdr:rowOff>
                  </to>
                </anchor>
              </controlPr>
            </control>
          </mc:Choice>
        </mc:AlternateContent>
        <mc:AlternateContent xmlns:mc="http://schemas.openxmlformats.org/markup-compatibility/2006">
          <mc:Choice Requires="x14">
            <control shapeId="74771" r:id="rId22" name="Check Box 19">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74772" r:id="rId23" name="Check Box 20">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74773" r:id="rId24" name="Check Box 21">
              <controlPr defaultSize="0" autoFill="0" autoLine="0" autoPict="0" altText="">
                <anchor moveWithCells="1">
                  <from>
                    <xdr:col>1</xdr:col>
                    <xdr:colOff>0</xdr:colOff>
                    <xdr:row>76</xdr:row>
                    <xdr:rowOff>0</xdr:rowOff>
                  </from>
                  <to>
                    <xdr:col>2</xdr:col>
                    <xdr:colOff>0</xdr:colOff>
                    <xdr:row>77</xdr:row>
                    <xdr:rowOff>0</xdr:rowOff>
                  </to>
                </anchor>
              </controlPr>
            </control>
          </mc:Choice>
        </mc:AlternateContent>
        <mc:AlternateContent xmlns:mc="http://schemas.openxmlformats.org/markup-compatibility/2006">
          <mc:Choice Requires="x14">
            <control shapeId="74774" r:id="rId25" name="Check Box 22">
              <controlPr defaultSize="0" autoFill="0" autoLine="0" autoPict="0" altText="">
                <anchor moveWithCells="1">
                  <from>
                    <xdr:col>1</xdr:col>
                    <xdr:colOff>0</xdr:colOff>
                    <xdr:row>76</xdr:row>
                    <xdr:rowOff>0</xdr:rowOff>
                  </from>
                  <to>
                    <xdr:col>2</xdr:col>
                    <xdr:colOff>0</xdr:colOff>
                    <xdr:row>77</xdr:row>
                    <xdr:rowOff>0</xdr:rowOff>
                  </to>
                </anchor>
              </controlPr>
            </control>
          </mc:Choice>
        </mc:AlternateContent>
        <mc:AlternateContent xmlns:mc="http://schemas.openxmlformats.org/markup-compatibility/2006">
          <mc:Choice Requires="x14">
            <control shapeId="74775" r:id="rId26" name="Check Box 23">
              <controlPr defaultSize="0" autoFill="0" autoLine="0" autoPict="0" altText="">
                <anchor moveWithCells="1">
                  <from>
                    <xdr:col>1</xdr:col>
                    <xdr:colOff>0</xdr:colOff>
                    <xdr:row>76</xdr:row>
                    <xdr:rowOff>0</xdr:rowOff>
                  </from>
                  <to>
                    <xdr:col>2</xdr:col>
                    <xdr:colOff>0</xdr:colOff>
                    <xdr:row>77</xdr:row>
                    <xdr:rowOff>0</xdr:rowOff>
                  </to>
                </anchor>
              </controlPr>
            </control>
          </mc:Choice>
        </mc:AlternateContent>
        <mc:AlternateContent xmlns:mc="http://schemas.openxmlformats.org/markup-compatibility/2006">
          <mc:Choice Requires="x14">
            <control shapeId="74776" r:id="rId27" name="Check Box 24">
              <controlPr defaultSize="0" autoFill="0" autoLine="0" autoPict="0" altText="">
                <anchor moveWithCells="1">
                  <from>
                    <xdr:col>1</xdr:col>
                    <xdr:colOff>0</xdr:colOff>
                    <xdr:row>102</xdr:row>
                    <xdr:rowOff>0</xdr:rowOff>
                  </from>
                  <to>
                    <xdr:col>2</xdr:col>
                    <xdr:colOff>0</xdr:colOff>
                    <xdr:row>103</xdr:row>
                    <xdr:rowOff>0</xdr:rowOff>
                  </to>
                </anchor>
              </controlPr>
            </control>
          </mc:Choice>
        </mc:AlternateContent>
        <mc:AlternateContent xmlns:mc="http://schemas.openxmlformats.org/markup-compatibility/2006">
          <mc:Choice Requires="x14">
            <control shapeId="74777" r:id="rId28" name="Check Box 25">
              <controlPr defaultSize="0" autoFill="0" autoLine="0" autoPict="0" altText="">
                <anchor moveWithCells="1">
                  <from>
                    <xdr:col>1</xdr:col>
                    <xdr:colOff>0</xdr:colOff>
                    <xdr:row>102</xdr:row>
                    <xdr:rowOff>0</xdr:rowOff>
                  </from>
                  <to>
                    <xdr:col>2</xdr:col>
                    <xdr:colOff>0</xdr:colOff>
                    <xdr:row>103</xdr:row>
                    <xdr:rowOff>0</xdr:rowOff>
                  </to>
                </anchor>
              </controlPr>
            </control>
          </mc:Choice>
        </mc:AlternateContent>
        <mc:AlternateContent xmlns:mc="http://schemas.openxmlformats.org/markup-compatibility/2006">
          <mc:Choice Requires="x14">
            <control shapeId="74778" r:id="rId29" name="Check Box 26">
              <controlPr defaultSize="0" autoFill="0" autoLine="0" autoPict="0" altText="">
                <anchor moveWithCells="1">
                  <from>
                    <xdr:col>1</xdr:col>
                    <xdr:colOff>0</xdr:colOff>
                    <xdr:row>100</xdr:row>
                    <xdr:rowOff>0</xdr:rowOff>
                  </from>
                  <to>
                    <xdr:col>2</xdr:col>
                    <xdr:colOff>0</xdr:colOff>
                    <xdr:row>101</xdr:row>
                    <xdr:rowOff>0</xdr:rowOff>
                  </to>
                </anchor>
              </controlPr>
            </control>
          </mc:Choice>
        </mc:AlternateContent>
        <mc:AlternateContent xmlns:mc="http://schemas.openxmlformats.org/markup-compatibility/2006">
          <mc:Choice Requires="x14">
            <control shapeId="74779" r:id="rId30" name="Check Box 27">
              <controlPr defaultSize="0" autoFill="0" autoLine="0" autoPict="0" altText="">
                <anchor moveWithCells="1">
                  <from>
                    <xdr:col>1</xdr:col>
                    <xdr:colOff>0</xdr:colOff>
                    <xdr:row>100</xdr:row>
                    <xdr:rowOff>0</xdr:rowOff>
                  </from>
                  <to>
                    <xdr:col>2</xdr:col>
                    <xdr:colOff>0</xdr:colOff>
                    <xdr:row>101</xdr:row>
                    <xdr:rowOff>0</xdr:rowOff>
                  </to>
                </anchor>
              </controlPr>
            </control>
          </mc:Choice>
        </mc:AlternateContent>
        <mc:AlternateContent xmlns:mc="http://schemas.openxmlformats.org/markup-compatibility/2006">
          <mc:Choice Requires="x14">
            <control shapeId="74780" r:id="rId31" name="Check Box 28">
              <controlPr defaultSize="0" autoFill="0" autoLine="0" autoPict="0" altText="">
                <anchor moveWithCells="1">
                  <from>
                    <xdr:col>1</xdr:col>
                    <xdr:colOff>0</xdr:colOff>
                    <xdr:row>134</xdr:row>
                    <xdr:rowOff>0</xdr:rowOff>
                  </from>
                  <to>
                    <xdr:col>2</xdr:col>
                    <xdr:colOff>0</xdr:colOff>
                    <xdr:row>135</xdr:row>
                    <xdr:rowOff>0</xdr:rowOff>
                  </to>
                </anchor>
              </controlPr>
            </control>
          </mc:Choice>
        </mc:AlternateContent>
        <mc:AlternateContent xmlns:mc="http://schemas.openxmlformats.org/markup-compatibility/2006">
          <mc:Choice Requires="x14">
            <control shapeId="74781" r:id="rId32" name="Check Box 29">
              <controlPr defaultSize="0" autoFill="0" autoLine="0" autoPict="0" altText="">
                <anchor moveWithCells="1">
                  <from>
                    <xdr:col>1</xdr:col>
                    <xdr:colOff>0</xdr:colOff>
                    <xdr:row>132</xdr:row>
                    <xdr:rowOff>0</xdr:rowOff>
                  </from>
                  <to>
                    <xdr:col>2</xdr:col>
                    <xdr:colOff>0</xdr:colOff>
                    <xdr:row>133</xdr:row>
                    <xdr:rowOff>0</xdr:rowOff>
                  </to>
                </anchor>
              </controlPr>
            </control>
          </mc:Choice>
        </mc:AlternateContent>
        <mc:AlternateContent xmlns:mc="http://schemas.openxmlformats.org/markup-compatibility/2006">
          <mc:Choice Requires="x14">
            <control shapeId="74782" r:id="rId33" name="Check Box 30">
              <controlPr defaultSize="0" autoFill="0" autoLine="0" autoPict="0" altText="">
                <anchor moveWithCells="1">
                  <from>
                    <xdr:col>1</xdr:col>
                    <xdr:colOff>0</xdr:colOff>
                    <xdr:row>136</xdr:row>
                    <xdr:rowOff>0</xdr:rowOff>
                  </from>
                  <to>
                    <xdr:col>2</xdr:col>
                    <xdr:colOff>0</xdr:colOff>
                    <xdr:row>137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8" id="{94004436-0DC6-4767-B344-9BD720E7FA5D}">
            <xm:f>NOT('C:\Users\bm2-israels\Documents\Brandschutz\[Vorlage_VII-10-4_Honorarangebot_LU-Geb_mit BS_ENTWURF_T119_23-06-14.xlsx]Projektgrundlagen'!#REF!)</xm:f>
            <x14:dxf>
              <font>
                <strike/>
                <color theme="0" tint="-0.14996795556505021"/>
              </font>
              <fill>
                <patternFill>
                  <bgColor theme="0"/>
                </patternFill>
              </fill>
            </x14:dxf>
          </x14:cfRule>
          <xm:sqref>B36</xm:sqref>
        </x14:conditionalFormatting>
        <x14:conditionalFormatting xmlns:xm="http://schemas.microsoft.com/office/excel/2006/main">
          <x14:cfRule type="expression" priority="385" id="{B982D5B6-CDA8-4A4E-94EA-48D492489C6C}">
            <xm:f>NOT('C:\Users\bm2-israels\Documents\Brandschutz\[Vorlage_VII-10-4_Honorarangebot_LU-Geb_mit BS_ENTWURF_T119_23-06-14.xlsx]Projektgrundlagen'!#REF!)</xm:f>
            <x14:dxf>
              <font>
                <strike/>
                <color theme="0" tint="-0.14996795556505021"/>
              </font>
              <fill>
                <patternFill>
                  <bgColor theme="0"/>
                </patternFill>
              </fill>
            </x14:dxf>
          </x14:cfRule>
          <xm:sqref>B109:C109</xm:sqref>
        </x14:conditionalFormatting>
        <x14:conditionalFormatting xmlns:xm="http://schemas.microsoft.com/office/excel/2006/main">
          <x14:cfRule type="expression" priority="375" id="{C8B9DA86-CE36-493E-BCA3-BABC31DAE189}">
            <xm:f>NOT('C:\Users\bm2-israels\Documents\Brandschutz\[Vorlage_VII-10-4_Honorarangebot_LU-Geb_mit BS_ENTWURF_T119_23-06-14.xlsx]Projektgrundlagen'!#REF!)</xm:f>
            <x14:dxf>
              <font>
                <strike/>
                <color theme="0" tint="-0.14996795556505021"/>
              </font>
              <fill>
                <patternFill>
                  <bgColor theme="0"/>
                </patternFill>
              </fill>
            </x14:dxf>
          </x14:cfRule>
          <xm:sqref>B16:E17 K61:K69 B68:J68 G69:J69 B69:E72 F70 G70:K72 B82:K82 B108 B110:B113 C111 C113 F116</xm:sqref>
        </x14:conditionalFormatting>
        <x14:conditionalFormatting xmlns:xm="http://schemas.microsoft.com/office/excel/2006/main">
          <x14:cfRule type="expression" priority="339" id="{FFCA07B9-9843-4CB9-87EF-80E4676C686C}">
            <xm:f>NOT('C:\Users\bm2-israels\Documents\Brandschutz\[Vorlage_VII-10-4_Honorarangebot_LU-Geb_mit BS_ENTWURF_T119_23-06-14.xlsx]Projektgrundlagen'!#REF!)</xm:f>
            <x14:dxf>
              <font>
                <strike/>
                <color theme="0" tint="-0.14996795556505021"/>
              </font>
              <fill>
                <patternFill>
                  <bgColor theme="0"/>
                </patternFill>
              </fill>
            </x14:dxf>
          </x14:cfRule>
          <xm:sqref>B22:E33</xm:sqref>
        </x14:conditionalFormatting>
        <x14:conditionalFormatting xmlns:xm="http://schemas.microsoft.com/office/excel/2006/main">
          <x14:cfRule type="expression" priority="187" id="{0BEABE0A-5E2B-4BBC-A24B-AF191BF6103C}">
            <xm:f>NOT('C:\Users\bm2-israels\Documents\Brandschutz\[Vorlage_VII-10-4_Honorarangebot_LU-Geb_mit BS_ENTWURF_T119_23-06-14.xlsx]Projektgrundlagen'!#REF!)</xm:f>
            <x14:dxf>
              <font>
                <strike/>
                <color theme="0" tint="-0.14996795556505021"/>
              </font>
              <fill>
                <patternFill>
                  <bgColor theme="0"/>
                </patternFill>
              </fill>
            </x14:dxf>
          </x14:cfRule>
          <xm:sqref>B76:E80 G77:K80</xm:sqref>
        </x14:conditionalFormatting>
        <x14:conditionalFormatting xmlns:xm="http://schemas.microsoft.com/office/excel/2006/main">
          <x14:cfRule type="expression" priority="317" id="{DD66328B-4B70-4864-837D-1954A194C52A}">
            <xm:f>NOT('C:\Users\bm2-israels\Documents\Brandschutz\[Vorlage_VII-10-4_Honorarangebot_LU-Geb_mit BS_ENTWURF_T119_23-06-14.xlsx]Projektgrundlagen'!#REF!)</xm:f>
            <x14:dxf>
              <font>
                <strike/>
                <color theme="0" tint="-0.14996795556505021"/>
              </font>
              <fill>
                <patternFill>
                  <bgColor theme="0"/>
                </patternFill>
              </fill>
            </x14:dxf>
          </x14:cfRule>
          <xm:sqref>B84:E93</xm:sqref>
        </x14:conditionalFormatting>
        <x14:conditionalFormatting xmlns:xm="http://schemas.microsoft.com/office/excel/2006/main">
          <x14:cfRule type="expression" priority="235" id="{EA1CFE86-C712-47D7-9269-299FA1662AED}">
            <xm:f>NOT('C:\Users\bm2-israels\Documents\Brandschutz\[Vorlage_VII-10-4_Honorarangebot_LU-Geb_mit BS_ENTWURF_T119_23-06-14.xlsx]Projektgrundlagen'!#REF!)</xm:f>
            <x14:dxf>
              <font>
                <strike/>
                <color theme="0" tint="-0.14996795556505021"/>
              </font>
              <fill>
                <patternFill>
                  <bgColor theme="0"/>
                </patternFill>
              </fill>
            </x14:dxf>
          </x14:cfRule>
          <xm:sqref>B95:E96 G95:K96</xm:sqref>
        </x14:conditionalFormatting>
        <x14:conditionalFormatting xmlns:xm="http://schemas.microsoft.com/office/excel/2006/main">
          <x14:cfRule type="expression" priority="308" id="{F89EC423-D60E-499C-A2B6-3469172B5F11}">
            <xm:f>NOT('C:\Users\bm2-israels\Documents\Brandschutz\[Vorlage_VII-10-4_Honorarangebot_LU-Geb_mit BS_ENTWURF_T119_23-06-14.xlsx]Projektgrundlagen'!#REF!)</xm:f>
            <x14:dxf>
              <font>
                <strike/>
                <color theme="0" tint="-0.14996795556505021"/>
              </font>
              <fill>
                <patternFill>
                  <bgColor theme="0"/>
                </patternFill>
              </fill>
            </x14:dxf>
          </x14:cfRule>
          <xm:sqref>B116:E131</xm:sqref>
        </x14:conditionalFormatting>
        <x14:conditionalFormatting xmlns:xm="http://schemas.microsoft.com/office/excel/2006/main">
          <x14:cfRule type="expression" priority="85" id="{7B872930-1BB9-432C-9C6A-48F423812C34}">
            <xm:f>NOT('C:\Users\bm2-israels\Documents\Brandschutz\[Vorlage_VII-10-4_Honorarangebot_LU-Geb_mit BS_ENTWURF_T119_23-06-14.xlsx]Projektgrundlagen'!#REF!)</xm:f>
            <x14:dxf>
              <font>
                <strike/>
                <color theme="0" tint="-0.14996795556505021"/>
              </font>
              <fill>
                <patternFill>
                  <bgColor theme="0"/>
                </patternFill>
              </fill>
            </x14:dxf>
          </x14:cfRule>
          <xm:sqref>B133:E138</xm:sqref>
        </x14:conditionalFormatting>
        <x14:conditionalFormatting xmlns:xm="http://schemas.microsoft.com/office/excel/2006/main">
          <x14:cfRule type="expression" priority="34" id="{4B9AF10A-BB70-4BB0-93F3-CAF6D9108634}">
            <xm:f>NOT('C:\Users\bm2-israels\Documents\Brandschutz\[Vorlage_VII-10-4_Honorarangebot_LU-Geb_mit BS_ENTWURF_T119_23-06-14.xlsx]Projektgrundlagen'!#REF!)</xm:f>
            <x14:dxf>
              <font>
                <strike/>
                <color theme="0" tint="-0.14996795556505021"/>
              </font>
              <fill>
                <patternFill>
                  <bgColor theme="0"/>
                </patternFill>
              </fill>
            </x14:dxf>
          </x14:cfRule>
          <xm:sqref>B40:F47</xm:sqref>
        </x14:conditionalFormatting>
        <x14:conditionalFormatting xmlns:xm="http://schemas.microsoft.com/office/excel/2006/main">
          <x14:cfRule type="expression" priority="2" id="{FFFA844C-5907-4422-B3F6-563BD194FA26}">
            <xm:f>NOT('C:\Users\bm2-israels\Documents\Brandschutz\[Vorlage_VII-10-4_Honorarangebot_LU-Geb_mit BS_ENTWURF_T119_23-06-14.xlsx]Projektgrundlagen'!#REF!)</xm:f>
            <x14:dxf>
              <font>
                <strike/>
                <color theme="0" tint="-0.14996795556505021"/>
              </font>
              <fill>
                <patternFill>
                  <bgColor theme="0"/>
                </patternFill>
              </fill>
            </x14:dxf>
          </x14:cfRule>
          <xm:sqref>B51:F58</xm:sqref>
        </x14:conditionalFormatting>
        <x14:conditionalFormatting xmlns:xm="http://schemas.microsoft.com/office/excel/2006/main">
          <x14:cfRule type="expression" priority="289" id="{17C1F0EF-C030-4F84-AC45-18EAB4C54872}">
            <xm:f>NOT('C:\Users\bm2-israels\Documents\Brandschutz\[Vorlage_VII-10-4_Honorarangebot_LU-Geb_mit BS_ENTWURF_T119_23-06-14.xlsx]Projektgrundlagen'!#REF!)</xm:f>
            <x14:dxf>
              <font>
                <strike/>
                <color theme="0" tint="-0.14996795556505021"/>
              </font>
              <fill>
                <patternFill>
                  <bgColor theme="0"/>
                </patternFill>
              </fill>
            </x14:dxf>
          </x14:cfRule>
          <xm:sqref>B18:G18 B19:E19</xm:sqref>
        </x14:conditionalFormatting>
        <x14:conditionalFormatting xmlns:xm="http://schemas.microsoft.com/office/excel/2006/main">
          <x14:cfRule type="expression" priority="292" id="{962EC2A8-73DA-4C64-A627-14F32DCEB33E}">
            <xm:f>NOT('C:\Users\bm2-israels\Documents\Brandschutz\[Vorlage_VII-10-4_Honorarangebot_LU-Geb_mit BS_ENTWURF_T119_23-06-14.xlsx]Projektgrundlagen'!#REF!)</xm:f>
            <x14:dxf>
              <font>
                <strike/>
                <color theme="0" tint="-0.14996795556505021"/>
              </font>
              <fill>
                <patternFill>
                  <bgColor theme="0"/>
                </patternFill>
              </fill>
            </x14:dxf>
          </x14:cfRule>
          <xm:sqref>B61:J61 B62:E67 G62:J67</xm:sqref>
        </x14:conditionalFormatting>
        <x14:conditionalFormatting xmlns:xm="http://schemas.microsoft.com/office/excel/2006/main">
          <x14:cfRule type="expression" priority="255" id="{146A6B2A-0F65-4D04-AFB9-D0776CA590A5}">
            <xm:f>NOT('C:\Users\bm2-israels\Documents\Brandschutz\[Vorlage_VII-10-4_Honorarangebot_LU-Geb_mit BS_ENTWURF_T119_23-06-14.xlsx]Projektgrundlagen'!#REF!)</xm:f>
            <x14:dxf>
              <font>
                <strike/>
                <color theme="0" tint="-0.14996795556505021"/>
              </font>
              <fill>
                <patternFill>
                  <bgColor theme="0"/>
                </patternFill>
              </fill>
            </x14:dxf>
          </x14:cfRule>
          <xm:sqref>B73:J73 B74:E74 G74:J74</xm:sqref>
        </x14:conditionalFormatting>
        <x14:conditionalFormatting xmlns:xm="http://schemas.microsoft.com/office/excel/2006/main">
          <x14:cfRule type="expression" priority="219" id="{53A42145-4290-4311-9470-09D14E017BE9}">
            <xm:f>NOT('C:\Users\bm2-israels\Documents\Brandschutz\[Vorlage_VII-10-4_Honorarangebot_LU-Geb_mit BS_ENTWURF_T119_23-06-14.xlsx]Projektgrundlagen'!#REF!)</xm:f>
            <x14:dxf>
              <font>
                <strike/>
                <color theme="0" tint="-0.14996795556505021"/>
              </font>
              <fill>
                <patternFill>
                  <bgColor theme="0"/>
                </patternFill>
              </fill>
            </x14:dxf>
          </x14:cfRule>
          <xm:sqref>B97:J97 B98:E98 G98:J98 B106:E106 G106:K106</xm:sqref>
        </x14:conditionalFormatting>
        <x14:conditionalFormatting xmlns:xm="http://schemas.microsoft.com/office/excel/2006/main">
          <x14:cfRule type="expression" priority="203" id="{90E5761E-69EE-4622-BAE8-484AC934A0FA}">
            <xm:f>NOT('C:\Users\bm2-israels\Documents\Brandschutz\[Vorlage_VII-10-4_Honorarangebot_LU-Geb_mit BS_ENTWURF_T119_23-06-14.xlsx]Projektgrundlagen'!#REF!)</xm:f>
            <x14:dxf>
              <font>
                <strike/>
                <color theme="0" tint="-0.14996795556505021"/>
              </font>
              <fill>
                <patternFill>
                  <bgColor theme="0"/>
                </patternFill>
              </fill>
            </x14:dxf>
          </x14:cfRule>
          <xm:sqref>B99:J99 B100:E100 G100:J100</xm:sqref>
        </x14:conditionalFormatting>
        <x14:conditionalFormatting xmlns:xm="http://schemas.microsoft.com/office/excel/2006/main">
          <x14:cfRule type="expression" priority="151" id="{058B521E-8EDB-4672-8BEA-969F95AB04D0}">
            <xm:f>NOT('C:\Users\bm2-israels\Documents\Brandschutz\[Vorlage_VII-10-4_Honorarangebot_LU-Geb_mit BS_ENTWURF_T119_23-06-14.xlsx]Projektgrundlagen'!#REF!)</xm:f>
            <x14:dxf>
              <font>
                <strike/>
                <color theme="0" tint="-0.14996795556505021"/>
              </font>
              <fill>
                <patternFill>
                  <bgColor theme="0"/>
                </patternFill>
              </fill>
            </x14:dxf>
          </x14:cfRule>
          <xm:sqref>B101:J101 B102:E102 G102:J102</xm:sqref>
        </x14:conditionalFormatting>
        <x14:conditionalFormatting xmlns:xm="http://schemas.microsoft.com/office/excel/2006/main">
          <x14:cfRule type="expression" priority="167" id="{2DD62E6A-3A0F-49B5-B6BE-9C409EB200DE}">
            <xm:f>NOT('C:\Users\bm2-israels\Documents\Brandschutz\[Vorlage_VII-10-4_Honorarangebot_LU-Geb_mit BS_ENTWURF_T119_23-06-14.xlsx]Projektgrundlagen'!#REF!)</xm:f>
            <x14:dxf>
              <font>
                <strike/>
                <color theme="0" tint="-0.14996795556505021"/>
              </font>
              <fill>
                <patternFill>
                  <bgColor theme="0"/>
                </patternFill>
              </fill>
            </x14:dxf>
          </x14:cfRule>
          <xm:sqref>B103:J103 B104:E104 G104:J104</xm:sqref>
        </x14:conditionalFormatting>
        <x14:conditionalFormatting xmlns:xm="http://schemas.microsoft.com/office/excel/2006/main">
          <x14:cfRule type="expression" priority="373" id="{A8BF8882-6CF9-4F41-A765-5B9506C65330}">
            <xm:f>NOT('C:\Users\bm2-israels\Documents\Brandschutz\[Vorlage_VII-10-4_Honorarangebot_LU-Geb_mit BS_ENTWURF_T119_23-06-14.xlsx]Projektgrundlagen'!#REF!)</xm:f>
            <x14:dxf>
              <font>
                <strike/>
                <color theme="0" tint="-0.14996795556505021"/>
              </font>
              <fill>
                <patternFill>
                  <bgColor theme="0"/>
                </patternFill>
              </fill>
            </x14:dxf>
          </x14:cfRule>
          <xm:sqref>B48:K48</xm:sqref>
        </x14:conditionalFormatting>
        <x14:conditionalFormatting xmlns:xm="http://schemas.microsoft.com/office/excel/2006/main">
          <x14:cfRule type="expression" priority="358" id="{75E0F89D-F497-4F55-B879-9E511F477E2D}">
            <xm:f>NOT('C:\Users\bm2-israels\Documents\Brandschutz\[Vorlage_VII-10-4_Honorarangebot_LU-Geb_mit BS_ENTWURF_T119_23-06-14.xlsx]Projektgrundlagen'!#REF!)</xm:f>
            <x14:dxf>
              <font>
                <strike/>
                <color theme="0" tint="-0.14996795556505021"/>
              </font>
              <fill>
                <patternFill>
                  <bgColor theme="0"/>
                </patternFill>
              </fill>
            </x14:dxf>
          </x14:cfRule>
          <xm:sqref>C36:F38</xm:sqref>
        </x14:conditionalFormatting>
        <x14:conditionalFormatting xmlns:xm="http://schemas.microsoft.com/office/excel/2006/main">
          <x14:cfRule type="expression" priority="18" id="{8760AB6E-44E8-4D1E-9B98-D343488D7F07}">
            <xm:f>NOT('C:\Users\bm2-israels\Documents\Brandschutz\[Vorlage_VII-10-4_Honorarangebot_LU-Geb_mit BS_ENTWURF_T119_23-06-14.xlsx]Projektgrundlagen'!#REF!)</xm:f>
            <x14:dxf>
              <font>
                <strike/>
                <color theme="0" tint="-0.14996795556505021"/>
              </font>
              <fill>
                <patternFill>
                  <bgColor theme="0"/>
                </patternFill>
              </fill>
            </x14:dxf>
          </x14:cfRule>
          <xm:sqref>D108:F113</xm:sqref>
        </x14:conditionalFormatting>
        <x14:conditionalFormatting xmlns:xm="http://schemas.microsoft.com/office/excel/2006/main">
          <x14:cfRule type="expression" priority="364" id="{64144403-56E9-4C01-AD1C-F7E111D6B3CD}">
            <xm:f>NOT('C:\Users\bm2-israels\Documents\Brandschutz\[Vorlage_VII-10-4_Honorarangebot_LU-Geb_mit BS_ENTWURF_T119_23-06-14.xlsx]Projektgrundlagen'!#REF!)</xm:f>
            <x14:dxf>
              <font>
                <strike/>
                <color theme="0" tint="-0.14996795556505021"/>
              </font>
              <fill>
                <patternFill>
                  <bgColor theme="0"/>
                </patternFill>
              </fill>
            </x14:dxf>
          </x14:cfRule>
          <xm:sqref>F22</xm:sqref>
        </x14:conditionalFormatting>
        <x14:conditionalFormatting xmlns:xm="http://schemas.microsoft.com/office/excel/2006/main">
          <x14:cfRule type="expression" priority="32" id="{68F86861-F475-4C49-8B77-CD315385D203}">
            <xm:f>NOT('C:\Users\bm2-israels\Documents\Brandschutz\[Vorlage_VII-10-4_Honorarangebot_LU-Geb_mit BS_ENTWURF_T119_23-06-14.xlsx]Projektgrundlagen'!#REF!)</xm:f>
            <x14:dxf>
              <font>
                <strike/>
                <color theme="0" tint="-0.14996795556505021"/>
              </font>
              <fill>
                <patternFill>
                  <bgColor theme="0"/>
                </patternFill>
              </fill>
            </x14:dxf>
          </x14:cfRule>
          <xm:sqref>F24:F26</xm:sqref>
        </x14:conditionalFormatting>
        <x14:conditionalFormatting xmlns:xm="http://schemas.microsoft.com/office/excel/2006/main">
          <x14:cfRule type="expression" priority="337" id="{4306A123-6EE8-48BC-81C8-6CDDD9F0EE3E}">
            <xm:f>NOT('C:\Users\bm2-israels\Documents\Brandschutz\[Vorlage_VII-10-4_Honorarangebot_LU-Geb_mit BS_ENTWURF_T119_23-06-14.xlsx]Projektgrundlagen'!#REF!)</xm:f>
            <x14:dxf>
              <font>
                <strike/>
                <color theme="0" tint="-0.14996795556505021"/>
              </font>
              <fill>
                <patternFill>
                  <bgColor theme="0"/>
                </patternFill>
              </fill>
            </x14:dxf>
          </x14:cfRule>
          <xm:sqref>F28</xm:sqref>
        </x14:conditionalFormatting>
        <x14:conditionalFormatting xmlns:xm="http://schemas.microsoft.com/office/excel/2006/main">
          <x14:cfRule type="expression" priority="333" id="{571F2377-E1E3-4203-843C-DC92349334F7}">
            <xm:f>NOT('C:\Users\bm2-israels\Documents\Brandschutz\[Vorlage_VII-10-4_Honorarangebot_LU-Geb_mit BS_ENTWURF_T119_23-06-14.xlsx]Projektgrundlagen'!#REF!)</xm:f>
            <x14:dxf>
              <font>
                <strike/>
                <color theme="0" tint="-0.14996795556505021"/>
              </font>
              <fill>
                <patternFill>
                  <bgColor theme="0"/>
                </patternFill>
              </fill>
            </x14:dxf>
          </x14:cfRule>
          <xm:sqref>F30</xm:sqref>
        </x14:conditionalFormatting>
        <x14:conditionalFormatting xmlns:xm="http://schemas.microsoft.com/office/excel/2006/main">
          <x14:cfRule type="expression" priority="35" id="{A0EB6BCC-883B-4968-8420-F8426EED0CAD}">
            <xm:f>NOT('C:\Users\bm2-israels\Documents\Brandschutz\[Vorlage_VII-10-4_Honorarangebot_LU-Geb_mit BS_ENTWURF_T119_23-06-14.xlsx]Projektgrundlagen'!#REF!)</xm:f>
            <x14:dxf>
              <font>
                <strike/>
                <color theme="0" tint="-0.14996795556505021"/>
              </font>
              <fill>
                <patternFill>
                  <bgColor theme="0"/>
                </patternFill>
              </fill>
            </x14:dxf>
          </x14:cfRule>
          <xm:sqref>F39</xm:sqref>
        </x14:conditionalFormatting>
        <x14:conditionalFormatting xmlns:xm="http://schemas.microsoft.com/office/excel/2006/main">
          <x14:cfRule type="expression" priority="27" id="{01998BA2-676E-46C2-9F65-609756087F05}">
            <xm:f>NOT('C:\Users\bm2-israels\Documents\Brandschutz\[Vorlage_VII-10-4_Honorarangebot_LU-Geb_mit BS_ENTWURF_T119_23-06-14.xlsx]Projektgrundlagen'!#REF!)</xm:f>
            <x14:dxf>
              <font>
                <strike/>
                <color theme="0" tint="-0.14996795556505021"/>
              </font>
              <fill>
                <patternFill>
                  <bgColor theme="0"/>
                </patternFill>
              </fill>
            </x14:dxf>
          </x14:cfRule>
          <xm:sqref>F63:F67</xm:sqref>
        </x14:conditionalFormatting>
        <x14:conditionalFormatting xmlns:xm="http://schemas.microsoft.com/office/excel/2006/main">
          <x14:cfRule type="expression" priority="26" id="{32BF6B78-AA6A-4461-A8B8-202361F1FA85}">
            <xm:f>NOT('C:\Users\bm2-israels\Documents\Brandschutz\[Vorlage_VII-10-4_Honorarangebot_LU-Geb_mit BS_ENTWURF_T119_23-06-14.xlsx]Projektgrundlagen'!#REF!)</xm:f>
            <x14:dxf>
              <font>
                <strike/>
                <color theme="0" tint="-0.14996795556505021"/>
              </font>
              <fill>
                <patternFill>
                  <bgColor theme="0"/>
                </patternFill>
              </fill>
            </x14:dxf>
          </x14:cfRule>
          <xm:sqref>F72</xm:sqref>
        </x14:conditionalFormatting>
        <x14:conditionalFormatting xmlns:xm="http://schemas.microsoft.com/office/excel/2006/main">
          <x14:cfRule type="expression" priority="185" id="{4AC4F988-50A6-419B-8949-2003445F3B16}">
            <xm:f>NOT('C:\Users\bm2-israels\Documents\Brandschutz\[Vorlage_VII-10-4_Honorarangebot_LU-Geb_mit BS_ENTWURF_T119_23-06-14.xlsx]Projektgrundlagen'!#REF!)</xm:f>
            <x14:dxf>
              <font>
                <strike/>
                <color theme="0" tint="-0.14996795556505021"/>
              </font>
              <fill>
                <patternFill>
                  <bgColor theme="0"/>
                </patternFill>
              </fill>
            </x14:dxf>
          </x14:cfRule>
          <xm:sqref>F77</xm:sqref>
        </x14:conditionalFormatting>
        <x14:conditionalFormatting xmlns:xm="http://schemas.microsoft.com/office/excel/2006/main">
          <x14:cfRule type="expression" priority="183" id="{49A914EC-581C-4F3C-9157-0A247F9AAB49}">
            <xm:f>NOT('C:\Users\bm2-israels\Documents\Brandschutz\[Vorlage_VII-10-4_Honorarangebot_LU-Geb_mit BS_ENTWURF_T119_23-06-14.xlsx]Projektgrundlagen'!#REF!)</xm:f>
            <x14:dxf>
              <font>
                <strike/>
                <color theme="0" tint="-0.14996795556505021"/>
              </font>
              <fill>
                <patternFill>
                  <bgColor theme="0"/>
                </patternFill>
              </fill>
            </x14:dxf>
          </x14:cfRule>
          <xm:sqref>F79</xm:sqref>
        </x14:conditionalFormatting>
        <x14:conditionalFormatting xmlns:xm="http://schemas.microsoft.com/office/excel/2006/main">
          <x14:cfRule type="expression" priority="316" id="{E07D0D64-0A53-4230-AE1A-E5BFDC8D0EFF}">
            <xm:f>NOT('C:\Users\bm2-israels\Documents\Brandschutz\[Vorlage_VII-10-4_Honorarangebot_LU-Geb_mit BS_ENTWURF_T119_23-06-14.xlsx]Projektgrundlagen'!#REF!)</xm:f>
            <x14:dxf>
              <font>
                <strike/>
                <color theme="0" tint="-0.14996795556505021"/>
              </font>
              <fill>
                <patternFill>
                  <bgColor theme="0"/>
                </patternFill>
              </fill>
            </x14:dxf>
          </x14:cfRule>
          <xm:sqref>F84</xm:sqref>
        </x14:conditionalFormatting>
        <x14:conditionalFormatting xmlns:xm="http://schemas.microsoft.com/office/excel/2006/main">
          <x14:cfRule type="expression" priority="25" id="{3D4A49BC-6560-4C36-9D42-0C20A386CE0E}">
            <xm:f>NOT('C:\Users\bm2-israels\Documents\Brandschutz\[Vorlage_VII-10-4_Honorarangebot_LU-Geb_mit BS_ENTWURF_T119_23-06-14.xlsx]Projektgrundlagen'!#REF!)</xm:f>
            <x14:dxf>
              <font>
                <strike/>
                <color theme="0" tint="-0.14996795556505021"/>
              </font>
              <fill>
                <patternFill>
                  <bgColor theme="0"/>
                </patternFill>
              </fill>
            </x14:dxf>
          </x14:cfRule>
          <xm:sqref>F86:F87</xm:sqref>
        </x14:conditionalFormatting>
        <x14:conditionalFormatting xmlns:xm="http://schemas.microsoft.com/office/excel/2006/main">
          <x14:cfRule type="expression" priority="315" id="{0F405A1A-A2DD-4E42-A5F6-DC6B9C19C60B}">
            <xm:f>NOT('C:\Users\bm2-israels\Documents\Brandschutz\[Vorlage_VII-10-4_Honorarangebot_LU-Geb_mit BS_ENTWURF_T119_23-06-14.xlsx]Projektgrundlagen'!#REF!)</xm:f>
            <x14:dxf>
              <font>
                <strike/>
                <color theme="0" tint="-0.14996795556505021"/>
              </font>
              <fill>
                <patternFill>
                  <bgColor theme="0"/>
                </patternFill>
              </fill>
            </x14:dxf>
          </x14:cfRule>
          <xm:sqref>F89:F91</xm:sqref>
        </x14:conditionalFormatting>
        <x14:conditionalFormatting xmlns:xm="http://schemas.microsoft.com/office/excel/2006/main">
          <x14:cfRule type="expression" priority="24" id="{55E15191-9EFC-4FA1-9E7D-0DD14FD5F27F}">
            <xm:f>NOT('C:\Users\bm2-israels\Documents\Brandschutz\[Vorlage_VII-10-4_Honorarangebot_LU-Geb_mit BS_ENTWURF_T119_23-06-14.xlsx]Projektgrundlagen'!#REF!)</xm:f>
            <x14:dxf>
              <font>
                <strike/>
                <color theme="0" tint="-0.14996795556505021"/>
              </font>
              <fill>
                <patternFill>
                  <bgColor theme="0"/>
                </patternFill>
              </fill>
            </x14:dxf>
          </x14:cfRule>
          <xm:sqref>F95</xm:sqref>
        </x14:conditionalFormatting>
        <x14:conditionalFormatting xmlns:xm="http://schemas.microsoft.com/office/excel/2006/main">
          <x14:cfRule type="expression" priority="307" id="{EF960AAE-F3E8-4AF2-A128-1FDBA73D722A}">
            <xm:f>NOT('C:\Users\bm2-israels\Documents\Brandschutz\[Vorlage_VII-10-4_Honorarangebot_LU-Geb_mit BS_ENTWURF_T119_23-06-14.xlsx]Projektgrundlagen'!#REF!)</xm:f>
            <x14:dxf>
              <font>
                <strike/>
                <color theme="0" tint="-0.14996795556505021"/>
              </font>
              <fill>
                <patternFill>
                  <bgColor theme="0"/>
                </patternFill>
              </fill>
            </x14:dxf>
          </x14:cfRule>
          <xm:sqref>F120</xm:sqref>
        </x14:conditionalFormatting>
        <x14:conditionalFormatting xmlns:xm="http://schemas.microsoft.com/office/excel/2006/main">
          <x14:cfRule type="expression" priority="9" id="{AE4FC4FC-9995-4DF0-8C6C-7F18CEF66B1F}">
            <xm:f>NOT('C:\Users\bm2-israels\Documents\Brandschutz\[Vorlage_VII-10-4_Honorarangebot_LU-Geb_mit BS_ENTWURF_T119_23-06-14.xlsx]Projektgrundlagen'!#REF!)</xm:f>
            <x14:dxf>
              <font>
                <strike/>
                <color theme="0" tint="-0.14996795556505021"/>
              </font>
              <fill>
                <patternFill>
                  <bgColor theme="0"/>
                </patternFill>
              </fill>
            </x14:dxf>
          </x14:cfRule>
          <xm:sqref>F122:F130</xm:sqref>
        </x14:conditionalFormatting>
        <x14:conditionalFormatting xmlns:xm="http://schemas.microsoft.com/office/excel/2006/main">
          <x14:cfRule type="expression" priority="362" id="{F51DD6A7-29ED-419A-83CE-D688E590608D}">
            <xm:f>NOT('C:\Users\bm2-israels\Documents\Brandschutz\[Vorlage_VII-10-4_Honorarangebot_LU-Geb_mit BS_ENTWURF_T119_23-06-14.xlsx]Projektgrundlagen'!#REF!)</xm:f>
            <x14:dxf>
              <font>
                <strike/>
                <color theme="0" tint="-0.14996795556505021"/>
              </font>
              <fill>
                <patternFill>
                  <bgColor theme="0"/>
                </patternFill>
              </fill>
            </x14:dxf>
          </x14:cfRule>
          <xm:sqref>F16:G16</xm:sqref>
        </x14:conditionalFormatting>
        <x14:conditionalFormatting xmlns:xm="http://schemas.microsoft.com/office/excel/2006/main">
          <x14:cfRule type="expression" priority="322" id="{D39183E0-7737-41AD-95D1-EDF056B4ECA3}">
            <xm:f>NOT('C:\Users\bm2-israels\Documents\Brandschutz\[Vorlage_VII-10-4_Honorarangebot_LU-Geb_mit BS_ENTWURF_T119_23-06-14.xlsx]Projektgrundlagen'!#REF!)</xm:f>
            <x14:dxf>
              <font>
                <strike/>
                <color theme="0" tint="-0.14996795556505021"/>
              </font>
              <fill>
                <patternFill>
                  <bgColor theme="0"/>
                </patternFill>
              </fill>
            </x14:dxf>
          </x14:cfRule>
          <xm:sqref>F32:G32</xm:sqref>
        </x14:conditionalFormatting>
        <x14:conditionalFormatting xmlns:xm="http://schemas.microsoft.com/office/excel/2006/main">
          <x14:cfRule type="expression" priority="305" id="{F1B2C883-4F8E-4AD4-A33E-3DB592E5C1C8}">
            <xm:f>NOT('C:\Users\bm2-israels\Documents\Brandschutz\[Vorlage_VII-10-4_Honorarangebot_LU-Geb_mit BS_ENTWURF_T119_23-06-14.xlsx]Projektgrundlagen'!#REF!)</xm:f>
            <x14:dxf>
              <font>
                <strike/>
                <color theme="0" tint="-0.14996795556505021"/>
              </font>
              <fill>
                <patternFill>
                  <bgColor theme="0"/>
                </patternFill>
              </fill>
            </x14:dxf>
          </x14:cfRule>
          <xm:sqref>F118:G118</xm:sqref>
        </x14:conditionalFormatting>
        <x14:conditionalFormatting xmlns:xm="http://schemas.microsoft.com/office/excel/2006/main">
          <x14:cfRule type="expression" priority="104" id="{D3EC97F3-FAD6-4A7F-A64B-7BD98A3C4A74}">
            <xm:f>NOT('C:\Users\bm2-israels\Documents\Brandschutz\[Vorlage_VII-10-4_Honorarangebot_LU-Geb_mit BS_ENTWURF_T119_23-06-14.xlsx]Projektgrundlagen'!#REF!)</xm:f>
            <x14:dxf>
              <font>
                <strike/>
                <color theme="0" tint="-0.14996795556505021"/>
              </font>
              <fill>
                <patternFill>
                  <bgColor theme="0"/>
                </patternFill>
              </fill>
            </x14:dxf>
          </x14:cfRule>
          <xm:sqref>F133:K133</xm:sqref>
        </x14:conditionalFormatting>
        <x14:conditionalFormatting xmlns:xm="http://schemas.microsoft.com/office/excel/2006/main">
          <x14:cfRule type="expression" priority="133" id="{6B006082-E191-48C3-8160-DEABD54D9A1C}">
            <xm:f>NOT('C:\Users\bm2-israels\Documents\Brandschutz\[Vorlage_VII-10-4_Honorarangebot_LU-Geb_mit BS_ENTWURF_T119_23-06-14.xlsx]Projektgrundlagen'!#REF!)</xm:f>
            <x14:dxf>
              <font>
                <strike/>
                <color theme="0" tint="-0.14996795556505021"/>
              </font>
              <fill>
                <patternFill>
                  <bgColor theme="0"/>
                </patternFill>
              </fill>
            </x14:dxf>
          </x14:cfRule>
          <xm:sqref>F135:K135</xm:sqref>
        </x14:conditionalFormatting>
        <x14:conditionalFormatting xmlns:xm="http://schemas.microsoft.com/office/excel/2006/main">
          <x14:cfRule type="expression" priority="75" id="{53CF49EF-9431-4B58-A5EE-7792087A5BF5}">
            <xm:f>NOT('C:\Users\bm2-israels\Documents\Brandschutz\[Vorlage_VII-10-4_Honorarangebot_LU-Geb_mit BS_ENTWURF_T119_23-06-14.xlsx]Projektgrundlagen'!#REF!)</xm:f>
            <x14:dxf>
              <font>
                <strike/>
                <color theme="0" tint="-0.14996795556505021"/>
              </font>
              <fill>
                <patternFill>
                  <bgColor theme="0"/>
                </patternFill>
              </fill>
            </x14:dxf>
          </x14:cfRule>
          <xm:sqref>F137:K137</xm:sqref>
        </x14:conditionalFormatting>
        <x14:conditionalFormatting xmlns:xm="http://schemas.microsoft.com/office/excel/2006/main">
          <x14:cfRule type="expression" priority="313" id="{970ACED7-9723-4CB9-A37C-A7A8B04E69FC}">
            <xm:f>NOT('C:\Users\bm2-israels\Documents\Brandschutz\[Vorlage_VII-10-4_Honorarangebot_LU-Geb_mit BS_ENTWURF_T119_23-06-14.xlsx]Projektgrundlagen'!#REF!)</xm:f>
            <x14:dxf>
              <font>
                <strike/>
                <color theme="0" tint="-0.14996795556505021"/>
              </font>
              <fill>
                <patternFill>
                  <bgColor theme="0"/>
                </patternFill>
              </fill>
            </x14:dxf>
          </x14:cfRule>
          <xm:sqref>G108</xm:sqref>
        </x14:conditionalFormatting>
        <x14:conditionalFormatting xmlns:xm="http://schemas.microsoft.com/office/excel/2006/main">
          <x14:cfRule type="expression" priority="311" id="{7F678F31-07D0-429F-BE82-DF98381DCD18}">
            <xm:f>NOT('C:\Users\bm2-israels\Documents\Brandschutz\[Vorlage_VII-10-4_Honorarangebot_LU-Geb_mit BS_ENTWURF_T119_23-06-14.xlsx]Projektgrundlagen'!#REF!)</xm:f>
            <x14:dxf>
              <font>
                <strike/>
                <color theme="0" tint="-0.14996795556505021"/>
              </font>
              <fill>
                <patternFill>
                  <bgColor theme="0"/>
                </patternFill>
              </fill>
            </x14:dxf>
          </x14:cfRule>
          <xm:sqref>G110</xm:sqref>
        </x14:conditionalFormatting>
        <x14:conditionalFormatting xmlns:xm="http://schemas.microsoft.com/office/excel/2006/main">
          <x14:cfRule type="expression" priority="309" id="{405C04DE-D5D7-48AD-9BCA-B7E1EEE06637}">
            <xm:f>NOT('C:\Users\bm2-israels\Documents\Brandschutz\[Vorlage_VII-10-4_Honorarangebot_LU-Geb_mit BS_ENTWURF_T119_23-06-14.xlsx]Projektgrundlagen'!#REF!)</xm:f>
            <x14:dxf>
              <font>
                <strike/>
                <color theme="0" tint="-0.14996795556505021"/>
              </font>
              <fill>
                <patternFill>
                  <bgColor theme="0"/>
                </patternFill>
              </fill>
            </x14:dxf>
          </x14:cfRule>
          <xm:sqref>G112</xm:sqref>
        </x14:conditionalFormatting>
        <x14:conditionalFormatting xmlns:xm="http://schemas.microsoft.com/office/excel/2006/main">
          <x14:cfRule type="expression" priority="378" id="{9259948C-FD3C-4C76-AD8D-49BD1B24D1FF}">
            <xm:f>NOT('C:\Users\bm2-israels\Documents\Brandschutz\[Vorlage_VII-10-4_Honorarangebot_LU-Geb_mit BS_ENTWURF_T119_23-06-14.xlsx]Projektgrundlagen'!#REF!)</xm:f>
            <x14:dxf>
              <font>
                <strike/>
                <color theme="0" tint="-0.14996795556505021"/>
              </font>
              <fill>
                <patternFill>
                  <bgColor theme="0"/>
                </patternFill>
              </fill>
            </x14:dxf>
          </x14:cfRule>
          <xm:sqref>G124</xm:sqref>
        </x14:conditionalFormatting>
        <x14:conditionalFormatting xmlns:xm="http://schemas.microsoft.com/office/excel/2006/main">
          <x14:cfRule type="expression" priority="370" id="{58AD3E0A-CD08-4C48-9391-3233DD3FA271}">
            <xm:f>NOT('C:\Users\bm2-israels\Documents\Brandschutz\[Vorlage_VII-10-4_Honorarangebot_LU-Geb_mit BS_ENTWURF_T119_23-06-14.xlsx]Projektgrundlagen'!#REF!)</xm:f>
            <x14:dxf>
              <font>
                <strike/>
                <color theme="0" tint="-0.14996795556505021"/>
              </font>
              <fill>
                <patternFill>
                  <bgColor theme="0"/>
                </patternFill>
              </fill>
            </x14:dxf>
          </x14:cfRule>
          <xm:sqref>G93:K93</xm:sqref>
        </x14:conditionalFormatting>
        <x14:conditionalFormatting xmlns:xm="http://schemas.microsoft.com/office/excel/2006/main">
          <x14:cfRule type="expression" priority="116" id="{B58A8B4B-F6F0-4702-B7D5-F863C378F9F5}">
            <xm:f>NOT('C:\Users\bm2-israels\Documents\Brandschutz\[Vorlage_VII-10-4_Honorarangebot_LU-Geb_mit BS_ENTWURF_T119_23-06-14.xlsx]Projektgrundlagen'!#REF!)</xm:f>
            <x14:dxf>
              <font>
                <strike/>
                <color theme="0" tint="-0.14996795556505021"/>
              </font>
              <fill>
                <patternFill>
                  <bgColor theme="0"/>
                </patternFill>
              </fill>
            </x14:dxf>
          </x14:cfRule>
          <xm:sqref>G134:K134</xm:sqref>
        </x14:conditionalFormatting>
        <x14:conditionalFormatting xmlns:xm="http://schemas.microsoft.com/office/excel/2006/main">
          <x14:cfRule type="expression" priority="145" id="{2765BCDD-91E9-4751-88E1-A998BC0D9022}">
            <xm:f>NOT('C:\Users\bm2-israels\Documents\Brandschutz\[Vorlage_VII-10-4_Honorarangebot_LU-Geb_mit BS_ENTWURF_T119_23-06-14.xlsx]Projektgrundlagen'!#REF!)</xm:f>
            <x14:dxf>
              <font>
                <strike/>
                <color theme="0" tint="-0.14996795556505021"/>
              </font>
              <fill>
                <patternFill>
                  <bgColor theme="0"/>
                </patternFill>
              </fill>
            </x14:dxf>
          </x14:cfRule>
          <xm:sqref>G136:K136</xm:sqref>
        </x14:conditionalFormatting>
        <x14:conditionalFormatting xmlns:xm="http://schemas.microsoft.com/office/excel/2006/main">
          <x14:cfRule type="expression" priority="87" id="{01599070-4FE4-4ACD-B649-69E5E3B8BEFF}">
            <xm:f>NOT('C:\Users\bm2-israels\Documents\Brandschutz\[Vorlage_VII-10-4_Honorarangebot_LU-Geb_mit BS_ENTWURF_T119_23-06-14.xlsx]Projektgrundlagen'!#REF!)</xm:f>
            <x14:dxf>
              <font>
                <strike/>
                <color theme="0" tint="-0.14996795556505021"/>
              </font>
              <fill>
                <patternFill>
                  <bgColor theme="0"/>
                </patternFill>
              </fill>
            </x14:dxf>
          </x14:cfRule>
          <xm:sqref>G138:K138</xm:sqref>
        </x14:conditionalFormatting>
        <x14:conditionalFormatting xmlns:xm="http://schemas.microsoft.com/office/excel/2006/main">
          <x14:cfRule type="expression" priority="55" id="{F597570C-156E-4456-9115-3DCE59031DB4}">
            <xm:f>NOT('C:\Users\bm2-israels\Documents\Brandschutz\[Vorlage_VII-10-4_Honorarangebot_LU-Geb_mit BS_ENTWURF_T119_23-06-14.xlsx]Projektgrundlagen'!#REF!)</xm:f>
            <x14:dxf>
              <font>
                <strike/>
                <color theme="0" tint="-0.14996795556505021"/>
              </font>
              <fill>
                <patternFill>
                  <bgColor theme="0"/>
                </patternFill>
              </fill>
            </x14:dxf>
          </x14:cfRule>
          <xm:sqref>K16:K19</xm:sqref>
        </x14:conditionalFormatting>
        <x14:conditionalFormatting xmlns:xm="http://schemas.microsoft.com/office/excel/2006/main">
          <x14:cfRule type="expression" priority="57" id="{870ABCEE-6413-4443-A77E-19841CE5105E}">
            <xm:f>NOT('C:\Users\bm2-israels\Documents\Brandschutz\[Vorlage_VII-10-4_Honorarangebot_LU-Geb_mit BS_ENTWURF_T119_23-06-14.xlsx]Projektgrundlagen'!#REF!)</xm:f>
            <x14:dxf>
              <font>
                <strike/>
                <color theme="0" tint="-0.14996795556505021"/>
              </font>
              <fill>
                <patternFill>
                  <bgColor theme="0"/>
                </patternFill>
              </fill>
            </x14:dxf>
          </x14:cfRule>
          <xm:sqref>K22:K33</xm:sqref>
        </x14:conditionalFormatting>
        <x14:conditionalFormatting xmlns:xm="http://schemas.microsoft.com/office/excel/2006/main">
          <x14:cfRule type="expression" priority="8" id="{C21629E2-E4A8-4FED-9E31-4DB6A6A857D8}">
            <xm:f>NOT('C:\Users\bm2-israels\Documents\Brandschutz\[Vorlage_VII-10-4_Honorarangebot_LU-Geb_mit BS_ENTWURF_T119_23-06-14.xlsx]Projektgrundlagen'!#REF!)</xm:f>
            <x14:dxf>
              <font>
                <strike/>
                <color theme="0" tint="-0.14996795556505021"/>
              </font>
              <fill>
                <patternFill>
                  <bgColor theme="0"/>
                </patternFill>
              </fill>
            </x14:dxf>
          </x14:cfRule>
          <xm:sqref>K36:K47</xm:sqref>
        </x14:conditionalFormatting>
        <x14:conditionalFormatting xmlns:xm="http://schemas.microsoft.com/office/excel/2006/main">
          <x14:cfRule type="expression" priority="1" id="{35A14BA5-7FEC-45A7-9F41-D0A59A3FE791}">
            <xm:f>NOT('C:\Users\bm2-israels\Documents\Brandschutz\[Vorlage_VII-10-4_Honorarangebot_LU-Geb_mit BS_ENTWURF_T119_23-06-14.xlsx]Projektgrundlagen'!#REF!)</xm:f>
            <x14:dxf>
              <font>
                <strike/>
                <color theme="0" tint="-0.14996795556505021"/>
              </font>
              <fill>
                <patternFill>
                  <bgColor theme="0"/>
                </patternFill>
              </fill>
            </x14:dxf>
          </x14:cfRule>
          <xm:sqref>K51:K58</xm:sqref>
        </x14:conditionalFormatting>
        <x14:conditionalFormatting xmlns:xm="http://schemas.microsoft.com/office/excel/2006/main">
          <x14:cfRule type="expression" priority="268" id="{8BF7A1FB-3B63-4B99-94A6-4CF48D13F7B3}">
            <xm:f>NOT('C:\Users\bm2-israels\Documents\Brandschutz\[Vorlage_VII-10-4_Honorarangebot_LU-Geb_mit BS_ENTWURF_T119_23-06-14.xlsx]Projektgrundlagen'!#REF!)</xm:f>
            <x14:dxf>
              <font>
                <strike/>
                <color theme="0" tint="-0.14996795556505021"/>
              </font>
              <fill>
                <patternFill>
                  <bgColor theme="0"/>
                </patternFill>
              </fill>
            </x14:dxf>
          </x14:cfRule>
          <xm:sqref>K73:K76 B75:J75 G76:J76</xm:sqref>
        </x14:conditionalFormatting>
        <x14:conditionalFormatting xmlns:xm="http://schemas.microsoft.com/office/excel/2006/main">
          <x14:cfRule type="expression" priority="44" id="{705E9F2C-294E-4200-98AE-B2B8342F41E2}">
            <xm:f>NOT('C:\Users\bm2-israels\Documents\Brandschutz\[Vorlage_VII-10-4_Honorarangebot_LU-Geb_mit BS_ENTWURF_T119_23-06-14.xlsx]Projektgrundlagen'!#REF!)</xm:f>
            <x14:dxf>
              <font>
                <strike/>
                <color theme="0" tint="-0.14996795556505021"/>
              </font>
              <fill>
                <patternFill>
                  <bgColor theme="0"/>
                </patternFill>
              </fill>
            </x14:dxf>
          </x14:cfRule>
          <xm:sqref>K84:K92</xm:sqref>
        </x14:conditionalFormatting>
        <x14:conditionalFormatting xmlns:xm="http://schemas.microsoft.com/office/excel/2006/main">
          <x14:cfRule type="expression" priority="164" id="{190626E9-89A1-4069-AAE8-1A24DA8D6C72}">
            <xm:f>NOT('C:\Users\bm2-israels\Documents\Brandschutz\[Vorlage_VII-10-4_Honorarangebot_LU-Geb_mit BS_ENTWURF_T119_23-06-14.xlsx]Projektgrundlagen'!#REF!)</xm:f>
            <x14:dxf>
              <font>
                <strike/>
                <color theme="0" tint="-0.14996795556505021"/>
              </font>
              <fill>
                <patternFill>
                  <bgColor theme="0"/>
                </patternFill>
              </fill>
            </x14:dxf>
          </x14:cfRule>
          <xm:sqref>K97:K104</xm:sqref>
        </x14:conditionalFormatting>
        <x14:conditionalFormatting xmlns:xm="http://schemas.microsoft.com/office/excel/2006/main">
          <x14:cfRule type="expression" priority="41" id="{1B6B4C27-8712-43FA-941E-230FFBD3BCF1}">
            <xm:f>NOT('C:\Users\bm2-israels\Documents\Brandschutz\[Vorlage_VII-10-4_Honorarangebot_LU-Geb_mit BS_ENTWURF_T119_23-06-14.xlsx]Projektgrundlagen'!#REF!)</xm:f>
            <x14:dxf>
              <font>
                <strike/>
                <color theme="0" tint="-0.14996795556505021"/>
              </font>
              <fill>
                <patternFill>
                  <bgColor theme="0"/>
                </patternFill>
              </fill>
            </x14:dxf>
          </x14:cfRule>
          <xm:sqref>K108:K113</xm:sqref>
        </x14:conditionalFormatting>
        <x14:conditionalFormatting xmlns:xm="http://schemas.microsoft.com/office/excel/2006/main">
          <x14:cfRule type="expression" priority="36" id="{060BC95D-5C98-46FB-AA0A-110F42BA9125}">
            <xm:f>NOT('C:\Users\bm2-israels\Documents\Brandschutz\[Vorlage_VII-10-4_Honorarangebot_LU-Geb_mit BS_ENTWURF_T119_23-06-14.xlsx]Projektgrundlagen'!#REF!)</xm:f>
            <x14:dxf>
              <font>
                <strike/>
                <color theme="0" tint="-0.14996795556505021"/>
              </font>
              <fill>
                <patternFill>
                  <bgColor theme="0"/>
                </patternFill>
              </fill>
            </x14:dxf>
          </x14:cfRule>
          <xm:sqref>K116:K131</xm:sqref>
        </x14:conditionalFormatting>
        <x14:conditionalFormatting xmlns:xm="http://schemas.microsoft.com/office/excel/2006/main">
          <x14:cfRule type="expression" priority="331" id="{4BCA246B-1742-4555-B3FF-60654D9E6755}">
            <xm:f>NOT('C:\Users\bm2-israels\Documents\Brandschutz\[Vorlage_VII-10-4_Honorarangebot_LU-Geb_mit BS_ENTWURF_T119_23-06-14.xlsx]Projektgrundlagen'!#REF!)</xm:f>
            <x14:dxf>
              <font>
                <strike/>
                <color theme="0" tint="-0.14996795556505021"/>
              </font>
              <fill>
                <patternFill>
                  <bgColor theme="0"/>
                </patternFill>
              </fill>
            </x14:dxf>
          </x14:cfRule>
          <xm:sqref>S36:U38</xm:sqref>
        </x14:conditionalFormatting>
        <x14:conditionalFormatting xmlns:xm="http://schemas.microsoft.com/office/excel/2006/main">
          <x14:cfRule type="expression" priority="324" id="{FEAF9982-64FA-437B-95D4-077B6AD73357}">
            <xm:f>NOT('C:\Users\bm2-israels\Documents\Brandschutz\[Vorlage_VII-10-4_Honorarangebot_LU-Geb_mit BS_ENTWURF_T119_23-06-14.xlsx]Projektgrundlagen'!#REF!)</xm:f>
            <x14:dxf>
              <font>
                <strike/>
                <color theme="0" tint="-0.14996795556505021"/>
              </font>
              <fill>
                <patternFill>
                  <bgColor theme="0"/>
                </patternFill>
              </fill>
            </x14:dxf>
          </x14:cfRule>
          <xm:sqref>S42:U47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theme="1" tint="0.249977111117893"/>
    <pageSetUpPr fitToPage="1"/>
  </sheetPr>
  <dimension ref="A1:V193"/>
  <sheetViews>
    <sheetView showGridLines="0" tabSelected="1" zoomScaleNormal="100" zoomScaleSheetLayoutView="100" zoomScalePageLayoutView="118" workbookViewId="0">
      <selection activeCell="H112" sqref="H112:I112"/>
    </sheetView>
  </sheetViews>
  <sheetFormatPr baseColWidth="10" defaultColWidth="0" defaultRowHeight="16.8" zeroHeight="1"/>
  <cols>
    <col min="1" max="1" width="5.6640625" style="468" customWidth="1"/>
    <col min="2" max="2" width="4.44140625" style="1027" customWidth="1"/>
    <col min="3" max="5" width="3.33203125" style="1" customWidth="1"/>
    <col min="6" max="6" width="22.33203125" style="1" customWidth="1"/>
    <col min="7" max="7" width="10.6640625" style="1" customWidth="1"/>
    <col min="8" max="10" width="19" style="1" customWidth="1"/>
    <col min="11" max="11" width="2.6640625" style="1" customWidth="1"/>
    <col min="12" max="12" width="12.5546875" style="9" hidden="1" customWidth="1"/>
    <col min="13" max="14" width="14.6640625" style="1" hidden="1" customWidth="1"/>
    <col min="15" max="15" width="16.5546875" style="1" hidden="1" customWidth="1"/>
    <col min="16" max="16" width="12.109375" style="1" hidden="1" customWidth="1"/>
    <col min="17" max="17" width="12.44140625" style="1" hidden="1" customWidth="1"/>
    <col min="18" max="18" width="14.5546875" style="1" hidden="1" customWidth="1"/>
    <col min="19" max="20" width="11.33203125" style="1" hidden="1" customWidth="1"/>
    <col min="21" max="16384" width="11.33203125" style="1" hidden="1"/>
  </cols>
  <sheetData>
    <row r="1" spans="1:21"/>
    <row r="2" spans="1:21" ht="16.5" customHeight="1">
      <c r="B2" s="1515" t="str">
        <f>Projektgrundlagen!L20</f>
        <v xml:space="preserve">Objektplanung Gebäude </v>
      </c>
      <c r="C2" s="1515"/>
      <c r="D2" s="1515"/>
      <c r="E2" s="1515"/>
      <c r="F2" s="1515"/>
      <c r="G2" s="1515"/>
      <c r="H2" s="1516"/>
      <c r="I2" s="461" t="str">
        <f>IF(Projektgrundlagen!F2="","",Projektgrundlagen!F2)</f>
        <v>VII.10.4</v>
      </c>
      <c r="J2" s="303" t="s">
        <v>184</v>
      </c>
      <c r="K2" s="1772" t="s">
        <v>175</v>
      </c>
      <c r="L2" s="190" t="s">
        <v>59</v>
      </c>
      <c r="P2" s="190" t="s">
        <v>169</v>
      </c>
      <c r="U2" s="190"/>
    </row>
    <row r="3" spans="1:21" ht="16.5" customHeight="1">
      <c r="B3" s="1673" t="s">
        <v>175</v>
      </c>
      <c r="C3" s="1673"/>
      <c r="D3" s="1673"/>
      <c r="E3" s="1673"/>
      <c r="F3" s="1673"/>
      <c r="G3" s="1673"/>
      <c r="H3" s="1674"/>
      <c r="I3" s="383" t="str">
        <f>IF(Projektgrundlagen!F3="","",Projektgrundlagen!F3)</f>
        <v>Vertrags-Nr.:</v>
      </c>
      <c r="J3" s="394" t="str">
        <f>IF(Projektgrundlagen!G3="","",Projektgrundlagen!G3)</f>
        <v>000.792.717</v>
      </c>
      <c r="K3" s="1773"/>
      <c r="P3" s="1" t="str">
        <f ca="1">MID(CELL("dateiname",A2),FIND("]",CELL("dateiname",A2))+1,255)</f>
        <v>E Honorarberechnung</v>
      </c>
    </row>
    <row r="4" spans="1:21" ht="7.5" customHeight="1">
      <c r="B4" s="1028"/>
      <c r="C4" s="371"/>
      <c r="D4" s="371"/>
      <c r="E4" s="371"/>
      <c r="F4" s="371"/>
      <c r="G4" s="371"/>
      <c r="H4" s="370"/>
      <c r="I4" s="370"/>
      <c r="J4" s="370"/>
      <c r="K4" s="1773"/>
    </row>
    <row r="5" spans="1:21">
      <c r="B5" s="1520" t="str">
        <f>IF(Projektgrundlagen!B5="","",Projektgrundlagen!B5)</f>
        <v>Maßnahmennr:</v>
      </c>
      <c r="C5" s="1521"/>
      <c r="D5" s="1521"/>
      <c r="E5" s="1521"/>
      <c r="F5" s="1607" t="str">
        <f>IF(Projektgrundlagen!E5="","",Projektgrundlagen!E5)</f>
        <v>B14HA150700001</v>
      </c>
      <c r="G5" s="1607"/>
      <c r="H5" s="1607"/>
      <c r="I5" s="378" t="str">
        <f>IF(Projektgrundlagen!F5="","",Projektgrundlagen!F5)</f>
        <v>Vergabe-Nr.:</v>
      </c>
      <c r="J5" s="395" t="str">
        <f>IF(Projektgrundlagen!G5="","",Projektgrundlagen!G5)</f>
        <v>26-004187</v>
      </c>
      <c r="K5" s="1773"/>
      <c r="P5" s="154"/>
    </row>
    <row r="6" spans="1:21">
      <c r="B6" s="1522" t="str">
        <f>IF(Projektgrundlagen!B6="","",Projektgrundlagen!B6)</f>
        <v>Maßnahme:</v>
      </c>
      <c r="C6" s="1523"/>
      <c r="D6" s="1523"/>
      <c r="E6" s="1523"/>
      <c r="F6" s="1545" t="str">
        <f>IF(Projektgrundlagen!E6="","",Projektgrundlagen!E6)</f>
        <v>Neubau ASG TUM Campus Taufkirchen / Ottobrunn</v>
      </c>
      <c r="G6" s="1545"/>
      <c r="H6" s="1545"/>
      <c r="I6" s="1545"/>
      <c r="J6" s="1546"/>
      <c r="K6" s="1773"/>
      <c r="P6" s="154"/>
    </row>
    <row r="7" spans="1:21">
      <c r="B7" s="1524"/>
      <c r="C7" s="1525"/>
      <c r="D7" s="1525"/>
      <c r="E7" s="1525"/>
      <c r="F7" s="1777" t="str">
        <f>IF(Projektgrundlagen!E7="","",Projektgrundlagen!E7)</f>
        <v/>
      </c>
      <c r="G7" s="1777"/>
      <c r="H7" s="1777"/>
      <c r="I7" s="1777"/>
      <c r="J7" s="1778"/>
      <c r="K7" s="1773"/>
    </row>
    <row r="8" spans="1:21">
      <c r="B8" s="1513" t="s">
        <v>121</v>
      </c>
      <c r="C8" s="1514"/>
      <c r="D8" s="1514"/>
      <c r="E8" s="1514"/>
      <c r="F8" s="1543" t="str">
        <f>IF(Projektgrundlagen!E8="","",Projektgrundlagen!E8)</f>
        <v/>
      </c>
      <c r="G8" s="1543"/>
      <c r="H8" s="1543"/>
      <c r="I8" s="1543"/>
      <c r="J8" s="1544"/>
      <c r="K8" s="1773"/>
      <c r="P8" s="154"/>
    </row>
    <row r="9" spans="1:21">
      <c r="B9" s="1029"/>
      <c r="C9" s="350"/>
      <c r="D9" s="350"/>
      <c r="E9" s="350"/>
      <c r="F9" s="374"/>
      <c r="G9" s="374"/>
      <c r="H9" s="374"/>
      <c r="I9" s="374"/>
      <c r="J9" s="374"/>
    </row>
    <row r="10" spans="1:21" s="129" customFormat="1" ht="30" customHeight="1">
      <c r="A10" s="1074"/>
      <c r="B10" s="1779" t="s">
        <v>175</v>
      </c>
      <c r="C10" s="1779"/>
      <c r="D10" s="1779"/>
      <c r="E10" s="1779"/>
      <c r="F10" s="1779"/>
      <c r="G10" s="1779" t="str">
        <f>IF(Projektgrundlagen!I27,"",LOOKUP(TRUE,Projektgrundlagen!I22:I26,Projektgrundlagen!J22:J26))</f>
        <v>Hochbau  Land</v>
      </c>
      <c r="H10" s="1779"/>
      <c r="I10" s="502"/>
      <c r="J10" s="502"/>
    </row>
    <row r="11" spans="1:21" ht="15" customHeight="1">
      <c r="A11" s="1074"/>
      <c r="B11" s="1098" t="s">
        <v>1</v>
      </c>
      <c r="C11" s="505"/>
      <c r="D11" s="291"/>
      <c r="E11" s="291"/>
      <c r="F11" s="503"/>
      <c r="G11" s="504"/>
      <c r="H11" s="505"/>
      <c r="I11" s="507"/>
      <c r="J11" s="506" t="s">
        <v>90</v>
      </c>
      <c r="L11" s="1"/>
    </row>
    <row r="12" spans="1:21" ht="7.5" customHeight="1">
      <c r="A12" s="1074"/>
      <c r="B12" s="1030"/>
      <c r="C12" s="5"/>
      <c r="D12" s="5"/>
      <c r="E12" s="5"/>
      <c r="F12" s="5"/>
      <c r="G12" s="5"/>
      <c r="H12" s="5"/>
      <c r="I12" s="5"/>
      <c r="J12" s="5"/>
    </row>
    <row r="13" spans="1:21" s="21" customFormat="1" ht="16.5" customHeight="1">
      <c r="A13" s="1075"/>
      <c r="B13" s="1031"/>
      <c r="C13" s="804" t="s">
        <v>126</v>
      </c>
      <c r="D13" s="805"/>
      <c r="E13" s="805"/>
      <c r="F13" s="805"/>
      <c r="G13" s="805"/>
      <c r="H13" s="805"/>
      <c r="I13" s="806"/>
      <c r="J13" s="2096"/>
      <c r="L13" s="44" t="s">
        <v>122</v>
      </c>
      <c r="M13" s="44" t="s">
        <v>120</v>
      </c>
    </row>
    <row r="14" spans="1:21" s="2098" customFormat="1" ht="16.5" customHeight="1">
      <c r="A14" s="2097"/>
      <c r="B14" s="1032">
        <v>1</v>
      </c>
      <c r="C14" s="6" t="s">
        <v>433</v>
      </c>
      <c r="D14" s="326"/>
      <c r="E14" s="264"/>
      <c r="F14" s="264"/>
      <c r="G14" s="264"/>
      <c r="H14" s="463" t="s">
        <v>510</v>
      </c>
      <c r="I14" s="65">
        <f>IF('A anrechb Kosten'!G37="",0,'A anrechb Kosten'!G37)</f>
        <v>63715924.375</v>
      </c>
      <c r="J14" s="69"/>
      <c r="L14" s="1" t="b">
        <f>NOT(M14)</f>
        <v>0</v>
      </c>
      <c r="M14" s="2098" t="b">
        <f>'A anrechb Kosten'!I37</f>
        <v>1</v>
      </c>
    </row>
    <row r="15" spans="1:21" ht="16.5" customHeight="1">
      <c r="A15" s="1074"/>
      <c r="B15" s="1033">
        <v>2</v>
      </c>
      <c r="C15" s="617" t="s">
        <v>241</v>
      </c>
      <c r="D15" s="981"/>
      <c r="E15" s="618"/>
      <c r="F15" s="618"/>
      <c r="G15" s="619"/>
      <c r="H15" s="620" t="s">
        <v>511</v>
      </c>
      <c r="I15" s="338">
        <v>4</v>
      </c>
      <c r="J15" s="69"/>
      <c r="L15" s="1"/>
    </row>
    <row r="16" spans="1:21" ht="16.5" customHeight="1">
      <c r="A16" s="1074"/>
      <c r="B16" s="1033">
        <v>3</v>
      </c>
      <c r="C16" s="637" t="s">
        <v>340</v>
      </c>
      <c r="D16" s="616"/>
      <c r="F16" s="616"/>
      <c r="G16" s="616"/>
      <c r="H16" s="616"/>
      <c r="I16" s="398"/>
      <c r="J16" s="69"/>
      <c r="M16" s="2099" t="s">
        <v>123</v>
      </c>
      <c r="N16" s="2099" t="s">
        <v>124</v>
      </c>
      <c r="O16" s="2099" t="s">
        <v>125</v>
      </c>
    </row>
    <row r="17" spans="1:17" ht="16.5" customHeight="1">
      <c r="A17" s="1071" t="str">
        <f>IF(COUNTIF($L$17:$L$18,TRUE)&lt;&gt;1,"è","")</f>
        <v/>
      </c>
      <c r="B17" s="1039" t="s">
        <v>64</v>
      </c>
      <c r="C17" s="280"/>
      <c r="D17" s="1774" t="s">
        <v>1091</v>
      </c>
      <c r="E17" s="1775"/>
      <c r="F17" s="1775"/>
      <c r="G17" s="1775"/>
      <c r="H17" s="1775"/>
      <c r="I17" s="38"/>
      <c r="J17" s="69"/>
      <c r="L17" s="9" t="b">
        <v>1</v>
      </c>
      <c r="M17" s="129" t="b">
        <f>IF(COUNTIF(L17:L18,TRUE)=0,TRUE,FALSE)</f>
        <v>0</v>
      </c>
      <c r="N17" s="129" t="b">
        <f>IF(COUNTIF(L17:L18,TRUE)&gt;1,TRUE,FALSE)</f>
        <v>0</v>
      </c>
      <c r="O17" s="1" t="b">
        <f>AND(NOT(M17),NOT(N17),L14,OR(L17,L18))</f>
        <v>0</v>
      </c>
    </row>
    <row r="18" spans="1:17" ht="16.5" customHeight="1">
      <c r="A18" s="1071" t="str">
        <f>IF(COUNTIF($L$17:$L$18,TRUE)&lt;&gt;1,"è","")</f>
        <v/>
      </c>
      <c r="B18" s="1034" t="s">
        <v>339</v>
      </c>
      <c r="C18" s="280"/>
      <c r="D18" s="1507" t="s">
        <v>423</v>
      </c>
      <c r="E18" s="1508"/>
      <c r="F18" s="1508"/>
      <c r="G18" s="1508"/>
      <c r="H18" s="1508"/>
      <c r="I18" s="788"/>
      <c r="J18" s="70"/>
      <c r="L18" s="9" t="b">
        <v>0</v>
      </c>
      <c r="M18" s="129"/>
      <c r="N18" s="129"/>
      <c r="O18" s="2100" t="s">
        <v>342</v>
      </c>
      <c r="Q18" s="154"/>
    </row>
    <row r="19" spans="1:17" ht="17.25" customHeight="1">
      <c r="A19" s="1074"/>
      <c r="B19" s="1035"/>
      <c r="C19" s="195"/>
      <c r="D19" s="195"/>
      <c r="E19" s="195"/>
      <c r="F19" s="2101"/>
      <c r="G19" s="2102"/>
      <c r="H19" s="2102"/>
      <c r="I19" s="2102"/>
      <c r="J19" s="75"/>
      <c r="L19" s="2103"/>
      <c r="O19" s="1" t="b">
        <f>AND(NOT(M17),NOT(N17),M14,OR(L17,L18))</f>
        <v>1</v>
      </c>
    </row>
    <row r="20" spans="1:17" s="21" customFormat="1">
      <c r="A20" s="1075"/>
      <c r="B20" s="1031"/>
      <c r="C20" s="804" t="s">
        <v>258</v>
      </c>
      <c r="D20" s="805"/>
      <c r="E20" s="805"/>
      <c r="F20" s="805"/>
      <c r="G20" s="805"/>
      <c r="H20" s="805"/>
      <c r="I20" s="806"/>
      <c r="J20" s="2096"/>
      <c r="L20" s="2104"/>
    </row>
    <row r="21" spans="1:17" ht="16.5" customHeight="1">
      <c r="A21" s="1074"/>
      <c r="B21" s="1036">
        <v>4</v>
      </c>
      <c r="C21" s="6" t="s">
        <v>404</v>
      </c>
      <c r="D21" s="647"/>
      <c r="E21" s="264"/>
      <c r="F21" s="264"/>
      <c r="G21" s="264"/>
      <c r="H21" s="936" t="str">
        <f>IF(O17,'H §35 HOAI'!E4,"")</f>
        <v/>
      </c>
      <c r="I21" s="626"/>
      <c r="J21" s="753"/>
    </row>
    <row r="22" spans="1:17" ht="16.5" customHeight="1">
      <c r="A22" s="1074"/>
      <c r="B22" s="1037" t="s">
        <v>2</v>
      </c>
      <c r="C22" s="974"/>
      <c r="D22" s="478" t="str">
        <f>IF(OR(L27,L32),"Basishonorarsatz der Honorartafel vor Abweichung","Basishonorarsatz der Honorartafel ")</f>
        <v xml:space="preserve">Basishonorarsatz der Honorartafel </v>
      </c>
      <c r="E22" s="291"/>
      <c r="F22" s="478"/>
      <c r="G22" s="478"/>
      <c r="H22" s="926"/>
      <c r="I22" s="752">
        <f>IF(L14,'H §35 HOAI'!F10,0)</f>
        <v>0</v>
      </c>
      <c r="J22" s="65">
        <f>IF(AND(L14,O17),I22,0)</f>
        <v>0</v>
      </c>
    </row>
    <row r="23" spans="1:17" ht="16.5" customHeight="1">
      <c r="A23" s="1071"/>
      <c r="B23" s="1038" t="s">
        <v>3</v>
      </c>
      <c r="C23" s="251"/>
      <c r="D23" s="616" t="str">
        <f>IF(OR(L27,L32),"Honorarsatz außerhalb der Honorartafel vor Abweichung","Honorarsatz außerhalb der Honorartafel ")</f>
        <v xml:space="preserve">Honorarsatz außerhalb der Honorartafel </v>
      </c>
      <c r="F23" s="616"/>
      <c r="G23" s="616"/>
      <c r="H23" s="935"/>
      <c r="I23" s="2105">
        <f>'RifT-Tabelle'!R26</f>
        <v>5605210.5375046246</v>
      </c>
      <c r="J23" s="65">
        <f>IF(AND(M14,O19),I23,0)</f>
        <v>5605210.5375046246</v>
      </c>
      <c r="M23" s="2099"/>
      <c r="N23" s="2099"/>
      <c r="O23" s="2099"/>
    </row>
    <row r="24" spans="1:17" ht="16.5" customHeight="1">
      <c r="A24" s="1071" t="str">
        <f>IF(AND(M14,L27,I24=""),"è","")</f>
        <v/>
      </c>
      <c r="B24" s="1038" t="s">
        <v>4</v>
      </c>
      <c r="C24" s="251"/>
      <c r="D24" s="1" t="str">
        <f>IF(O19,IF(OR(L27,L32),"Oberer Honorarsatz außerhalb der Honorartafel [Vorgabe für 4.4]","Oberer Honorarsatz außerhalb der Honorartafel [Vorgabe für 4.4]"),"")</f>
        <v>Oberer Honorarsatz außerhalb der Honorartafel [Vorgabe für 4.4]</v>
      </c>
      <c r="F24" s="616"/>
      <c r="G24" s="616"/>
      <c r="H24" s="616"/>
      <c r="I24" s="2106"/>
      <c r="J24" s="755"/>
      <c r="M24" s="2099"/>
      <c r="N24" s="2099"/>
      <c r="O24" s="2099"/>
    </row>
    <row r="25" spans="1:17" ht="16.5" customHeight="1">
      <c r="A25" s="1074"/>
      <c r="B25" s="1038"/>
      <c r="C25" s="465"/>
      <c r="D25" s="38"/>
      <c r="E25" s="1776" t="str">
        <f>IF(O19,"Die Honorarsätze ergeben sich auf Grundlage der Anlage:","")</f>
        <v>Die Honorarsätze ergeben sich auf Grundlage der Anlage:</v>
      </c>
      <c r="F25" s="1776"/>
      <c r="G25" s="1776"/>
      <c r="H25" s="1776"/>
      <c r="I25" s="1776"/>
      <c r="J25" s="2107" t="s">
        <v>10</v>
      </c>
      <c r="O25" s="9"/>
      <c r="Q25" s="154"/>
    </row>
    <row r="26" spans="1:17" ht="39.75" customHeight="1">
      <c r="A26" s="1074"/>
      <c r="B26" s="1038"/>
      <c r="C26" s="38"/>
      <c r="D26" s="9"/>
      <c r="E26" s="2108" t="s">
        <v>1031</v>
      </c>
      <c r="F26" s="2108"/>
      <c r="G26" s="2108"/>
      <c r="H26" s="2108"/>
      <c r="I26" s="2109"/>
      <c r="J26" s="2107"/>
      <c r="Q26" s="154"/>
    </row>
    <row r="27" spans="1:17" ht="16.5" customHeight="1">
      <c r="A27" s="1074"/>
      <c r="B27" s="1039" t="s">
        <v>5</v>
      </c>
      <c r="C27" s="330"/>
      <c r="D27" s="622" t="str">
        <f>IF(OR(L27,L32),"Abweichung vom Basishonorarsatz der Honorartafel (Überschreitung)","Abweichung vom Honorarsatz außerhalb der Honorartafel (Überschreitung)")</f>
        <v>Abweichung vom Honorarsatz außerhalb der Honorartafel (Überschreitung)</v>
      </c>
      <c r="E27" s="621"/>
      <c r="F27" s="621"/>
      <c r="G27" s="621"/>
      <c r="H27" s="621"/>
      <c r="I27" s="621"/>
      <c r="J27" s="754"/>
      <c r="L27" s="9" t="b">
        <v>0</v>
      </c>
      <c r="P27" s="44"/>
    </row>
    <row r="28" spans="1:17" ht="16.5" customHeight="1">
      <c r="A28" s="1071" t="str">
        <f>IF(AND(L27,I28=""),"è","")</f>
        <v/>
      </c>
      <c r="B28" s="1040" t="s">
        <v>6</v>
      </c>
      <c r="C28" s="4"/>
      <c r="D28" s="1" t="s">
        <v>367</v>
      </c>
      <c r="H28" s="337" t="s">
        <v>240</v>
      </c>
      <c r="I28" s="2110"/>
      <c r="J28" s="714"/>
    </row>
    <row r="29" spans="1:17" ht="16.5" customHeight="1">
      <c r="A29" s="1074"/>
      <c r="B29" s="1040" t="s">
        <v>7</v>
      </c>
      <c r="C29" s="4"/>
      <c r="D29" s="1" t="s">
        <v>419</v>
      </c>
      <c r="I29" s="752">
        <f>IF(AND(O17,L27,I28&gt;0),'H §35 HOAI'!F11-'H §35 HOAI'!F10,IF(AND(O19,L27,I28&gt;0,I24&gt;I23),(I24-I23),0))</f>
        <v>0</v>
      </c>
      <c r="J29" s="65">
        <f>IF(AND(L27,NOT(L32)),I29*I28/100,0)</f>
        <v>0</v>
      </c>
    </row>
    <row r="30" spans="1:17" ht="16.5" customHeight="1">
      <c r="A30" s="1074"/>
      <c r="B30" s="1038"/>
      <c r="C30" s="4"/>
      <c r="D30" s="2111"/>
      <c r="E30" s="1" t="s">
        <v>369</v>
      </c>
      <c r="H30" s="2111"/>
      <c r="I30" s="2111"/>
      <c r="J30" s="755"/>
    </row>
    <row r="31" spans="1:17" ht="16.5" customHeight="1">
      <c r="A31" s="1074"/>
      <c r="B31" s="1038"/>
      <c r="C31" s="3"/>
      <c r="D31" s="2112"/>
      <c r="E31" s="2113"/>
      <c r="F31" s="2113"/>
      <c r="G31" s="2113"/>
      <c r="H31" s="2113"/>
      <c r="I31" s="2113"/>
      <c r="J31" s="34"/>
    </row>
    <row r="32" spans="1:17" ht="16.5" customHeight="1">
      <c r="A32" s="1074"/>
      <c r="B32" s="1039" t="s">
        <v>8</v>
      </c>
      <c r="C32" s="331"/>
      <c r="D32" s="622" t="str">
        <f>IF(OR(L27,L32),"Abweichung vom Basishonorarsatz (Unterschreitung)","Abweichung vom Honorarsatz außerhalb der Honorartafel (Unterschreitung)")</f>
        <v>Abweichung vom Honorarsatz außerhalb der Honorartafel (Unterschreitung)</v>
      </c>
      <c r="E32" s="787"/>
      <c r="F32" s="623"/>
      <c r="G32" s="623"/>
      <c r="H32" s="623"/>
      <c r="I32" s="625"/>
      <c r="J32" s="316"/>
      <c r="L32" s="9" t="b">
        <v>0</v>
      </c>
      <c r="P32" s="44"/>
    </row>
    <row r="33" spans="1:17" ht="16.5" customHeight="1">
      <c r="A33" s="1071" t="str">
        <f>IF(AND(L32,I33=""),"è","")</f>
        <v/>
      </c>
      <c r="B33" s="1040" t="s">
        <v>54</v>
      </c>
      <c r="C33" s="4"/>
      <c r="D33" s="1" t="s">
        <v>368</v>
      </c>
      <c r="F33" s="246"/>
      <c r="H33" s="337" t="s">
        <v>240</v>
      </c>
      <c r="I33" s="2114"/>
      <c r="J33" s="65">
        <f>IF(AND(NOT(L27),L32),(J22+J23)*I33/100,0)</f>
        <v>0</v>
      </c>
      <c r="L33" s="1"/>
    </row>
    <row r="34" spans="1:17" ht="16.5" customHeight="1">
      <c r="A34" s="1074"/>
      <c r="B34" s="1038"/>
      <c r="C34" s="4"/>
      <c r="E34" s="1" t="s">
        <v>369</v>
      </c>
      <c r="J34" s="756"/>
    </row>
    <row r="35" spans="1:17" ht="16.5" customHeight="1">
      <c r="A35" s="1074"/>
      <c r="B35" s="1038"/>
      <c r="C35" s="4"/>
      <c r="D35" s="2112"/>
      <c r="E35" s="2115"/>
      <c r="F35" s="2115"/>
      <c r="G35" s="2115"/>
      <c r="H35" s="2115"/>
      <c r="I35" s="2115"/>
      <c r="J35" s="40"/>
      <c r="P35" s="44" t="s">
        <v>858</v>
      </c>
    </row>
    <row r="36" spans="1:17" ht="16.5" customHeight="1">
      <c r="A36" s="1074"/>
      <c r="B36" s="1039" t="s">
        <v>839</v>
      </c>
      <c r="C36" s="634"/>
      <c r="D36" s="658" t="s">
        <v>341</v>
      </c>
      <c r="E36" s="635"/>
      <c r="F36" s="630"/>
      <c r="G36" s="630"/>
      <c r="H36" s="630"/>
      <c r="I36" s="636"/>
      <c r="J36" s="624">
        <f>IF(O17,-J33+J29+J22,IF(O19,-J33+J29+J23,0))</f>
        <v>5605210.5375046246</v>
      </c>
      <c r="P36" s="1127">
        <f>IF(J36&gt;0,J36,IF(I23&lt;&gt;"",I23,I22))</f>
        <v>5605210.5375046246</v>
      </c>
    </row>
    <row r="37" spans="1:17" ht="7.5" customHeight="1">
      <c r="A37" s="1074"/>
      <c r="B37" s="1041"/>
      <c r="C37" s="76"/>
      <c r="D37" s="76"/>
      <c r="E37" s="76"/>
      <c r="F37" s="76"/>
      <c r="G37" s="76"/>
      <c r="H37" s="75"/>
      <c r="I37" s="84"/>
      <c r="J37" s="329"/>
    </row>
    <row r="38" spans="1:17" ht="16.5" customHeight="1">
      <c r="A38" s="1074"/>
      <c r="B38" s="1042" t="s">
        <v>67</v>
      </c>
      <c r="C38" s="6" t="s">
        <v>242</v>
      </c>
      <c r="D38" s="326"/>
      <c r="E38" s="4"/>
      <c r="F38" s="249"/>
      <c r="G38" s="249"/>
      <c r="H38" s="249"/>
      <c r="I38" s="249"/>
      <c r="J38" s="756"/>
      <c r="M38" s="2099" t="s">
        <v>123</v>
      </c>
      <c r="N38" s="2099" t="s">
        <v>124</v>
      </c>
      <c r="O38" s="2099" t="s">
        <v>127</v>
      </c>
    </row>
    <row r="39" spans="1:17" ht="30" customHeight="1">
      <c r="A39" s="1074"/>
      <c r="B39" s="1043"/>
      <c r="C39" s="4"/>
      <c r="D39" s="1026"/>
      <c r="E39" s="1756" t="s">
        <v>131</v>
      </c>
      <c r="F39" s="1756"/>
      <c r="G39" s="1756"/>
      <c r="H39" s="1756"/>
      <c r="I39" s="1757"/>
      <c r="J39" s="757"/>
      <c r="L39" s="1"/>
      <c r="M39" s="129" t="b">
        <f>IF(COUNTIF(L40:L41,TRUE)=0,TRUE,FALSE)</f>
        <v>1</v>
      </c>
      <c r="N39" s="129" t="b">
        <f>IF(COUNTIF(O40:O41,TRUE)&gt;1,TRUE,FALSE)</f>
        <v>0</v>
      </c>
      <c r="O39" s="1" t="b">
        <f>AND(NOT(M39),NOT(N39))</f>
        <v>0</v>
      </c>
    </row>
    <row r="40" spans="1:17" ht="16.5" customHeight="1">
      <c r="A40" s="1074"/>
      <c r="B40" s="1037" t="s">
        <v>9</v>
      </c>
      <c r="C40" s="305"/>
      <c r="D40" s="1760" t="s">
        <v>135</v>
      </c>
      <c r="E40" s="1760"/>
      <c r="F40" s="1760"/>
      <c r="G40" s="1760"/>
      <c r="H40" s="959" t="s">
        <v>240</v>
      </c>
      <c r="I40" s="339"/>
      <c r="J40" s="34"/>
      <c r="L40" s="1" t="b">
        <f>IF(COUNT(I40)=1,TRUE,FALSE)</f>
        <v>0</v>
      </c>
      <c r="O40" s="1" t="b">
        <f>AND(L40,I40&gt;0,I40&lt;=100)</f>
        <v>0</v>
      </c>
    </row>
    <row r="41" spans="1:17" ht="16.5" customHeight="1">
      <c r="A41" s="1074"/>
      <c r="B41" s="1038" t="s">
        <v>55</v>
      </c>
      <c r="C41" s="4"/>
      <c r="D41" s="1761" t="s">
        <v>137</v>
      </c>
      <c r="E41" s="1761"/>
      <c r="F41" s="1761"/>
      <c r="G41" s="1761"/>
      <c r="H41" s="337" t="s">
        <v>240</v>
      </c>
      <c r="I41" s="339"/>
      <c r="J41" s="34"/>
      <c r="L41" s="1" t="b">
        <f>IF(COUNT(I41)=1,TRUE,FALSE)</f>
        <v>0</v>
      </c>
      <c r="O41" s="1" t="b">
        <f>AND(L41,I41&gt;0%)</f>
        <v>0</v>
      </c>
    </row>
    <row r="42" spans="1:17" ht="16.5" customHeight="1">
      <c r="A42" s="1074"/>
      <c r="B42" s="1044" t="s">
        <v>86</v>
      </c>
      <c r="C42" s="637"/>
      <c r="D42" s="623" t="str">
        <f>IF(AND(O39,O40),"Es ergibt sich eine Honorarminderung in Höhe von",IF(AND(O39,O41),"Es ergibt sich eine Honorarerhöhung in Höhe von",""))</f>
        <v/>
      </c>
      <c r="E42" s="479"/>
      <c r="F42" s="479"/>
      <c r="G42" s="479"/>
      <c r="H42" s="479"/>
      <c r="I42" s="638"/>
      <c r="J42" s="66">
        <f>IF(J36&gt;0,(IF(AND(O39,O40),I40,IF(AND(O39,I41),I41,0))/100)*J36,0)</f>
        <v>0</v>
      </c>
    </row>
    <row r="43" spans="1:17" ht="16.5" customHeight="1">
      <c r="A43" s="1074"/>
      <c r="B43" s="1040" t="s">
        <v>87</v>
      </c>
      <c r="C43" s="629"/>
      <c r="D43" s="984" t="str">
        <f>IF(AND(O39,O40),"Basishonorar der Leistungsphasen 1 bis 9 nach Minderung",IF(AND(O39,O41),"Basishonorar der Leistungsphasen 1 bis 9 nach Erhöhung","Basishonorar der Leistungsphasen 1 bis 9"))</f>
        <v>Basishonorar der Leistungsphasen 1 bis 9</v>
      </c>
      <c r="E43" s="639"/>
      <c r="F43" s="639"/>
      <c r="G43" s="639"/>
      <c r="H43" s="639"/>
      <c r="I43" s="640"/>
      <c r="J43" s="624">
        <f>IF(AND(O39,O40),J36-J42,IF(AND(O39,O41),J36+J42,J36))</f>
        <v>5605210.5375046246</v>
      </c>
    </row>
    <row r="44" spans="1:17" ht="7.5" customHeight="1">
      <c r="A44" s="1074"/>
      <c r="B44" s="1045"/>
      <c r="C44" s="326"/>
      <c r="D44" s="326"/>
      <c r="E44" s="326"/>
      <c r="F44" s="326"/>
      <c r="G44" s="326"/>
      <c r="H44" s="7"/>
      <c r="I44" s="143"/>
      <c r="J44" s="354"/>
    </row>
    <row r="45" spans="1:17" ht="16.5" customHeight="1">
      <c r="A45" s="1074"/>
      <c r="B45" s="1032">
        <v>6</v>
      </c>
      <c r="C45" s="1022" t="s">
        <v>68</v>
      </c>
      <c r="D45" s="647"/>
      <c r="E45" s="647"/>
      <c r="F45" s="648"/>
      <c r="G45" s="649"/>
      <c r="H45" s="650" t="str">
        <f>IF(Projektgrundlagen!I24,"siehe Teil StB-C1",IF(Projektgrundlagen!I25,"siehe Teil HB-C1",IF(Projektgrundlagen!I26,"siehe Teil HB-C2","")))</f>
        <v>siehe Teil HB-C1</v>
      </c>
      <c r="I45" s="628"/>
      <c r="J45" s="758"/>
      <c r="Q45" s="154"/>
    </row>
    <row r="46" spans="1:17" ht="16.5" customHeight="1">
      <c r="A46" s="1074"/>
      <c r="B46" s="1039" t="s">
        <v>383</v>
      </c>
      <c r="C46" s="334"/>
      <c r="D46" s="1" t="s">
        <v>282</v>
      </c>
      <c r="F46" s="335"/>
      <c r="G46" s="335"/>
      <c r="H46" s="81" t="s">
        <v>240</v>
      </c>
      <c r="I46" s="336">
        <f>'StB-C1 Grundlstg -entfällt-'!J123+'HB-C1 Grundlstg Land'!J195+'HB-C2 Grundlstg Bund'!J204</f>
        <v>52</v>
      </c>
      <c r="J46" s="70"/>
      <c r="Q46" s="154"/>
    </row>
    <row r="47" spans="1:17" ht="16.5" customHeight="1">
      <c r="A47" s="1074"/>
      <c r="B47" s="1034" t="s">
        <v>435</v>
      </c>
      <c r="C47" s="629"/>
      <c r="D47" s="658" t="s">
        <v>283</v>
      </c>
      <c r="E47" s="630"/>
      <c r="F47" s="630"/>
      <c r="G47" s="630"/>
      <c r="H47" s="630"/>
      <c r="I47" s="641"/>
      <c r="J47" s="624">
        <f>IF(AND(O39,OR(O40,O41)),J43*I46%,J36*I46%)</f>
        <v>2914709.479502405</v>
      </c>
    </row>
    <row r="48" spans="1:17" ht="7.5" customHeight="1">
      <c r="A48" s="1074"/>
      <c r="B48" s="1045"/>
      <c r="C48" s="326"/>
      <c r="D48" s="326"/>
      <c r="E48" s="326"/>
      <c r="F48" s="326"/>
      <c r="G48" s="326"/>
      <c r="H48" s="7"/>
      <c r="I48" s="143"/>
      <c r="J48" s="354"/>
      <c r="M48" s="154"/>
    </row>
    <row r="49" spans="1:18" ht="16.5" customHeight="1">
      <c r="A49" s="1071"/>
      <c r="B49" s="1046">
        <v>7</v>
      </c>
      <c r="C49" s="1014" t="s">
        <v>405</v>
      </c>
      <c r="D49" s="77"/>
      <c r="E49" s="77"/>
      <c r="F49" s="77"/>
      <c r="G49" s="77"/>
      <c r="H49" s="247"/>
      <c r="I49" s="148"/>
      <c r="J49" s="759"/>
      <c r="M49" s="2099" t="s">
        <v>123</v>
      </c>
      <c r="N49" s="2099" t="s">
        <v>124</v>
      </c>
      <c r="O49" s="2099" t="s">
        <v>127</v>
      </c>
      <c r="P49" s="44"/>
    </row>
    <row r="50" spans="1:18" ht="16.5" customHeight="1">
      <c r="A50" s="1071" t="str">
        <f>IF(COUNTIF($L$50:$L$56,TRUE)&lt;&gt;1,"è","")</f>
        <v/>
      </c>
      <c r="B50" s="1039" t="s">
        <v>288</v>
      </c>
      <c r="C50" s="466"/>
      <c r="D50" s="1764" t="s">
        <v>851</v>
      </c>
      <c r="E50" s="1765"/>
      <c r="F50" s="1765"/>
      <c r="G50" s="1765"/>
      <c r="H50" s="1765"/>
      <c r="I50" s="1765"/>
      <c r="J50" s="760"/>
      <c r="L50" s="9" t="b">
        <v>1</v>
      </c>
      <c r="M50" s="129" t="b">
        <f>IF(COUNTIF(L50:L56,TRUE)=0,TRUE,FALSE)</f>
        <v>0</v>
      </c>
      <c r="N50" s="129" t="b">
        <f>IF(COUNTIF(L50:L57,TRUE)&gt;1,TRUE,FALSE)</f>
        <v>0</v>
      </c>
      <c r="O50" s="1" t="b">
        <f>AND(NOT(M50),NOT(N50))</f>
        <v>1</v>
      </c>
    </row>
    <row r="51" spans="1:18" ht="16.5" customHeight="1">
      <c r="A51" s="1071"/>
      <c r="B51" s="1047" t="s">
        <v>289</v>
      </c>
      <c r="C51" s="464"/>
      <c r="D51" s="1767" t="s">
        <v>852</v>
      </c>
      <c r="E51" s="1767"/>
      <c r="F51" s="1767"/>
      <c r="G51" s="1767"/>
      <c r="H51" s="1767"/>
      <c r="I51" s="1767"/>
      <c r="J51" s="761"/>
      <c r="L51" s="1"/>
      <c r="P51" s="44"/>
    </row>
    <row r="52" spans="1:18" ht="16.5" customHeight="1">
      <c r="A52" s="1071" t="str">
        <f>IF(COUNTIF($L$50:$L$56,TRUE)&lt;&gt;1,"è","")</f>
        <v/>
      </c>
      <c r="B52" s="1039" t="s">
        <v>290</v>
      </c>
      <c r="C52" s="340"/>
      <c r="D52" s="1764" t="s">
        <v>346</v>
      </c>
      <c r="E52" s="1765"/>
      <c r="F52" s="1765"/>
      <c r="G52" s="1765"/>
      <c r="H52" s="1765"/>
      <c r="I52" s="1765"/>
      <c r="J52" s="760"/>
      <c r="L52" s="1" t="b">
        <v>0</v>
      </c>
      <c r="O52" s="1" t="b">
        <f>AND(NOT(Projektgrundlagen!$I$20),L52,I53&gt;=0,I53&lt;=33,I53&lt;&gt;"")</f>
        <v>0</v>
      </c>
      <c r="P52" s="44" t="s">
        <v>786</v>
      </c>
    </row>
    <row r="53" spans="1:18" ht="16.5" customHeight="1">
      <c r="A53" s="1071"/>
      <c r="B53" s="1040" t="s">
        <v>291</v>
      </c>
      <c r="C53" s="632"/>
      <c r="D53" s="293" t="s">
        <v>801</v>
      </c>
      <c r="E53" s="293"/>
      <c r="F53" s="293"/>
      <c r="G53" s="294"/>
      <c r="H53" s="1095" t="str">
        <f>IF(AND(Projektgrundlagen!$I$20,NOT(Projektgrundlagen!$I$19)),"(0 bis max. 50 v.H. § 36 (2) HOAI)   ","(0 bis max. 33 v.H. § 36 (1) HOAI)   ")</f>
        <v xml:space="preserve">(0 bis max. 33 v.H. § 36 (1) HOAI)   </v>
      </c>
      <c r="I53" s="2116"/>
      <c r="J53" s="342"/>
      <c r="L53" s="1"/>
      <c r="O53" s="1" t="b">
        <f>AND(NOT(Projektgrundlagen!$I$19),Projektgrundlagen!$I$20,L52,I53&gt;=0,I53&lt;=50,I53&lt;&gt;"")</f>
        <v>0</v>
      </c>
      <c r="P53" s="44" t="s">
        <v>787</v>
      </c>
    </row>
    <row r="54" spans="1:18" ht="16.5" customHeight="1">
      <c r="A54" s="1071"/>
      <c r="B54" s="1047" t="s">
        <v>447</v>
      </c>
      <c r="C54" s="627"/>
      <c r="D54" s="478" t="str">
        <f>IF(AND(O50,L52),"Es ergibt sich ein Honorarzuschlag für Umbauten und Modernisierungen in Höhe von",IF(AND(L50,O50),"kein Umbauzuschlag",""))</f>
        <v>kein Umbauzuschlag</v>
      </c>
      <c r="E54" s="508"/>
      <c r="F54" s="508"/>
      <c r="G54" s="508"/>
      <c r="H54" s="508"/>
      <c r="I54" s="668"/>
      <c r="J54" s="66">
        <f>IF(AND(O50,OR(O52,O53)),I53%*J47,0)</f>
        <v>0</v>
      </c>
      <c r="R54" s="194"/>
    </row>
    <row r="55" spans="1:18" ht="16.5" customHeight="1">
      <c r="A55" s="1071" t="str">
        <f>IF(COUNTIF($L$50:$L$56,TRUE)&lt;&gt;1,"è","")</f>
        <v/>
      </c>
      <c r="B55" s="1040" t="s">
        <v>448</v>
      </c>
      <c r="C55" s="340"/>
      <c r="D55" s="1764" t="s">
        <v>347</v>
      </c>
      <c r="E55" s="1765"/>
      <c r="F55" s="1765"/>
      <c r="G55" s="1765"/>
      <c r="H55" s="1765"/>
      <c r="I55" s="1766"/>
      <c r="J55" s="759"/>
      <c r="L55" s="1" t="b">
        <v>0</v>
      </c>
      <c r="O55" s="1" t="b">
        <f>AND(L55,I56&gt;=0,I56&lt;=50,I56&lt;&gt;"")</f>
        <v>0</v>
      </c>
      <c r="P55" s="44"/>
    </row>
    <row r="56" spans="1:18" ht="16.5" customHeight="1">
      <c r="A56" s="1071"/>
      <c r="B56" s="1040" t="s">
        <v>482</v>
      </c>
      <c r="C56" s="632"/>
      <c r="D56" s="248" t="s">
        <v>801</v>
      </c>
      <c r="E56" s="248"/>
      <c r="F56" s="248"/>
      <c r="G56" s="248"/>
      <c r="H56" s="1096" t="s">
        <v>861</v>
      </c>
      <c r="I56" s="2116"/>
      <c r="J56" s="342"/>
      <c r="L56" s="1"/>
      <c r="P56" s="44"/>
      <c r="R56" s="194"/>
    </row>
    <row r="57" spans="1:18" ht="16.5" customHeight="1">
      <c r="A57" s="1071"/>
      <c r="B57" s="1040" t="s">
        <v>483</v>
      </c>
      <c r="C57" s="627"/>
      <c r="D57" s="982" t="str">
        <f>IF(AND(O50,L55),"Es ergibt sich ein Honorarzuschlag für Instandsetzung und Instandhaltung in Höhe von",IF(AND(L50,O50),"kein Instandsetzungszuschlag",""))</f>
        <v>kein Instandsetzungszuschlag</v>
      </c>
      <c r="E57" s="633"/>
      <c r="F57" s="633"/>
      <c r="G57" s="633"/>
      <c r="H57" s="633"/>
      <c r="I57" s="419"/>
      <c r="J57" s="66">
        <f>IF(AND(O50,O55),I56%*J47/P116*P114,0)</f>
        <v>0</v>
      </c>
    </row>
    <row r="58" spans="1:18" ht="16.5" customHeight="1">
      <c r="A58" s="1074"/>
      <c r="B58" s="1034" t="s">
        <v>486</v>
      </c>
      <c r="C58" s="629"/>
      <c r="D58" s="658" t="s">
        <v>283</v>
      </c>
      <c r="E58" s="630"/>
      <c r="F58" s="630"/>
      <c r="G58" s="630"/>
      <c r="H58" s="630"/>
      <c r="I58" s="631"/>
      <c r="J58" s="624">
        <f>IF(AND(L55,O55),J57+J47,IF(AND(L52,OR(O52,O53)),J54+J47,IF(L50,J47,0)))</f>
        <v>2914709.479502405</v>
      </c>
    </row>
    <row r="59" spans="1:18" ht="7.5" customHeight="1">
      <c r="A59" s="1074"/>
      <c r="B59" s="1048"/>
      <c r="C59" s="38"/>
      <c r="D59" s="328"/>
      <c r="E59" s="328"/>
      <c r="F59" s="328"/>
      <c r="G59" s="328"/>
      <c r="H59" s="328"/>
      <c r="I59" s="14"/>
      <c r="J59" s="14"/>
      <c r="L59" s="1"/>
      <c r="P59" s="44"/>
    </row>
    <row r="60" spans="1:18" ht="16.5" customHeight="1">
      <c r="A60" s="1074"/>
      <c r="B60" s="1049">
        <v>8</v>
      </c>
      <c r="C60" s="326" t="s">
        <v>478</v>
      </c>
      <c r="D60" s="1015"/>
      <c r="E60" s="1015"/>
      <c r="F60" s="1015"/>
      <c r="G60" s="1015"/>
      <c r="H60" s="1015"/>
      <c r="I60" s="1015"/>
      <c r="J60" s="762"/>
      <c r="P60" s="44"/>
    </row>
    <row r="61" spans="1:18" ht="16.5" customHeight="1">
      <c r="A61" s="1074"/>
      <c r="B61" s="1039" t="s">
        <v>78</v>
      </c>
      <c r="C61" s="333"/>
      <c r="D61" s="1768" t="s">
        <v>485</v>
      </c>
      <c r="E61" s="1769"/>
      <c r="F61" s="1769"/>
      <c r="G61" s="1769"/>
      <c r="H61" s="1769"/>
      <c r="I61" s="1770"/>
      <c r="J61" s="763"/>
      <c r="L61" s="9" t="b">
        <v>0</v>
      </c>
      <c r="P61" s="44"/>
    </row>
    <row r="62" spans="1:18" ht="43.2" customHeight="1">
      <c r="A62" s="1074"/>
      <c r="B62" s="1047"/>
      <c r="C62" s="47"/>
      <c r="D62" s="1771" t="s">
        <v>784</v>
      </c>
      <c r="E62" s="1771"/>
      <c r="F62" s="1771"/>
      <c r="G62" s="1771"/>
      <c r="H62" s="1771"/>
      <c r="I62" s="1771"/>
      <c r="J62" s="763"/>
      <c r="M62" s="2117"/>
    </row>
    <row r="63" spans="1:18" ht="16.5" customHeight="1">
      <c r="A63" s="1071" t="str">
        <f>IF(AND(L61,I63=""),"è","")</f>
        <v/>
      </c>
      <c r="B63" s="1044" t="s">
        <v>384</v>
      </c>
      <c r="C63" s="643"/>
      <c r="D63" s="1559" t="s">
        <v>235</v>
      </c>
      <c r="E63" s="1559"/>
      <c r="F63" s="1559"/>
      <c r="G63" s="1559"/>
      <c r="H63" s="1560"/>
      <c r="I63" s="2118"/>
      <c r="J63" s="34"/>
      <c r="L63" s="1"/>
      <c r="M63" s="2117"/>
      <c r="N63" s="2119"/>
      <c r="O63" s="2119"/>
    </row>
    <row r="64" spans="1:18" ht="16.5" customHeight="1">
      <c r="A64" s="1074"/>
      <c r="B64" s="1044" t="s">
        <v>385</v>
      </c>
      <c r="C64" s="983"/>
      <c r="D64" s="1" t="str">
        <f>IF(L61,IF(I63&lt;&gt;"","Die Minderung der v.H.-Sätze der Leistungsphasen 1 bis 6 beträgt",""),"keine Wiederholungen")</f>
        <v>keine Wiederholungen</v>
      </c>
      <c r="E64" s="9"/>
      <c r="F64" s="9"/>
      <c r="G64" s="9"/>
      <c r="H64" s="9"/>
      <c r="I64" s="644" t="str">
        <f>IF(AND(L61,I63&lt;&gt;""),IF(ROUND(I63,0)&lt;1,0,IF(ROUND(I63,0)&lt;5,50%,IF(ROUND(I63,0)&lt;8,60%,90%))),"")</f>
        <v/>
      </c>
      <c r="J64" s="40"/>
      <c r="L64" s="1"/>
      <c r="N64" s="2119"/>
      <c r="O64" s="2120"/>
    </row>
    <row r="65" spans="1:17" ht="16.5" customHeight="1">
      <c r="A65" s="1074"/>
      <c r="B65" s="1044" t="s">
        <v>386</v>
      </c>
      <c r="C65" s="477"/>
      <c r="D65" s="972" t="str">
        <f>IF(AND(L61,I63&lt;&gt;""),IF(AND(L52,I52&gt;0),"Es ergibt sich eine Honorarminderung inkl. Umbauzuschlag in Höhe von","Es ergibt sich eine Honorarminderung in Höhe von"),"")</f>
        <v/>
      </c>
      <c r="E65" s="645"/>
      <c r="F65" s="645"/>
      <c r="G65" s="645"/>
      <c r="H65" s="645"/>
      <c r="I65" s="646">
        <f>IF(AND(L61,I64&lt;&gt;"",I64&gt;0),SUM(P107:P112)/100*I64,0)</f>
        <v>0</v>
      </c>
      <c r="J65" s="467">
        <f>IF(AND(L61,I64&gt;0,J47&gt;0),IF(J43&gt;0,IF(J54&gt;0,J43*(1+I53/100)*I65,J43*I65),IF(J54&gt;0,J36*(1+I53)*I65,J36*I65)),0)</f>
        <v>0</v>
      </c>
      <c r="L65" s="1"/>
      <c r="N65" s="194"/>
      <c r="O65" s="194"/>
    </row>
    <row r="66" spans="1:17" ht="16.5" customHeight="1">
      <c r="A66" s="1074"/>
      <c r="B66" s="1034" t="s">
        <v>477</v>
      </c>
      <c r="C66" s="629"/>
      <c r="D66" s="658" t="s">
        <v>283</v>
      </c>
      <c r="E66" s="630"/>
      <c r="F66" s="630"/>
      <c r="G66" s="630"/>
      <c r="H66" s="630"/>
      <c r="I66" s="642"/>
      <c r="J66" s="624">
        <f>IF(NOT(L61),J58,IF(L61,-J65+J58,IF(AND(L61,L17=FALSE,L18=FALSE),-J65+J47,0)))</f>
        <v>2914709.479502405</v>
      </c>
    </row>
    <row r="67" spans="1:17" ht="7.5" customHeight="1">
      <c r="A67" s="1074"/>
      <c r="B67" s="1048"/>
      <c r="C67" s="38"/>
      <c r="D67" s="328"/>
      <c r="E67" s="328"/>
      <c r="F67" s="328"/>
      <c r="G67" s="328"/>
      <c r="H67" s="328"/>
      <c r="I67" s="328"/>
      <c r="J67" s="328"/>
      <c r="L67" s="1"/>
      <c r="N67" s="2119"/>
      <c r="O67" s="2119"/>
    </row>
    <row r="68" spans="1:17" ht="16.5" customHeight="1">
      <c r="A68" s="1074"/>
      <c r="B68" s="1032">
        <v>9</v>
      </c>
      <c r="C68" s="6" t="s">
        <v>281</v>
      </c>
      <c r="D68" s="326"/>
      <c r="E68" s="326"/>
      <c r="F68" s="326"/>
      <c r="G68" s="332"/>
      <c r="H68" s="463" t="str">
        <f>IF(Projektgrundlagen!I24,"siehe Teil StB-D1",IF(Projektgrundlagen!I25,"siehe Teil HB-D1",IF(Projektgrundlagen!I26,"siehe Teil HB-D2","")))</f>
        <v>siehe Teil HB-D1</v>
      </c>
      <c r="I68" s="326"/>
      <c r="J68" s="764"/>
    </row>
    <row r="69" spans="1:17" ht="16.5" customHeight="1">
      <c r="A69" s="1074"/>
      <c r="B69" s="1044" t="s">
        <v>292</v>
      </c>
      <c r="C69" s="627"/>
      <c r="D69" s="972" t="s">
        <v>1045</v>
      </c>
      <c r="E69" s="972"/>
      <c r="F69" s="1020"/>
      <c r="G69" s="1020"/>
      <c r="H69" s="1020"/>
      <c r="I69" s="1021"/>
      <c r="J69" s="66">
        <f>SUM('StB-D1 BesondereLstg -entfällt-'!K92,'HB-D1 Besondere Lstg Land'!K190,'HB-D2 Besondere Lstg Bund'!K140)</f>
        <v>0</v>
      </c>
    </row>
    <row r="70" spans="1:17" ht="16.5" customHeight="1">
      <c r="A70" s="1074"/>
      <c r="B70" s="1050" t="s">
        <v>293</v>
      </c>
      <c r="C70" s="629"/>
      <c r="D70" s="658" t="s">
        <v>301</v>
      </c>
      <c r="E70" s="630"/>
      <c r="F70" s="630"/>
      <c r="G70" s="630"/>
      <c r="H70" s="630"/>
      <c r="I70" s="642"/>
      <c r="J70" s="624">
        <f>IF(L61,J69+J66,J69+J58)</f>
        <v>2914709.479502405</v>
      </c>
    </row>
    <row r="71" spans="1:17" ht="7.5" customHeight="1">
      <c r="A71" s="1074"/>
      <c r="B71" s="1048"/>
      <c r="C71" s="38"/>
      <c r="D71" s="328"/>
      <c r="E71" s="328"/>
      <c r="F71" s="328"/>
      <c r="G71" s="328"/>
      <c r="H71" s="328"/>
      <c r="I71" s="328"/>
      <c r="J71" s="328"/>
    </row>
    <row r="72" spans="1:17" ht="16.5" customHeight="1">
      <c r="A72" s="1074"/>
      <c r="B72" s="1046">
        <v>10</v>
      </c>
      <c r="C72" s="1014" t="s">
        <v>62</v>
      </c>
      <c r="D72" s="77"/>
      <c r="E72" s="77"/>
      <c r="F72" s="147"/>
      <c r="G72" s="148"/>
      <c r="H72" s="147"/>
      <c r="I72" s="147"/>
      <c r="J72" s="759"/>
      <c r="M72" s="2099" t="s">
        <v>123</v>
      </c>
      <c r="N72" s="2099" t="s">
        <v>124</v>
      </c>
      <c r="O72" s="2099" t="s">
        <v>127</v>
      </c>
    </row>
    <row r="73" spans="1:17" ht="16.5" customHeight="1">
      <c r="A73" s="1071" t="str">
        <f>IF(COUNTIF($L$73:$L$76,TRUE)&lt;&gt;1,"è","")</f>
        <v/>
      </c>
      <c r="B73" s="1037" t="s">
        <v>294</v>
      </c>
      <c r="C73" s="341"/>
      <c r="D73" s="1016" t="s">
        <v>439</v>
      </c>
      <c r="E73" s="987"/>
      <c r="F73" s="1017"/>
      <c r="G73" s="1018"/>
      <c r="H73" s="1017"/>
      <c r="I73" s="1019"/>
      <c r="J73" s="765"/>
      <c r="L73" s="9" t="b">
        <v>0</v>
      </c>
      <c r="M73" s="129" t="b">
        <f>IF(COUNTIF(L73:L76,TRUE)=0,TRUE,FALSE)</f>
        <v>0</v>
      </c>
      <c r="N73" s="129" t="b">
        <f>IF(COUNTIF(L73:L76,TRUE)&gt;1,TRUE,FALSE)</f>
        <v>0</v>
      </c>
      <c r="O73" s="1" t="b">
        <f>AND(NOT(M73),NOT(N73),J70&lt;&gt;"")</f>
        <v>1</v>
      </c>
    </row>
    <row r="74" spans="1:17" ht="16.5" customHeight="1">
      <c r="A74" s="1071" t="str">
        <f t="shared" ref="A74:A76" si="0">IF(COUNTIF($L$73:$L$76,TRUE)&lt;&gt;1,"è","")</f>
        <v/>
      </c>
      <c r="B74" s="1038" t="s">
        <v>295</v>
      </c>
      <c r="C74" s="355"/>
      <c r="D74" s="281" t="s">
        <v>132</v>
      </c>
      <c r="E74" s="282"/>
      <c r="F74" s="651"/>
      <c r="G74" s="651"/>
      <c r="H74" s="652"/>
      <c r="I74" s="80"/>
      <c r="J74" s="65">
        <f>IF(AND(L74,O74,$O$73),I74*$J$70,0)</f>
        <v>0</v>
      </c>
      <c r="K74" s="106"/>
      <c r="L74" s="9" t="b">
        <v>1</v>
      </c>
      <c r="O74" s="1" t="b">
        <f>AND(I74&gt;=0%,I74&lt;=100%,I74&lt;&gt;"")</f>
        <v>0</v>
      </c>
      <c r="Q74" s="154"/>
    </row>
    <row r="75" spans="1:17" ht="16.5" customHeight="1">
      <c r="A75" s="1071" t="str">
        <f t="shared" si="0"/>
        <v/>
      </c>
      <c r="B75" s="1037" t="s">
        <v>356</v>
      </c>
      <c r="C75" s="355"/>
      <c r="D75" s="281" t="s">
        <v>133</v>
      </c>
      <c r="E75" s="282"/>
      <c r="F75" s="651"/>
      <c r="G75" s="651"/>
      <c r="H75" s="652"/>
      <c r="I75" s="2122"/>
      <c r="J75" s="65">
        <f>IF(AND(L75,O75,$O$73),I75,0)</f>
        <v>0</v>
      </c>
      <c r="L75" s="2103" t="b">
        <v>0</v>
      </c>
      <c r="O75" s="2123" t="b">
        <f>AND(I75&gt;=0,I75&lt;&gt;"")</f>
        <v>0</v>
      </c>
    </row>
    <row r="76" spans="1:17" ht="16.5" customHeight="1">
      <c r="A76" s="1071" t="str">
        <f t="shared" si="0"/>
        <v/>
      </c>
      <c r="B76" s="1038" t="s">
        <v>357</v>
      </c>
      <c r="C76" s="355"/>
      <c r="D76" s="293" t="s">
        <v>348</v>
      </c>
      <c r="E76" s="293"/>
      <c r="F76" s="294"/>
      <c r="G76" s="294"/>
      <c r="H76" s="295"/>
      <c r="I76" s="653"/>
      <c r="J76" s="65"/>
      <c r="L76" s="2103" t="b">
        <v>0</v>
      </c>
      <c r="O76" s="2123"/>
    </row>
    <row r="77" spans="1:17" ht="16.5" customHeight="1">
      <c r="A77" s="1074"/>
      <c r="B77" s="1038" t="s">
        <v>449</v>
      </c>
      <c r="C77" s="291">
        <v>1</v>
      </c>
      <c r="D77" s="292" t="s">
        <v>73</v>
      </c>
      <c r="E77" s="291"/>
      <c r="F77" s="292"/>
      <c r="G77" s="362"/>
      <c r="H77" s="472" t="str">
        <f>IF(Projektgrundlagen!$I$25,"(Leistungsstufe 1A)",IF(Projektgrundlagen!$I$26,"(Leistungsstufe 1)",""))</f>
        <v>(Leistungsstufe 1A)</v>
      </c>
      <c r="I77" s="2121"/>
      <c r="J77" s="65">
        <f>IF(AND($L$76,O77,$O$73),I77*($J$66/$P$116*P107+SUM(Q107,R107)),0)</f>
        <v>0</v>
      </c>
      <c r="O77" s="2123" t="b">
        <f>IF(O107,AND(I77&gt;=0,I77&lt;&gt;""),"")</f>
        <v>0</v>
      </c>
    </row>
    <row r="78" spans="1:17" ht="16.5" customHeight="1">
      <c r="A78" s="1074"/>
      <c r="B78" s="1038" t="s">
        <v>450</v>
      </c>
      <c r="C78" s="291">
        <v>2</v>
      </c>
      <c r="D78" s="291" t="s">
        <v>79</v>
      </c>
      <c r="E78" s="291"/>
      <c r="F78" s="291"/>
      <c r="G78" s="363"/>
      <c r="H78" s="472" t="str">
        <f>IF(Projektgrundlagen!$I$25,"(Leistungsstufe 1B)",IF(Projektgrundlagen!$I$26,"(Leistungsstufe 1)",""))</f>
        <v>(Leistungsstufe 1B)</v>
      </c>
      <c r="I78" s="2121"/>
      <c r="J78" s="65">
        <f>IF(AND($L$76,O78,$O$73),I78*($J$66/$P$116*P108+SUM(Q108,R108)),0)</f>
        <v>0</v>
      </c>
      <c r="O78" s="2123" t="b">
        <f>IF(O108,AND(I78&gt;=0,I78&lt;&gt;""),"")</f>
        <v>0</v>
      </c>
    </row>
    <row r="79" spans="1:17" ht="16.5" customHeight="1">
      <c r="A79" s="1074"/>
      <c r="B79" s="1038" t="s">
        <v>451</v>
      </c>
      <c r="C79" s="291">
        <v>3</v>
      </c>
      <c r="D79" s="291" t="s">
        <v>80</v>
      </c>
      <c r="E79" s="291"/>
      <c r="F79" s="291"/>
      <c r="G79" s="363"/>
      <c r="H79" s="472" t="str">
        <f>IF(Projektgrundlagen!$I$25,"(Leistungsstufe 1C)",IF(Projektgrundlagen!$I$26,"(Leistungsstufe 1)",""))</f>
        <v>(Leistungsstufe 1C)</v>
      </c>
      <c r="I79" s="2121"/>
      <c r="J79" s="65">
        <f>IF(AND($L$76,O79,$O$73),I79*($J$66/$P$116*P109+SUM(Q109,R109)),0)</f>
        <v>0</v>
      </c>
      <c r="O79" s="2123" t="b">
        <f>IF(O109,AND(I79&gt;=0,I79&lt;&gt;""),"")</f>
        <v>0</v>
      </c>
    </row>
    <row r="80" spans="1:17" ht="16.5" customHeight="1">
      <c r="A80" s="1074"/>
      <c r="B80" s="1038" t="s">
        <v>452</v>
      </c>
      <c r="C80" s="291">
        <v>4</v>
      </c>
      <c r="D80" s="291" t="s">
        <v>81</v>
      </c>
      <c r="E80" s="291"/>
      <c r="F80" s="291"/>
      <c r="G80" s="363"/>
      <c r="H80" s="472" t="str">
        <f>IF(Projektgrundlagen!$I$25,"(Leistungsstufe 1D)",IF(Projektgrundlagen!$I$26,"(Leistungsstufe 1)",""))</f>
        <v>(Leistungsstufe 1D)</v>
      </c>
      <c r="I80" s="2121"/>
      <c r="J80" s="65">
        <f>IF(AND($L$76,O80,$O$73),I80*($J$66/$P$116*P110+SUM(Q110,R110)),0)</f>
        <v>0</v>
      </c>
      <c r="M80" s="194"/>
      <c r="O80" s="2123" t="b">
        <f>IF(O110,AND(I80&gt;=0,I80&lt;&gt;""),"")</f>
        <v>0</v>
      </c>
    </row>
    <row r="81" spans="1:15" ht="16.5" customHeight="1">
      <c r="A81" s="1074"/>
      <c r="B81" s="1038" t="s">
        <v>453</v>
      </c>
      <c r="C81" s="291"/>
      <c r="D81" s="291" t="str">
        <f>IF(Projektgrundlagen!$I$26,"Besondere Leistungen","")</f>
        <v/>
      </c>
      <c r="E81" s="291"/>
      <c r="F81" s="291"/>
      <c r="G81" s="362"/>
      <c r="H81" s="472" t="str">
        <f>IF(Projektgrundlagen!$I$26,"(Leistungsstufe 1)","")</f>
        <v/>
      </c>
      <c r="I81" s="2121"/>
      <c r="J81" s="65">
        <f>IF(AND($L$76,O80,$O$73),I80*(SUM(S110)),0)</f>
        <v>0</v>
      </c>
      <c r="M81" s="194"/>
      <c r="O81" s="2123" t="str">
        <f>IF(T110,AND(I81&gt;=0,I81&lt;&gt;""),"")</f>
        <v/>
      </c>
    </row>
    <row r="82" spans="1:15" ht="16.5" customHeight="1">
      <c r="A82" s="1074"/>
      <c r="B82" s="1038" t="s">
        <v>454</v>
      </c>
      <c r="C82" s="291">
        <v>5</v>
      </c>
      <c r="D82" s="291" t="s">
        <v>82</v>
      </c>
      <c r="E82" s="291"/>
      <c r="F82" s="291"/>
      <c r="G82" s="363"/>
      <c r="H82" s="472" t="str">
        <f>IF(Projektgrundlagen!$I$25,"(Leistungsstufe 2)",IF(Projektgrundlagen!$I$26,"(Leistungsstufe 2)",""))</f>
        <v>(Leistungsstufe 2)</v>
      </c>
      <c r="I82" s="2121"/>
      <c r="J82" s="65">
        <f>IF(AND($L$76,O82,$O$73),I82*($J$66/$P$116*P111+SUM(Q111:S111)),0)</f>
        <v>0</v>
      </c>
      <c r="O82" s="2123" t="b">
        <f>IF(O111,AND(I82&gt;=0,I82&lt;&gt;""),"")</f>
        <v>0</v>
      </c>
    </row>
    <row r="83" spans="1:15" ht="16.5" customHeight="1">
      <c r="A83" s="1074"/>
      <c r="B83" s="1038" t="s">
        <v>455</v>
      </c>
      <c r="C83" s="291">
        <v>6</v>
      </c>
      <c r="D83" s="291" t="s">
        <v>83</v>
      </c>
      <c r="E83" s="291"/>
      <c r="F83" s="291"/>
      <c r="G83" s="363"/>
      <c r="H83" s="472" t="str">
        <f>IF(Projektgrundlagen!$I$25,"(Leistungsstufe 3A)",IF(Projektgrundlagen!$I$26,"(Leistungsstufe 3)",""))</f>
        <v>(Leistungsstufe 3A)</v>
      </c>
      <c r="I83" s="2121"/>
      <c r="J83" s="65">
        <f>IF(AND($L$76,O83,$O$73),I83*($J$66/$P$116*P112+SUM(Q112,R112)),0)</f>
        <v>0</v>
      </c>
      <c r="O83" s="2123" t="str">
        <f>IF(O112,AND(I83&gt;=0,I83&lt;&gt;""),"")</f>
        <v/>
      </c>
    </row>
    <row r="84" spans="1:15" ht="16.5" customHeight="1">
      <c r="A84" s="1074"/>
      <c r="B84" s="1038" t="s">
        <v>456</v>
      </c>
      <c r="C84" s="291">
        <v>7</v>
      </c>
      <c r="D84" s="291" t="s">
        <v>84</v>
      </c>
      <c r="E84" s="291"/>
      <c r="F84" s="291"/>
      <c r="G84" s="363"/>
      <c r="H84" s="472" t="str">
        <f>IF(Projektgrundlagen!$I$25,"(Leistungsstufe 3B)",IF(Projektgrundlagen!$I$26,"(Leistungsstufe 3)",""))</f>
        <v>(Leistungsstufe 3B)</v>
      </c>
      <c r="I84" s="2121"/>
      <c r="J84" s="65">
        <f>IF(AND($L$76,O84,$O$73),I84*($J$66/$P$116*P113+SUM(Q113,R113)),0)</f>
        <v>0</v>
      </c>
      <c r="O84" s="2123" t="str">
        <f>IF(O113,AND(I84&gt;=0,I84&lt;&gt;""),"")</f>
        <v/>
      </c>
    </row>
    <row r="85" spans="1:15" ht="16.5" customHeight="1">
      <c r="A85" s="1074"/>
      <c r="B85" s="1038" t="s">
        <v>457</v>
      </c>
      <c r="C85" s="291"/>
      <c r="D85" s="291" t="str">
        <f>IF(Projektgrundlagen!$I$26,"Besondere Leistungen","")</f>
        <v/>
      </c>
      <c r="E85" s="291"/>
      <c r="F85" s="291"/>
      <c r="G85" s="362"/>
      <c r="H85" s="472" t="str">
        <f>IF(Projektgrundlagen!$I$26,"(Leistungsstufe 3)","")</f>
        <v/>
      </c>
      <c r="I85" s="2121"/>
      <c r="J85" s="65">
        <f>IF(AND($L$76,O85,$O$73),I85*(SUM(S113)),0)</f>
        <v>0</v>
      </c>
      <c r="O85" s="2123" t="str">
        <f>IF(T113,AND(I85&gt;=0,I85&lt;&gt;""),"")</f>
        <v/>
      </c>
    </row>
    <row r="86" spans="1:15" ht="16.5" customHeight="1">
      <c r="A86" s="1074"/>
      <c r="B86" s="1038" t="s">
        <v>458</v>
      </c>
      <c r="C86" s="291">
        <v>8</v>
      </c>
      <c r="D86" s="291" t="s">
        <v>564</v>
      </c>
      <c r="E86" s="291"/>
      <c r="F86" s="291"/>
      <c r="G86" s="363"/>
      <c r="H86" s="472" t="str">
        <f>IF(Projektgrundlagen!$I$25,"(Leistungsstufe 4)",IF(Projektgrundlagen!$I$26,"(Leistungsstufe 4)",""))</f>
        <v>(Leistungsstufe 4)</v>
      </c>
      <c r="I86" s="2121"/>
      <c r="J86" s="65">
        <f>IF(AND($L$76,O86,$O$73),I86*($J$66/$P$116*P114+SUM(Q114:S114)),0)</f>
        <v>0</v>
      </c>
      <c r="O86" s="2123" t="str">
        <f>IF(O114,AND(I86&gt;=0,I86&lt;&gt;""),"")</f>
        <v/>
      </c>
    </row>
    <row r="87" spans="1:15" ht="16.5" customHeight="1">
      <c r="A87" s="1074"/>
      <c r="B87" s="1038" t="s">
        <v>459</v>
      </c>
      <c r="C87" s="291">
        <v>9</v>
      </c>
      <c r="D87" s="291" t="s">
        <v>72</v>
      </c>
      <c r="E87" s="291"/>
      <c r="F87" s="291"/>
      <c r="G87" s="363"/>
      <c r="H87" s="472" t="str">
        <f>IF(Projektgrundlagen!$I$25,"(Leistungsstufe 5)",IF(Projektgrundlagen!$I$26,"(Leistungsstufe 5)",""))</f>
        <v>(Leistungsstufe 5)</v>
      </c>
      <c r="I87" s="2121"/>
      <c r="J87" s="65">
        <f>IF(AND($L$76,O87,$O$73),I87*($J$66/$P$116*P115+SUM(Q115:S115)),0)</f>
        <v>0</v>
      </c>
      <c r="O87" s="2123" t="str">
        <f>IF(O115,AND(I87&gt;=0,I87&lt;&gt;""),"")</f>
        <v/>
      </c>
    </row>
    <row r="88" spans="1:15" ht="16.5" customHeight="1">
      <c r="A88" s="1074"/>
      <c r="B88" s="1033">
        <v>11</v>
      </c>
      <c r="C88" s="262"/>
      <c r="D88" s="248" t="s">
        <v>134</v>
      </c>
      <c r="E88" s="248"/>
      <c r="F88" s="67"/>
      <c r="G88" s="67"/>
      <c r="H88" s="68"/>
      <c r="I88" s="2124"/>
      <c r="J88" s="74"/>
      <c r="L88" s="2103" t="b">
        <v>0</v>
      </c>
    </row>
    <row r="89" spans="1:15" ht="16.5" customHeight="1">
      <c r="A89" s="1074"/>
      <c r="B89" s="1038" t="s">
        <v>436</v>
      </c>
      <c r="C89" s="11"/>
      <c r="D89" s="331"/>
      <c r="E89" s="865" t="s">
        <v>422</v>
      </c>
      <c r="F89" s="865"/>
      <c r="G89" s="865"/>
      <c r="H89" s="1099"/>
      <c r="I89" s="978"/>
      <c r="J89" s="104"/>
      <c r="L89" s="2103" t="b">
        <v>0</v>
      </c>
      <c r="N89" s="116"/>
    </row>
    <row r="90" spans="1:15" ht="16.5" customHeight="1">
      <c r="A90" s="1074"/>
      <c r="B90" s="1038"/>
      <c r="C90" s="11"/>
      <c r="D90" s="248" t="s">
        <v>421</v>
      </c>
      <c r="E90" s="248"/>
      <c r="F90" s="67"/>
      <c r="G90" s="67"/>
      <c r="H90" s="68"/>
      <c r="I90" s="2125"/>
      <c r="J90" s="104"/>
      <c r="L90" s="2103"/>
    </row>
    <row r="91" spans="1:15" ht="16.5" customHeight="1">
      <c r="A91" s="1074"/>
      <c r="B91" s="1040" t="s">
        <v>437</v>
      </c>
      <c r="C91" s="11"/>
      <c r="D91" s="331"/>
      <c r="E91" s="1522" t="s">
        <v>96</v>
      </c>
      <c r="F91" s="1523"/>
      <c r="G91" s="1523"/>
      <c r="H91" s="1523"/>
      <c r="I91" s="865"/>
      <c r="J91" s="104"/>
      <c r="L91" s="2103" t="b">
        <v>0</v>
      </c>
      <c r="N91" s="116"/>
    </row>
    <row r="92" spans="1:15" ht="16.5" customHeight="1">
      <c r="A92" s="1074"/>
      <c r="B92" s="1040" t="s">
        <v>438</v>
      </c>
      <c r="C92" s="3"/>
      <c r="D92" s="331"/>
      <c r="E92" s="2126" t="s">
        <v>119</v>
      </c>
      <c r="F92" s="2127"/>
      <c r="G92" s="2127"/>
      <c r="H92" s="2127"/>
      <c r="I92" s="2128"/>
      <c r="J92" s="103"/>
      <c r="L92" s="2103" t="b">
        <v>0</v>
      </c>
    </row>
    <row r="93" spans="1:15" ht="7.5" customHeight="1">
      <c r="A93" s="1074"/>
      <c r="B93" s="1035"/>
      <c r="C93" s="195"/>
      <c r="D93" s="195"/>
      <c r="E93" s="195"/>
      <c r="F93" s="2101"/>
      <c r="G93" s="2102"/>
      <c r="H93" s="2102"/>
      <c r="I93" s="2102"/>
      <c r="J93" s="75"/>
      <c r="L93" s="2103"/>
    </row>
    <row r="94" spans="1:15" s="21" customFormat="1">
      <c r="A94" s="1075"/>
      <c r="B94" s="1031"/>
      <c r="C94" s="804" t="s">
        <v>284</v>
      </c>
      <c r="D94" s="805"/>
      <c r="E94" s="805"/>
      <c r="F94" s="805"/>
      <c r="G94" s="805"/>
      <c r="H94" s="805"/>
      <c r="I94" s="806"/>
      <c r="J94" s="2129"/>
      <c r="L94" s="2104"/>
      <c r="N94" s="2130"/>
    </row>
    <row r="95" spans="1:15" ht="16.5" customHeight="1">
      <c r="A95" s="1074"/>
      <c r="B95" s="1051">
        <v>12</v>
      </c>
      <c r="C95" s="255"/>
      <c r="D95" s="976" t="str">
        <f>"Honorar "&amp;B2&amp;" netto"</f>
        <v>Honorar Objektplanung Gebäude  netto</v>
      </c>
      <c r="E95" s="976"/>
      <c r="F95" s="976"/>
      <c r="G95" s="976"/>
      <c r="H95" s="976"/>
      <c r="I95" s="977"/>
      <c r="J95" s="66">
        <f>IF(AND(OR(J47&gt;0,J70&gt;0),O73),SUM(J74:J87)+J70,0)</f>
        <v>2914709.479502405</v>
      </c>
      <c r="M95" s="194"/>
    </row>
    <row r="96" spans="1:15" ht="16.5" customHeight="1">
      <c r="A96" s="1074"/>
      <c r="B96" s="1052">
        <v>13</v>
      </c>
      <c r="C96" s="253"/>
      <c r="D96" s="254" t="s">
        <v>136</v>
      </c>
      <c r="E96" s="254"/>
      <c r="F96" s="254"/>
      <c r="G96" s="254"/>
      <c r="H96" s="254"/>
      <c r="I96" s="2131">
        <v>0.19</v>
      </c>
      <c r="J96" s="356">
        <f>J95*I96</f>
        <v>553794.80110545701</v>
      </c>
      <c r="L96" s="368"/>
      <c r="M96" s="44"/>
    </row>
    <row r="97" spans="1:22" ht="17.399999999999999" thickBot="1">
      <c r="A97" s="1074"/>
      <c r="B97" s="1053"/>
      <c r="C97" s="615"/>
      <c r="D97" s="7"/>
      <c r="E97" s="7"/>
      <c r="F97" s="7"/>
      <c r="G97" s="7"/>
      <c r="H97" s="7"/>
      <c r="I97" s="7"/>
      <c r="J97" s="613"/>
    </row>
    <row r="98" spans="1:22" ht="30" customHeight="1" thickBot="1">
      <c r="A98" s="1074"/>
      <c r="B98" s="1054">
        <v>14</v>
      </c>
      <c r="C98" s="975" t="str">
        <f>IF(I96&gt;0,"Honorar "&amp;B2&amp;" brutto","Honorar für "&amp;B2&amp;" netto")</f>
        <v>Honorar Objektplanung Gebäude  brutto</v>
      </c>
      <c r="D98" s="614"/>
      <c r="E98" s="614"/>
      <c r="F98" s="614"/>
      <c r="G98" s="614"/>
      <c r="H98" s="614"/>
      <c r="I98" s="920" t="str">
        <f>IF(AND(L17,NOT(L18)),"[vorläufig]  ",IF(AND(NOT(L17),L18),"[endgültig]  ",""))</f>
        <v xml:space="preserve">[vorläufig]  </v>
      </c>
      <c r="J98" s="606">
        <f>J96+J95</f>
        <v>3468504.2806078619</v>
      </c>
      <c r="M98" s="194"/>
    </row>
    <row r="99" spans="1:22">
      <c r="A99" s="1074"/>
      <c r="C99" s="190"/>
    </row>
    <row r="100" spans="1:22" s="21" customFormat="1">
      <c r="A100" s="1075"/>
      <c r="B100" s="1031"/>
      <c r="C100" s="804" t="s">
        <v>75</v>
      </c>
      <c r="D100" s="805"/>
      <c r="E100" s="805"/>
      <c r="F100" s="805"/>
      <c r="G100" s="805"/>
      <c r="H100" s="805"/>
      <c r="I100" s="806"/>
      <c r="J100" s="2096"/>
      <c r="L100" s="2104"/>
    </row>
    <row r="101" spans="1:22" ht="16.5" customHeight="1">
      <c r="A101" s="1074"/>
      <c r="B101" s="1032">
        <v>15</v>
      </c>
      <c r="C101" s="255" t="s">
        <v>58</v>
      </c>
      <c r="D101" s="986"/>
      <c r="E101" s="77"/>
      <c r="F101" s="77"/>
      <c r="G101" s="77"/>
      <c r="H101" s="77"/>
      <c r="I101" s="77"/>
      <c r="J101" s="759"/>
    </row>
    <row r="102" spans="1:22" ht="16.5" customHeight="1">
      <c r="A102" s="1074"/>
      <c r="B102" s="1037" t="s">
        <v>387</v>
      </c>
      <c r="C102" s="73"/>
      <c r="D102" s="985" t="s">
        <v>589</v>
      </c>
      <c r="E102" s="282"/>
      <c r="F102" s="282"/>
      <c r="G102" s="282"/>
      <c r="H102" s="283" t="s">
        <v>102</v>
      </c>
      <c r="I102" s="654"/>
      <c r="J102" s="104"/>
      <c r="L102" s="1" t="b">
        <v>1</v>
      </c>
      <c r="O102" s="2132"/>
    </row>
    <row r="103" spans="1:22" ht="16.5" customHeight="1">
      <c r="A103" s="1074"/>
      <c r="B103" s="1037" t="s">
        <v>388</v>
      </c>
      <c r="C103" s="105"/>
      <c r="D103" s="281" t="s">
        <v>590</v>
      </c>
      <c r="E103" s="282"/>
      <c r="F103" s="282"/>
      <c r="G103" s="282"/>
      <c r="H103" s="283" t="s">
        <v>102</v>
      </c>
      <c r="I103" s="655"/>
      <c r="J103" s="104"/>
      <c r="L103" s="1" t="b">
        <v>1</v>
      </c>
    </row>
    <row r="104" spans="1:22" ht="16.5" customHeight="1">
      <c r="A104" s="1074"/>
      <c r="B104" s="1038" t="s">
        <v>389</v>
      </c>
      <c r="C104" s="105"/>
      <c r="D104" s="284" t="s">
        <v>591</v>
      </c>
      <c r="E104" s="285"/>
      <c r="F104" s="285"/>
      <c r="G104" s="285"/>
      <c r="H104" s="286" t="s">
        <v>102</v>
      </c>
      <c r="I104" s="654"/>
      <c r="J104" s="104"/>
      <c r="L104" s="1" t="b">
        <v>1</v>
      </c>
    </row>
    <row r="105" spans="1:22" ht="7.5" customHeight="1">
      <c r="A105" s="1074"/>
      <c r="B105" s="1035"/>
      <c r="C105" s="195"/>
      <c r="D105" s="195"/>
      <c r="E105" s="195"/>
      <c r="F105" s="2101"/>
      <c r="G105" s="2102"/>
      <c r="H105" s="2102"/>
      <c r="I105" s="2102"/>
      <c r="J105" s="75"/>
      <c r="L105" s="2103"/>
    </row>
    <row r="106" spans="1:22" ht="16.5" customHeight="1">
      <c r="A106" s="1074"/>
      <c r="B106" s="1032">
        <v>16</v>
      </c>
      <c r="C106" s="256" t="s">
        <v>362</v>
      </c>
      <c r="D106" s="252"/>
      <c r="E106" s="252"/>
      <c r="F106" s="252"/>
      <c r="G106" s="252"/>
      <c r="H106" s="249"/>
      <c r="I106" s="257"/>
      <c r="J106" s="656"/>
      <c r="N106" s="2133"/>
      <c r="O106" s="2134" t="s">
        <v>302</v>
      </c>
      <c r="P106" s="2134" t="s">
        <v>312</v>
      </c>
      <c r="Q106" s="2134" t="s">
        <v>205</v>
      </c>
      <c r="R106" s="2134" t="s">
        <v>206</v>
      </c>
      <c r="S106" s="2134" t="s">
        <v>207</v>
      </c>
      <c r="T106" s="657"/>
      <c r="U106" s="1024"/>
    </row>
    <row r="107" spans="1:22" ht="16.5" customHeight="1">
      <c r="A107" s="1074"/>
      <c r="B107" s="1055"/>
      <c r="C107" s="253"/>
      <c r="D107" s="254" t="s">
        <v>85</v>
      </c>
      <c r="E107" s="254"/>
      <c r="F107" s="254"/>
      <c r="G107" s="254"/>
      <c r="H107" s="250" t="s">
        <v>76</v>
      </c>
      <c r="I107" s="258"/>
      <c r="J107" s="145"/>
      <c r="N107" s="2135" t="s">
        <v>261</v>
      </c>
      <c r="O107" s="357" t="b">
        <f>IF(SUM(P107:R107)&gt;0,TRUE,FALSE)</f>
        <v>1</v>
      </c>
      <c r="P107" s="357">
        <f>'StB-C1 Grundlstg -entfällt-'!J25+'HB-C1 Grundlstg Land'!J29+'HB-C2 Grundlstg Bund'!J29</f>
        <v>2</v>
      </c>
      <c r="Q107" s="116">
        <f>'StB-D1 BesondereLstg -entfällt-'!K20</f>
        <v>0</v>
      </c>
      <c r="R107" s="116">
        <f>'HB-D1 Besondere Lstg Land'!K52</f>
        <v>0</v>
      </c>
      <c r="S107" s="357"/>
      <c r="T107" s="116"/>
      <c r="U107" s="1025"/>
      <c r="V107" s="357"/>
    </row>
    <row r="108" spans="1:22" ht="16.5" customHeight="1">
      <c r="A108" s="1074"/>
      <c r="B108" s="1038" t="s">
        <v>296</v>
      </c>
      <c r="C108" s="958" t="str">
        <f>IF(AND(L110,NOT(L111)),"","1")</f>
        <v>1</v>
      </c>
      <c r="D108" s="289" t="str">
        <f>IF(AND(L110,NOT(L111)),"alle vertraglichen Leistungsphasen",D77)</f>
        <v>Grundlagenermittlung</v>
      </c>
      <c r="E108" s="289"/>
      <c r="F108" s="289"/>
      <c r="G108" s="290" t="s">
        <v>259</v>
      </c>
      <c r="H108" s="1758"/>
      <c r="I108" s="1759"/>
      <c r="J108" s="34"/>
      <c r="N108" s="2135" t="s">
        <v>303</v>
      </c>
      <c r="O108" s="357" t="b">
        <f>IF(SUM(P108:R108)&gt;0,TRUE,FALSE)</f>
        <v>1</v>
      </c>
      <c r="P108" s="357">
        <f>'StB-C1 Grundlstg -entfällt-'!J37+'HB-C1 Grundlstg Land'!J54+'HB-C2 Grundlstg Bund'!J53</f>
        <v>7</v>
      </c>
      <c r="Q108" s="116">
        <f>'StB-D1 BesondereLstg -entfällt-'!K29</f>
        <v>0</v>
      </c>
      <c r="R108" s="116">
        <f>'HB-D1 Besondere Lstg Land'!K65</f>
        <v>0</v>
      </c>
      <c r="S108" s="357"/>
      <c r="T108" s="116"/>
      <c r="U108" s="1025"/>
    </row>
    <row r="109" spans="1:22" ht="16.5" customHeight="1">
      <c r="A109" s="1074"/>
      <c r="B109" s="1038" t="s">
        <v>297</v>
      </c>
      <c r="C109" s="112"/>
      <c r="D109" s="8"/>
      <c r="E109" s="8"/>
      <c r="F109" s="8"/>
      <c r="G109" s="287" t="s">
        <v>260</v>
      </c>
      <c r="H109" s="1762"/>
      <c r="I109" s="1763"/>
      <c r="J109" s="34"/>
      <c r="N109" s="2135" t="s">
        <v>304</v>
      </c>
      <c r="O109" s="357" t="b">
        <f>IF(SUM(P109:R109)&gt;0,TRUE,FALSE)</f>
        <v>1</v>
      </c>
      <c r="P109" s="357">
        <f>'StB-C1 Grundlstg -entfällt-'!J49+'HB-C1 Grundlstg Land'!J75+'HB-C2 Grundlstg Bund'!J74</f>
        <v>15</v>
      </c>
      <c r="Q109" s="116">
        <f>'StB-D1 BesondereLstg -entfällt-'!K38</f>
        <v>0</v>
      </c>
      <c r="R109" s="116">
        <f>'HB-D1 Besondere Lstg Land'!K78</f>
        <v>0</v>
      </c>
      <c r="S109" s="357"/>
      <c r="T109" s="116"/>
      <c r="U109" s="1025"/>
    </row>
    <row r="110" spans="1:22" s="85" customFormat="1" ht="16.5" customHeight="1">
      <c r="A110" s="1074"/>
      <c r="B110" s="1056"/>
      <c r="C110" s="74"/>
      <c r="D110" s="2151"/>
      <c r="E110" s="7" t="s">
        <v>476</v>
      </c>
      <c r="F110" s="7"/>
      <c r="G110" s="7"/>
      <c r="H110" s="7"/>
      <c r="I110" s="25"/>
      <c r="J110" s="34"/>
      <c r="K110" s="1"/>
      <c r="L110" s="193" t="b">
        <v>0</v>
      </c>
      <c r="N110" s="1097" t="s">
        <v>305</v>
      </c>
      <c r="O110" s="358" t="b">
        <f>IF(SUM(P110:R110)&gt;0,TRUE,FALSE)</f>
        <v>1</v>
      </c>
      <c r="P110" s="358">
        <f>'StB-C1 Grundlstg -entfällt-'!J61+'HB-C1 Grundlstg Land'!J85+'HB-C2 Grundlstg Bund'!J84</f>
        <v>3</v>
      </c>
      <c r="Q110" s="364">
        <f>'StB-D1 BesondereLstg -entfällt-'!K47</f>
        <v>0</v>
      </c>
      <c r="R110" s="364">
        <f>'HB-D1 Besondere Lstg Land'!K106</f>
        <v>0</v>
      </c>
      <c r="S110" s="358">
        <f>'HB-D2 Besondere Lstg Bund'!K50</f>
        <v>0</v>
      </c>
      <c r="T110" s="364" t="b">
        <f>AND(Projektgrundlagen!$I$26,IF(COUNTIF('HB-D2 Besondere Lstg Bund'!M14:M49,TRUE)&gt;0,1,0))</f>
        <v>0</v>
      </c>
      <c r="U110" s="2150"/>
    </row>
    <row r="111" spans="1:22" s="85" customFormat="1" ht="16.5" customHeight="1">
      <c r="A111" s="1074"/>
      <c r="B111" s="1056"/>
      <c r="C111" s="103"/>
      <c r="D111" s="2151"/>
      <c r="E111" s="972" t="s">
        <v>317</v>
      </c>
      <c r="F111" s="972"/>
      <c r="G111" s="972"/>
      <c r="H111" s="972"/>
      <c r="I111" s="979"/>
      <c r="J111" s="34"/>
      <c r="K111" s="1"/>
      <c r="L111" s="193" t="b">
        <v>0</v>
      </c>
      <c r="N111" s="1097" t="s">
        <v>306</v>
      </c>
      <c r="O111" s="358" t="b">
        <f>IF(SUM(P111:S111)&gt;0,TRUE,FALSE)</f>
        <v>1</v>
      </c>
      <c r="P111" s="358">
        <f>'StB-C1 Grundlstg -entfällt-'!J73+'HB-C1 Grundlstg Land'!J100+'HB-C2 Grundlstg Bund'!J105</f>
        <v>25</v>
      </c>
      <c r="Q111" s="364">
        <f>'StB-D1 BesondereLstg -entfällt-'!K56</f>
        <v>0</v>
      </c>
      <c r="R111" s="364">
        <f>'HB-D1 Besondere Lstg Land'!K123</f>
        <v>0</v>
      </c>
      <c r="S111" s="358">
        <f>'HB-D2 Besondere Lstg Bund'!K69</f>
        <v>0</v>
      </c>
      <c r="T111" s="364"/>
      <c r="U111" s="2150"/>
    </row>
    <row r="112" spans="1:22" ht="16.5" customHeight="1">
      <c r="A112" s="1074"/>
      <c r="B112" s="1040" t="s">
        <v>298</v>
      </c>
      <c r="C112" s="288">
        <v>2</v>
      </c>
      <c r="D112" s="289" t="str">
        <f>D78</f>
        <v xml:space="preserve">Vorplanung </v>
      </c>
      <c r="E112" s="289"/>
      <c r="F112" s="289"/>
      <c r="G112" s="290" t="s">
        <v>259</v>
      </c>
      <c r="H112" s="1758"/>
      <c r="I112" s="1759"/>
      <c r="J112" s="34"/>
      <c r="N112" s="2135" t="s">
        <v>307</v>
      </c>
      <c r="O112" s="357" t="b">
        <f>IF(SUM(P112:R112)&gt;0,TRUE,FALSE)</f>
        <v>0</v>
      </c>
      <c r="P112" s="357">
        <f>'StB-C1 Grundlstg -entfällt-'!J85+'HB-C1 Grundlstg Land'!J116+'HB-C2 Grundlstg Bund'!J121</f>
        <v>0</v>
      </c>
      <c r="Q112" s="116">
        <f>'StB-D1 BesondereLstg -entfällt-'!K65</f>
        <v>0</v>
      </c>
      <c r="R112" s="116" t="str">
        <f>'HB-D1 Besondere Lstg Land'!K132</f>
        <v/>
      </c>
      <c r="S112" s="357"/>
      <c r="T112" s="116"/>
      <c r="U112" s="1025"/>
    </row>
    <row r="113" spans="1:21" ht="16.5" customHeight="1">
      <c r="A113" s="1074"/>
      <c r="B113" s="1040" t="s">
        <v>440</v>
      </c>
      <c r="C113" s="112"/>
      <c r="D113" s="8"/>
      <c r="E113" s="8"/>
      <c r="F113" s="8"/>
      <c r="G113" s="287" t="s">
        <v>260</v>
      </c>
      <c r="H113" s="1762"/>
      <c r="I113" s="1763"/>
      <c r="J113" s="34"/>
      <c r="N113" s="2135" t="s">
        <v>308</v>
      </c>
      <c r="O113" s="357" t="b">
        <f>IF(SUM(P113:R113)&gt;0,TRUE,FALSE)</f>
        <v>0</v>
      </c>
      <c r="P113" s="357">
        <f>'StB-C1 Grundlstg -entfällt-'!J97+'HB-C1 Grundlstg Land'!J139+'HB-C2 Grundlstg Bund'!J144</f>
        <v>0</v>
      </c>
      <c r="Q113" s="116">
        <f>'StB-D1 BesondereLstg -entfällt-'!K74</f>
        <v>0</v>
      </c>
      <c r="R113" s="116" t="str">
        <f>'HB-D1 Besondere Lstg Land'!K143</f>
        <v/>
      </c>
      <c r="S113" s="357">
        <f>'HB-D2 Besondere Lstg Bund'!K84</f>
        <v>0</v>
      </c>
      <c r="T113" s="116" t="b">
        <f>AND(Projektgrundlagen!$I$26,IF(COUNTIF('HB-D2 Besondere Lstg Bund'!M72:M83,TRUE)&gt;0,1,0))</f>
        <v>0</v>
      </c>
      <c r="U113" s="1025"/>
    </row>
    <row r="114" spans="1:21" ht="16.5" customHeight="1">
      <c r="A114" s="1074"/>
      <c r="B114" s="1040" t="s">
        <v>441</v>
      </c>
      <c r="C114" s="288">
        <v>3</v>
      </c>
      <c r="D114" s="289" t="str">
        <f>D79</f>
        <v xml:space="preserve">Entwurfsplanung </v>
      </c>
      <c r="E114" s="289"/>
      <c r="F114" s="289"/>
      <c r="G114" s="290" t="s">
        <v>259</v>
      </c>
      <c r="H114" s="1758"/>
      <c r="I114" s="1759"/>
      <c r="J114" s="34"/>
      <c r="N114" s="2135" t="s">
        <v>309</v>
      </c>
      <c r="O114" s="357" t="b">
        <f>IF(SUM(P114:S114)&gt;0,TRUE,FALSE)</f>
        <v>0</v>
      </c>
      <c r="P114" s="357">
        <f>'StB-C1 Grundlstg -entfällt-'!J109+'HB-C1 Grundlstg Land'!J182+'HB-C2 Grundlstg Bund'!J191</f>
        <v>0</v>
      </c>
      <c r="Q114" s="116">
        <f>'StB-D1 BesondereLstg -entfällt-'!K83</f>
        <v>0</v>
      </c>
      <c r="R114" s="116" t="str">
        <f>'HB-D1 Besondere Lstg Land'!K165</f>
        <v/>
      </c>
      <c r="S114" s="357">
        <f>'HB-D2 Besondere Lstg Bund'!K103</f>
        <v>0</v>
      </c>
      <c r="T114" s="116"/>
      <c r="U114" s="1025"/>
    </row>
    <row r="115" spans="1:21" ht="16.5" customHeight="1">
      <c r="A115" s="1074"/>
      <c r="B115" s="1040" t="s">
        <v>442</v>
      </c>
      <c r="C115" s="112"/>
      <c r="D115" s="8"/>
      <c r="E115" s="8"/>
      <c r="F115" s="8"/>
      <c r="G115" s="287" t="s">
        <v>260</v>
      </c>
      <c r="H115" s="1762"/>
      <c r="I115" s="1763"/>
      <c r="J115" s="34"/>
      <c r="N115" s="2135" t="s">
        <v>310</v>
      </c>
      <c r="O115" s="357" t="b">
        <f>IF(SUM(P115:S115)&gt;0,TRUE,FALSE)</f>
        <v>0</v>
      </c>
      <c r="P115" s="357">
        <f>'StB-C1 Grundlstg -entfällt-'!J121+'HB-C1 Grundlstg Land'!J191+'HB-C2 Grundlstg Bund'!J202</f>
        <v>0</v>
      </c>
      <c r="Q115" s="116">
        <f>'StB-D1 BesondereLstg -entfällt-'!K90</f>
        <v>0</v>
      </c>
      <c r="R115" s="116" t="str">
        <f>'HB-D1 Besondere Lstg Land'!K184</f>
        <v/>
      </c>
      <c r="S115" s="357">
        <f>'HB-D2 Besondere Lstg Bund'!K138</f>
        <v>0</v>
      </c>
      <c r="T115" s="116"/>
      <c r="U115" s="1025"/>
    </row>
    <row r="116" spans="1:21" ht="16.5" customHeight="1">
      <c r="A116" s="1074"/>
      <c r="B116" s="1040" t="s">
        <v>443</v>
      </c>
      <c r="C116" s="288">
        <v>4</v>
      </c>
      <c r="D116" s="289" t="str">
        <f>D80</f>
        <v xml:space="preserve">Genehmigungsplanung </v>
      </c>
      <c r="E116" s="289"/>
      <c r="F116" s="289"/>
      <c r="G116" s="290" t="s">
        <v>259</v>
      </c>
      <c r="H116" s="1758"/>
      <c r="I116" s="1759"/>
      <c r="J116" s="34"/>
      <c r="N116" s="2140" t="s">
        <v>313</v>
      </c>
      <c r="O116" s="292"/>
      <c r="P116" s="919">
        <f>SUM(P107:P115)</f>
        <v>52</v>
      </c>
      <c r="Q116" s="292"/>
      <c r="R116" s="292"/>
      <c r="S116" s="292"/>
      <c r="T116" s="1023"/>
      <c r="U116" s="1024"/>
    </row>
    <row r="117" spans="1:21" ht="16.5" customHeight="1">
      <c r="A117" s="1074"/>
      <c r="B117" s="1040" t="s">
        <v>444</v>
      </c>
      <c r="C117" s="112"/>
      <c r="D117" s="8"/>
      <c r="E117" s="8"/>
      <c r="F117" s="8"/>
      <c r="G117" s="287" t="s">
        <v>260</v>
      </c>
      <c r="H117" s="1762"/>
      <c r="I117" s="1763"/>
      <c r="J117" s="34"/>
    </row>
    <row r="118" spans="1:21" ht="16.5" customHeight="1">
      <c r="A118" s="1074"/>
      <c r="B118" s="1040" t="s">
        <v>445</v>
      </c>
      <c r="C118" s="288">
        <v>5</v>
      </c>
      <c r="D118" s="289" t="str">
        <f>D82</f>
        <v xml:space="preserve">Ausführungsplanung </v>
      </c>
      <c r="E118" s="289"/>
      <c r="F118" s="289"/>
      <c r="G118" s="290" t="s">
        <v>259</v>
      </c>
      <c r="H118" s="1758"/>
      <c r="I118" s="1759"/>
      <c r="J118" s="34"/>
    </row>
    <row r="119" spans="1:21" ht="16.5" customHeight="1">
      <c r="A119" s="1074"/>
      <c r="B119" s="1040" t="s">
        <v>460</v>
      </c>
      <c r="C119" s="112"/>
      <c r="D119" s="8"/>
      <c r="E119" s="8"/>
      <c r="F119" s="8"/>
      <c r="G119" s="287" t="s">
        <v>260</v>
      </c>
      <c r="H119" s="1762"/>
      <c r="I119" s="1763"/>
      <c r="J119" s="34"/>
    </row>
    <row r="120" spans="1:21" ht="16.5" customHeight="1">
      <c r="A120" s="1074"/>
      <c r="B120" s="1040" t="s">
        <v>461</v>
      </c>
      <c r="C120" s="288">
        <v>6</v>
      </c>
      <c r="D120" s="289" t="str">
        <f>D83</f>
        <v>Vorbereitung der Vergabe</v>
      </c>
      <c r="E120" s="289"/>
      <c r="F120" s="289"/>
      <c r="G120" s="290" t="s">
        <v>259</v>
      </c>
      <c r="H120" s="2136"/>
      <c r="I120" s="2137"/>
      <c r="J120" s="34"/>
    </row>
    <row r="121" spans="1:21" ht="16.5" customHeight="1">
      <c r="A121" s="1074"/>
      <c r="B121" s="1040" t="s">
        <v>462</v>
      </c>
      <c r="C121" s="112"/>
      <c r="D121" s="8"/>
      <c r="E121" s="8"/>
      <c r="F121" s="8"/>
      <c r="G121" s="287" t="s">
        <v>260</v>
      </c>
      <c r="H121" s="2138"/>
      <c r="I121" s="2139"/>
      <c r="J121" s="34"/>
    </row>
    <row r="122" spans="1:21" ht="16.5" customHeight="1">
      <c r="A122" s="1074"/>
      <c r="B122" s="1040" t="s">
        <v>463</v>
      </c>
      <c r="C122" s="288">
        <v>7</v>
      </c>
      <c r="D122" s="289" t="str">
        <f>D84</f>
        <v>Mitwirkung bei der Vergabe</v>
      </c>
      <c r="E122" s="289"/>
      <c r="F122" s="289"/>
      <c r="G122" s="290" t="s">
        <v>259</v>
      </c>
      <c r="H122" s="2136"/>
      <c r="I122" s="2137"/>
      <c r="J122" s="34"/>
    </row>
    <row r="123" spans="1:21" ht="16.5" customHeight="1">
      <c r="A123" s="1074"/>
      <c r="B123" s="1040" t="s">
        <v>464</v>
      </c>
      <c r="C123" s="112"/>
      <c r="D123" s="8"/>
      <c r="E123" s="8"/>
      <c r="F123" s="8"/>
      <c r="G123" s="287" t="s">
        <v>260</v>
      </c>
      <c r="H123" s="2138"/>
      <c r="I123" s="2139"/>
      <c r="J123" s="34"/>
    </row>
    <row r="124" spans="1:21" ht="16.5" customHeight="1">
      <c r="A124" s="1074"/>
      <c r="B124" s="1040" t="s">
        <v>465</v>
      </c>
      <c r="C124" s="288">
        <v>8</v>
      </c>
      <c r="D124" s="289" t="str">
        <f>D86</f>
        <v>Objektüberwachung u. Dokum.</v>
      </c>
      <c r="E124" s="289"/>
      <c r="F124" s="289"/>
      <c r="G124" s="290" t="s">
        <v>259</v>
      </c>
      <c r="H124" s="2136"/>
      <c r="I124" s="2137"/>
      <c r="J124" s="34"/>
    </row>
    <row r="125" spans="1:21" ht="16.5" customHeight="1">
      <c r="A125" s="1074"/>
      <c r="B125" s="1040" t="s">
        <v>466</v>
      </c>
      <c r="C125" s="112"/>
      <c r="D125" s="8"/>
      <c r="E125" s="8"/>
      <c r="F125" s="8"/>
      <c r="G125" s="287" t="s">
        <v>260</v>
      </c>
      <c r="H125" s="2138"/>
      <c r="I125" s="2139"/>
      <c r="J125" s="34"/>
    </row>
    <row r="126" spans="1:21" ht="16.5" customHeight="1">
      <c r="A126" s="1074"/>
      <c r="B126" s="1040" t="s">
        <v>467</v>
      </c>
      <c r="C126" s="288">
        <v>9</v>
      </c>
      <c r="D126" s="289" t="str">
        <f>D87</f>
        <v>Objektbetreuung</v>
      </c>
      <c r="E126" s="289"/>
      <c r="F126" s="289"/>
      <c r="G126" s="290" t="s">
        <v>259</v>
      </c>
      <c r="H126" s="2136"/>
      <c r="I126" s="2137"/>
      <c r="J126" s="34"/>
    </row>
    <row r="127" spans="1:21" ht="16.5" customHeight="1">
      <c r="A127" s="1074"/>
      <c r="B127" s="1050" t="s">
        <v>468</v>
      </c>
      <c r="C127" s="112"/>
      <c r="D127" s="8"/>
      <c r="E127" s="8"/>
      <c r="F127" s="8"/>
      <c r="G127" s="287" t="s">
        <v>260</v>
      </c>
      <c r="H127" s="2138"/>
      <c r="I127" s="2139"/>
      <c r="J127" s="40"/>
    </row>
    <row r="128" spans="1:21">
      <c r="A128" s="1074"/>
      <c r="B128" s="1053"/>
      <c r="C128" s="7"/>
      <c r="D128" s="7"/>
      <c r="E128" s="7"/>
      <c r="F128" s="7"/>
      <c r="G128" s="7"/>
      <c r="H128" s="7"/>
      <c r="I128" s="7"/>
      <c r="J128" s="7"/>
    </row>
    <row r="129" spans="1:13" ht="18" customHeight="1">
      <c r="A129" s="1074"/>
      <c r="B129" s="1057" t="s">
        <v>484</v>
      </c>
      <c r="C129" s="988" t="s">
        <v>118</v>
      </c>
      <c r="D129" s="988"/>
      <c r="E129" s="988"/>
      <c r="F129" s="988"/>
      <c r="G129" s="988"/>
      <c r="H129" s="988"/>
      <c r="I129" s="988"/>
      <c r="J129" s="989"/>
      <c r="L129" s="9" t="b">
        <v>1</v>
      </c>
    </row>
    <row r="130" spans="1:13" ht="16.5" customHeight="1">
      <c r="A130" s="1074"/>
      <c r="B130" s="1058"/>
      <c r="C130" s="113"/>
      <c r="D130" s="7" t="s">
        <v>99</v>
      </c>
      <c r="E130" s="7"/>
      <c r="F130" s="7"/>
      <c r="G130" s="7"/>
      <c r="H130" s="7"/>
      <c r="I130" s="7"/>
      <c r="J130" s="767"/>
    </row>
    <row r="131" spans="1:13" ht="16.5" customHeight="1">
      <c r="A131" s="1074"/>
      <c r="B131" s="1033" t="s">
        <v>479</v>
      </c>
      <c r="C131" s="281" t="s">
        <v>100</v>
      </c>
      <c r="D131" s="291"/>
      <c r="E131" s="657"/>
      <c r="F131" s="657"/>
      <c r="G131" s="657"/>
      <c r="H131" s="657"/>
      <c r="I131" s="766"/>
      <c r="J131" s="103"/>
    </row>
    <row r="132" spans="1:13" ht="16.5" customHeight="1">
      <c r="A132" s="1074"/>
      <c r="B132" s="1044" t="s">
        <v>299</v>
      </c>
      <c r="C132" s="973"/>
      <c r="D132" s="282" t="str">
        <f>D102</f>
        <v>Auftragnehmer</v>
      </c>
      <c r="E132" s="291"/>
      <c r="F132" s="291"/>
      <c r="G132" s="282"/>
      <c r="H132" s="283" t="s">
        <v>44</v>
      </c>
      <c r="I132" s="2141">
        <v>500</v>
      </c>
      <c r="J132" s="82">
        <f>IF(AND(L129,L102,J98&gt;0,I132&gt;0),I102*I132,"")</f>
        <v>0</v>
      </c>
    </row>
    <row r="133" spans="1:13" ht="16.5" customHeight="1">
      <c r="A133" s="1074"/>
      <c r="B133" s="1044" t="s">
        <v>300</v>
      </c>
      <c r="C133" s="973"/>
      <c r="D133" s="282" t="str">
        <f>D103</f>
        <v>Mitarbeiter (Ingenieur)</v>
      </c>
      <c r="E133" s="291"/>
      <c r="F133" s="291"/>
      <c r="G133" s="282"/>
      <c r="H133" s="283" t="s">
        <v>44</v>
      </c>
      <c r="I133" s="2141">
        <v>500</v>
      </c>
      <c r="J133" s="82">
        <f>IF(AND(L129,L103,J98&gt;0,I133&gt;0),I103*I133,"")</f>
        <v>0</v>
      </c>
    </row>
    <row r="134" spans="1:13" ht="16.5" customHeight="1">
      <c r="A134" s="1074"/>
      <c r="B134" s="1039" t="s">
        <v>446</v>
      </c>
      <c r="C134" s="990"/>
      <c r="D134" s="928" t="str">
        <f>D104</f>
        <v xml:space="preserve">Technische Zeichner, sonst. Mitarbeiter </v>
      </c>
      <c r="E134" s="657"/>
      <c r="F134" s="657"/>
      <c r="G134" s="916"/>
      <c r="H134" s="929" t="s">
        <v>44</v>
      </c>
      <c r="I134" s="2141">
        <v>500</v>
      </c>
      <c r="J134" s="82">
        <f>IF(AND(L129,L104,J98&gt;0,I134&gt;0),I104*I134,"")</f>
        <v>0</v>
      </c>
    </row>
    <row r="135" spans="1:13" ht="16.5" customHeight="1">
      <c r="A135" s="1074"/>
      <c r="B135" s="1049">
        <v>18</v>
      </c>
      <c r="C135" s="1100" t="s">
        <v>97</v>
      </c>
      <c r="D135" s="289"/>
      <c r="E135" s="289"/>
      <c r="F135" s="289"/>
      <c r="G135" s="930"/>
      <c r="H135" s="931" t="s">
        <v>49</v>
      </c>
      <c r="I135" s="917" t="s">
        <v>403</v>
      </c>
      <c r="J135" s="145"/>
    </row>
    <row r="136" spans="1:13" ht="16.5" customHeight="1">
      <c r="A136" s="1074"/>
      <c r="B136" s="1039" t="s">
        <v>480</v>
      </c>
      <c r="C136" s="2142"/>
      <c r="D136" s="2143" t="str">
        <f>IF(AND(L88,L92),IF(E92="","",E92),"Inhalt aus Z 11.3")</f>
        <v>Inhalt aus Z 11.3</v>
      </c>
      <c r="E136" s="2143"/>
      <c r="F136" s="2143"/>
      <c r="G136" s="2144"/>
      <c r="H136" s="2141"/>
      <c r="I136" s="2145"/>
      <c r="J136" s="918" t="str">
        <f>IF(AND(L129,L88,L92,J98&gt;0,H136&gt;0),H136*I136,"")</f>
        <v/>
      </c>
      <c r="M136" s="44" t="s">
        <v>128</v>
      </c>
    </row>
    <row r="137" spans="1:13" ht="15" customHeight="1">
      <c r="A137" s="1074"/>
      <c r="B137" s="1039" t="s">
        <v>481</v>
      </c>
      <c r="C137" s="2146"/>
      <c r="D137" s="2147"/>
      <c r="E137" s="2147"/>
      <c r="F137" s="2147"/>
      <c r="G137" s="2148"/>
      <c r="H137" s="1881"/>
      <c r="I137" s="2149"/>
      <c r="J137" s="82" t="str">
        <f>IF(AND(L129,J98&gt;0,H137&gt;0),H137*I137,"")</f>
        <v/>
      </c>
    </row>
    <row r="138" spans="1:13" ht="16.5" customHeight="1">
      <c r="A138" s="1074"/>
      <c r="B138" s="1049">
        <v>19</v>
      </c>
      <c r="C138" s="635" t="s">
        <v>101</v>
      </c>
      <c r="D138" s="635"/>
      <c r="E138" s="635"/>
      <c r="F138" s="635"/>
      <c r="G138" s="635"/>
      <c r="H138" s="635"/>
      <c r="I138" s="659"/>
      <c r="J138" s="490">
        <f>IF(L129,SUM(J132:J137),"")</f>
        <v>0</v>
      </c>
    </row>
    <row r="139" spans="1:13" ht="7.5" customHeight="1">
      <c r="A139" s="1074"/>
      <c r="B139" s="1059"/>
      <c r="C139" s="76"/>
      <c r="D139" s="75"/>
      <c r="E139" s="75"/>
      <c r="F139" s="75"/>
      <c r="G139" s="75"/>
      <c r="H139" s="75"/>
      <c r="I139" s="75"/>
      <c r="J139" s="162"/>
    </row>
    <row r="140" spans="1:13" s="21" customFormat="1" ht="19.5" customHeight="1">
      <c r="A140" s="1075"/>
      <c r="B140" s="1031"/>
      <c r="C140" s="804" t="s">
        <v>280</v>
      </c>
      <c r="D140" s="805"/>
      <c r="E140" s="805"/>
      <c r="F140" s="805"/>
      <c r="G140" s="805"/>
      <c r="H140" s="805"/>
      <c r="I140" s="806"/>
      <c r="J140" s="2129"/>
      <c r="L140" s="2104"/>
    </row>
    <row r="141" spans="1:13" ht="16.5" customHeight="1">
      <c r="A141" s="1074"/>
      <c r="B141" s="1051">
        <v>20</v>
      </c>
      <c r="C141" s="75"/>
      <c r="D141" s="76" t="s">
        <v>487</v>
      </c>
      <c r="E141" s="75"/>
      <c r="F141" s="75"/>
      <c r="G141" s="1060"/>
      <c r="H141" s="75"/>
      <c r="I141" s="24"/>
      <c r="J141" s="65">
        <f>SUM(J95,J138)</f>
        <v>2914709.479502405</v>
      </c>
    </row>
    <row r="142" spans="1:13" ht="16.5" customHeight="1">
      <c r="A142" s="1074"/>
      <c r="B142" s="1052">
        <v>21</v>
      </c>
      <c r="C142" s="254"/>
      <c r="D142" s="254" t="s">
        <v>136</v>
      </c>
      <c r="E142" s="254"/>
      <c r="F142" s="254"/>
      <c r="G142" s="254"/>
      <c r="H142" s="254"/>
      <c r="I142" s="1010">
        <f>I96</f>
        <v>0.19</v>
      </c>
      <c r="J142" s="915">
        <f>J141*I142</f>
        <v>553794.80110545701</v>
      </c>
    </row>
    <row r="143" spans="1:13" ht="17.399999999999999" thickBot="1">
      <c r="B143" s="1053"/>
      <c r="C143" s="615"/>
      <c r="D143" s="7"/>
      <c r="E143" s="7"/>
      <c r="F143" s="7"/>
      <c r="G143" s="7"/>
      <c r="H143" s="7"/>
      <c r="I143" s="7"/>
      <c r="J143" s="613"/>
    </row>
    <row r="144" spans="1:13" ht="30" customHeight="1" thickBot="1">
      <c r="B144" s="1054">
        <v>22</v>
      </c>
      <c r="C144" s="614" t="str">
        <f>IF(I142&lt;=0,"Angebotssumme netto","Angebotssumme brutto")</f>
        <v>Angebotssumme brutto</v>
      </c>
      <c r="D144" s="614"/>
      <c r="E144" s="614"/>
      <c r="F144" s="614"/>
      <c r="G144" s="614"/>
      <c r="H144" s="614"/>
      <c r="I144" s="1011"/>
      <c r="J144" s="606">
        <f>J142+J141</f>
        <v>3468504.2806078619</v>
      </c>
    </row>
    <row r="145" spans="3:5">
      <c r="C145" s="190"/>
      <c r="D145" s="190" t="s">
        <v>490</v>
      </c>
      <c r="E145" s="190"/>
    </row>
    <row r="146" spans="3:5"/>
    <row r="147" spans="3:5"/>
    <row r="192"/>
    <row r="193"/>
  </sheetData>
  <sheetProtection algorithmName="SHA-512" hashValue="mtGwcSUNbcqDj3pNtjrGYqOTDuCEiCNSThucy8Qy8AtwpPEiFUOtPaV+vc2wCcBR1IdFbs8Wy4K37nlmgly4pQ==" saltValue="gYXQH41FsBJf8Ort3GsEUA==" spinCount="100000" sheet="1" formatRows="0" insertColumns="0" insertRows="0" deleteColumns="0" deleteRows="0"/>
  <dataConsolidate/>
  <mergeCells count="51">
    <mergeCell ref="E31:I31"/>
    <mergeCell ref="E35:I35"/>
    <mergeCell ref="E26:I26"/>
    <mergeCell ref="B5:E5"/>
    <mergeCell ref="B6:E6"/>
    <mergeCell ref="B7:E7"/>
    <mergeCell ref="B10:F10"/>
    <mergeCell ref="G10:H10"/>
    <mergeCell ref="F6:J6"/>
    <mergeCell ref="K2:K8"/>
    <mergeCell ref="F5:H5"/>
    <mergeCell ref="D17:H17"/>
    <mergeCell ref="E25:I25"/>
    <mergeCell ref="D18:H18"/>
    <mergeCell ref="F7:J7"/>
    <mergeCell ref="F8:J8"/>
    <mergeCell ref="B8:E8"/>
    <mergeCell ref="B2:H2"/>
    <mergeCell ref="B3:H3"/>
    <mergeCell ref="D136:G136"/>
    <mergeCell ref="D137:G137"/>
    <mergeCell ref="H122:I122"/>
    <mergeCell ref="H124:I124"/>
    <mergeCell ref="H123:I123"/>
    <mergeCell ref="H127:I127"/>
    <mergeCell ref="H126:I126"/>
    <mergeCell ref="H125:I125"/>
    <mergeCell ref="H121:I121"/>
    <mergeCell ref="D61:I61"/>
    <mergeCell ref="H113:I113"/>
    <mergeCell ref="H115:I115"/>
    <mergeCell ref="H117:I117"/>
    <mergeCell ref="H119:I119"/>
    <mergeCell ref="H108:I108"/>
    <mergeCell ref="H112:I112"/>
    <mergeCell ref="H114:I114"/>
    <mergeCell ref="H116:I116"/>
    <mergeCell ref="D62:I62"/>
    <mergeCell ref="D63:H63"/>
    <mergeCell ref="E91:H91"/>
    <mergeCell ref="E39:I39"/>
    <mergeCell ref="E92:I92"/>
    <mergeCell ref="H118:I118"/>
    <mergeCell ref="H120:I120"/>
    <mergeCell ref="D40:G40"/>
    <mergeCell ref="D41:G41"/>
    <mergeCell ref="H109:I109"/>
    <mergeCell ref="D50:I50"/>
    <mergeCell ref="D55:I55"/>
    <mergeCell ref="D51:I51"/>
    <mergeCell ref="D52:I52"/>
  </mergeCells>
  <conditionalFormatting sqref="B112:I127">
    <cfRule type="expression" dxfId="191" priority="24">
      <formula>AND($L$110,$L$111=FALSE)</formula>
    </cfRule>
  </conditionalFormatting>
  <conditionalFormatting sqref="C17:C18">
    <cfRule type="expression" dxfId="190" priority="2020">
      <formula>OR(AND($L$15,$M$17),AND($L$15,$N$17))</formula>
    </cfRule>
  </conditionalFormatting>
  <conditionalFormatting sqref="C27">
    <cfRule type="expression" dxfId="189" priority="44">
      <formula>AND(L27,L32)</formula>
    </cfRule>
  </conditionalFormatting>
  <conditionalFormatting sqref="C32">
    <cfRule type="expression" dxfId="188" priority="43">
      <formula>AND(L27,L32)</formula>
    </cfRule>
  </conditionalFormatting>
  <conditionalFormatting sqref="C50">
    <cfRule type="expression" dxfId="187" priority="1487">
      <formula>NOT(O50)</formula>
    </cfRule>
  </conditionalFormatting>
  <conditionalFormatting sqref="C52">
    <cfRule type="expression" dxfId="186" priority="1489">
      <formula>NOT(O50)</formula>
    </cfRule>
  </conditionalFormatting>
  <conditionalFormatting sqref="C55">
    <cfRule type="expression" dxfId="185" priority="96">
      <formula>NOT(O50)</formula>
    </cfRule>
  </conditionalFormatting>
  <conditionalFormatting sqref="C73:C76">
    <cfRule type="expression" dxfId="184" priority="206">
      <formula>OR($M$73,$N$73)</formula>
    </cfRule>
  </conditionalFormatting>
  <conditionalFormatting sqref="C102">
    <cfRule type="expression" dxfId="183" priority="1945">
      <formula>AND(L129,L88,L91,NOT(L102))</formula>
    </cfRule>
  </conditionalFormatting>
  <conditionalFormatting sqref="C136">
    <cfRule type="expression" dxfId="182" priority="1902">
      <formula>AND(NOT(M88),NOT(M92))</formula>
    </cfRule>
  </conditionalFormatting>
  <conditionalFormatting sqref="C137">
    <cfRule type="expression" dxfId="181" priority="1821">
      <formula>NOT(M129)</formula>
    </cfRule>
  </conditionalFormatting>
  <conditionalFormatting sqref="C138">
    <cfRule type="expression" dxfId="180" priority="25">
      <formula>$L$129</formula>
    </cfRule>
  </conditionalFormatting>
  <conditionalFormatting sqref="C22:D22">
    <cfRule type="expression" dxfId="179" priority="35">
      <formula>$L$14</formula>
    </cfRule>
  </conditionalFormatting>
  <conditionalFormatting sqref="C23:D23">
    <cfRule type="expression" dxfId="178" priority="34">
      <formula>$M$14</formula>
    </cfRule>
  </conditionalFormatting>
  <conditionalFormatting sqref="C129:J129 C131 C135">
    <cfRule type="expression" dxfId="177" priority="26">
      <formula>$L$129</formula>
    </cfRule>
  </conditionalFormatting>
  <conditionalFormatting sqref="D30">
    <cfRule type="expression" dxfId="176" priority="2041">
      <formula>N27=FALSE</formula>
    </cfRule>
  </conditionalFormatting>
  <conditionalFormatting sqref="D31 J31">
    <cfRule type="expression" dxfId="175" priority="58">
      <formula>OR($M$17,$N$17)</formula>
    </cfRule>
  </conditionalFormatting>
  <conditionalFormatting sqref="D31">
    <cfRule type="expression" dxfId="174" priority="61">
      <formula>N29=FALSE</formula>
    </cfRule>
  </conditionalFormatting>
  <conditionalFormatting sqref="D34:D35">
    <cfRule type="expression" dxfId="173" priority="142">
      <formula>N32=FALSE</formula>
    </cfRule>
  </conditionalFormatting>
  <conditionalFormatting sqref="D89">
    <cfRule type="expression" dxfId="172" priority="30">
      <formula>NOT(L88)</formula>
    </cfRule>
    <cfRule type="expression" dxfId="171" priority="32">
      <formula>OR($L$74,$L$75,$L$76)</formula>
    </cfRule>
  </conditionalFormatting>
  <conditionalFormatting sqref="D91">
    <cfRule type="expression" dxfId="170" priority="102">
      <formula>NOT(L88)</formula>
    </cfRule>
  </conditionalFormatting>
  <conditionalFormatting sqref="D92">
    <cfRule type="expression" dxfId="169" priority="103">
      <formula>NOT(L88)</formula>
    </cfRule>
  </conditionalFormatting>
  <conditionalFormatting sqref="D110">
    <cfRule type="expression" dxfId="168" priority="216">
      <formula>OR(AND(L110,L111),AND(L110=FALSE,L111=FALSE))</formula>
    </cfRule>
  </conditionalFormatting>
  <conditionalFormatting sqref="D111">
    <cfRule type="expression" dxfId="167" priority="217">
      <formula>OR(AND(L110,L111),AND(L110=FALSE,L111=FALSE))</formula>
    </cfRule>
  </conditionalFormatting>
  <conditionalFormatting sqref="D136">
    <cfRule type="expression" dxfId="166" priority="1901">
      <formula>AND(NOT(L88),NOT(L92))</formula>
    </cfRule>
  </conditionalFormatting>
  <conditionalFormatting sqref="D137">
    <cfRule type="expression" dxfId="165" priority="1831">
      <formula>NOT(L129)</formula>
    </cfRule>
  </conditionalFormatting>
  <conditionalFormatting sqref="D17:H17">
    <cfRule type="expression" dxfId="164" priority="109">
      <formula>AND(L17,NOT(L18))</formula>
    </cfRule>
  </conditionalFormatting>
  <conditionalFormatting sqref="D18:H18">
    <cfRule type="expression" dxfId="163" priority="108">
      <formula>AND(L18,NOT(L17))</formula>
    </cfRule>
  </conditionalFormatting>
  <conditionalFormatting sqref="D28:H29 E30:I31">
    <cfRule type="expression" dxfId="162" priority="65">
      <formula>OR($M$17,$N$17)</formula>
    </cfRule>
  </conditionalFormatting>
  <conditionalFormatting sqref="D33:J35">
    <cfRule type="expression" dxfId="161" priority="52">
      <formula>OR($M$17,$N$17)</formula>
    </cfRule>
  </conditionalFormatting>
  <conditionalFormatting sqref="E26">
    <cfRule type="expression" dxfId="160" priority="110">
      <formula>NOT(O19)</formula>
    </cfRule>
  </conditionalFormatting>
  <conditionalFormatting sqref="E31">
    <cfRule type="expression" dxfId="159" priority="2036">
      <formula>OR(NOT(L27),AND(L27,L32))</formula>
    </cfRule>
  </conditionalFormatting>
  <conditionalFormatting sqref="E35">
    <cfRule type="expression" dxfId="158" priority="113">
      <formula>OR(NOT(L32),AND(L27,L32))</formula>
    </cfRule>
  </conditionalFormatting>
  <conditionalFormatting sqref="E89">
    <cfRule type="expression" dxfId="157" priority="31">
      <formula>NOT(L88)</formula>
    </cfRule>
  </conditionalFormatting>
  <conditionalFormatting sqref="E91">
    <cfRule type="expression" dxfId="156" priority="140">
      <formula>L88=FALSE</formula>
    </cfRule>
  </conditionalFormatting>
  <conditionalFormatting sqref="E92">
    <cfRule type="expression" dxfId="155" priority="139">
      <formula>L88=FALSE</formula>
    </cfRule>
  </conditionalFormatting>
  <conditionalFormatting sqref="E89:G89 I89">
    <cfRule type="expression" dxfId="154" priority="33">
      <formula>OR($L$74,$L$75,$L$76)</formula>
    </cfRule>
  </conditionalFormatting>
  <conditionalFormatting sqref="E31:I31">
    <cfRule type="expression" dxfId="153" priority="2037">
      <formula>AND(L27,NOT(L32),E31="")</formula>
    </cfRule>
  </conditionalFormatting>
  <conditionalFormatting sqref="E35:I35">
    <cfRule type="expression" dxfId="152" priority="114">
      <formula>AND(L32,E35="")</formula>
    </cfRule>
  </conditionalFormatting>
  <conditionalFormatting sqref="G110">
    <cfRule type="expression" dxfId="151" priority="1978">
      <formula>OR(AND(M110,M111),AND(M110=FALSE,M111=FALSE))</formula>
    </cfRule>
  </conditionalFormatting>
  <conditionalFormatting sqref="G111">
    <cfRule type="expression" dxfId="150" priority="1976">
      <formula>OR(AND(M110,M111),AND(M110=FALSE,M111=FALSE))</formula>
    </cfRule>
  </conditionalFormatting>
  <conditionalFormatting sqref="H136">
    <cfRule type="expression" dxfId="149" priority="1900">
      <formula>AND($L$129,L88,L92,H136="")</formula>
    </cfRule>
    <cfRule type="expression" dxfId="148" priority="1899">
      <formula>AND($L$129,L87,L92)</formula>
    </cfRule>
  </conditionalFormatting>
  <conditionalFormatting sqref="H137">
    <cfRule type="expression" dxfId="147" priority="1827">
      <formula>NOT(L129)</formula>
    </cfRule>
    <cfRule type="expression" dxfId="146" priority="1828">
      <formula>AND($L$129,D137&lt;&gt;"",H137="")</formula>
    </cfRule>
  </conditionalFormatting>
  <conditionalFormatting sqref="H30:I30">
    <cfRule type="expression" dxfId="145" priority="143">
      <formula>L27=FALSE</formula>
    </cfRule>
  </conditionalFormatting>
  <conditionalFormatting sqref="H34:I34">
    <cfRule type="expression" dxfId="144" priority="2044">
      <formula>L32=FALSE</formula>
    </cfRule>
  </conditionalFormatting>
  <conditionalFormatting sqref="H108:I108">
    <cfRule type="expression" dxfId="143" priority="2000">
      <formula>AND(NOT(O107),NOT(L110))</formula>
    </cfRule>
    <cfRule type="expression" dxfId="142" priority="1999">
      <formula>OR(AND(O107,H108=""),AND(L110,H108=""))</formula>
    </cfRule>
  </conditionalFormatting>
  <conditionalFormatting sqref="H109:I109">
    <cfRule type="expression" dxfId="141" priority="2001">
      <formula>OR(AND(O107,H109=""),AND(L110,H109=""))</formula>
    </cfRule>
    <cfRule type="expression" dxfId="140" priority="2002">
      <formula>AND(NOT(O107),NOT(L110))</formula>
    </cfRule>
  </conditionalFormatting>
  <conditionalFormatting sqref="H112:I112">
    <cfRule type="expression" dxfId="139" priority="629">
      <formula>IF(AND(H112="",O108),1,0)</formula>
    </cfRule>
    <cfRule type="expression" dxfId="138" priority="134">
      <formula>O108=FALSE</formula>
    </cfRule>
  </conditionalFormatting>
  <conditionalFormatting sqref="H113:I114">
    <cfRule type="expression" dxfId="137" priority="133">
      <formula>O108=FALSE</formula>
    </cfRule>
    <cfRule type="expression" dxfId="136" priority="214">
      <formula>IF(AND(H113="",O108),1,0)</formula>
    </cfRule>
  </conditionalFormatting>
  <conditionalFormatting sqref="H115:I116">
    <cfRule type="expression" dxfId="135" priority="130">
      <formula>O109=FALSE</formula>
    </cfRule>
    <cfRule type="expression" dxfId="134" priority="213">
      <formula>IF(AND(H115="",O109),1,0)</formula>
    </cfRule>
  </conditionalFormatting>
  <conditionalFormatting sqref="H117:I118">
    <cfRule type="expression" dxfId="133" priority="212">
      <formula>IF(AND(H117="",O110),1,0)</formula>
    </cfRule>
    <cfRule type="expression" dxfId="132" priority="128">
      <formula>O110=FALSE</formula>
    </cfRule>
  </conditionalFormatting>
  <conditionalFormatting sqref="H119:I120">
    <cfRule type="expression" dxfId="131" priority="126">
      <formula>O111=FALSE</formula>
    </cfRule>
    <cfRule type="expression" dxfId="130" priority="211">
      <formula>IF(AND(H119="",O111),1,0)</formula>
    </cfRule>
  </conditionalFormatting>
  <conditionalFormatting sqref="H121:I122">
    <cfRule type="expression" dxfId="129" priority="49">
      <formula>O112=FALSE</formula>
    </cfRule>
    <cfRule type="expression" dxfId="128" priority="210">
      <formula>IF(AND(H121="",O112),1,0)</formula>
    </cfRule>
  </conditionalFormatting>
  <conditionalFormatting sqref="H123:I124">
    <cfRule type="expression" dxfId="127" priority="122">
      <formula>O113=FALSE</formula>
    </cfRule>
    <cfRule type="expression" dxfId="126" priority="209">
      <formula>IF(AND(H123="",O113),1,0)</formula>
    </cfRule>
  </conditionalFormatting>
  <conditionalFormatting sqref="H125:I126">
    <cfRule type="expression" dxfId="125" priority="120">
      <formula>O114=FALSE</formula>
    </cfRule>
    <cfRule type="expression" dxfId="124" priority="208">
      <formula>IF(AND(H125="",O114),1,0)</formula>
    </cfRule>
  </conditionalFormatting>
  <conditionalFormatting sqref="H127:I127">
    <cfRule type="expression" dxfId="123" priority="207">
      <formula>IF(AND(H127="",O115),1,0)</formula>
    </cfRule>
    <cfRule type="expression" dxfId="122" priority="119">
      <formula>O115=FALSE</formula>
    </cfRule>
  </conditionalFormatting>
  <conditionalFormatting sqref="I23">
    <cfRule type="expression" dxfId="121" priority="2022">
      <formula>NOT(O19)</formula>
    </cfRule>
    <cfRule type="expression" dxfId="120" priority="2021">
      <formula>AND(M14,I23="")</formula>
    </cfRule>
  </conditionalFormatting>
  <conditionalFormatting sqref="I24">
    <cfRule type="expression" dxfId="119" priority="2">
      <formula>IF($R$12&lt;25000000,1,0)</formula>
    </cfRule>
    <cfRule type="expression" dxfId="118" priority="3">
      <formula>NOT($R$12)</formula>
    </cfRule>
    <cfRule type="expression" dxfId="117" priority="4">
      <formula>IF($R$12=500000000,1,0)</formula>
    </cfRule>
    <cfRule type="expression" dxfId="116" priority="19">
      <formula>IF($R$11=1,1,0)</formula>
    </cfRule>
    <cfRule type="expression" dxfId="115" priority="5">
      <formula>IF($R$12&gt;=400000000,1,0)</formula>
    </cfRule>
    <cfRule type="expression" dxfId="114" priority="6">
      <formula>IF($R$12&gt;=300000000,1,0)</formula>
    </cfRule>
    <cfRule type="expression" dxfId="113" priority="7">
      <formula>IF($R$12&gt;=250000000,1,0)</formula>
    </cfRule>
    <cfRule type="expression" dxfId="112" priority="8">
      <formula>IF($R$12&gt;=200000000,1,0)</formula>
    </cfRule>
    <cfRule type="expression" dxfId="111" priority="18">
      <formula>IF($R$11=2,1,0)</formula>
    </cfRule>
    <cfRule type="expression" dxfId="110" priority="9">
      <formula>IF($R$12&gt;=150000000,1,0)</formula>
    </cfRule>
    <cfRule type="expression" dxfId="109" priority="20">
      <formula>IF($R$11=5,1,0)</formula>
    </cfRule>
    <cfRule type="expression" dxfId="108" priority="21">
      <formula>IF($R$11=3,1,0)</formula>
    </cfRule>
    <cfRule type="expression" dxfId="107" priority="17">
      <formula>IF($R$12&lt;=45000000,1,0)</formula>
    </cfRule>
    <cfRule type="expression" dxfId="106" priority="1">
      <formula>IF($R$11=0,1,0)</formula>
    </cfRule>
    <cfRule type="expression" dxfId="105" priority="10">
      <formula>IF($R$12&gt;=100000000,1,0)</formula>
    </cfRule>
    <cfRule type="expression" dxfId="104" priority="11">
      <formula>IF($R$12&gt;=75000000,1,0)</formula>
    </cfRule>
    <cfRule type="expression" dxfId="103" priority="12">
      <formula>IF($R$12&gt;=70000000,1,0)</formula>
    </cfRule>
    <cfRule type="expression" dxfId="102" priority="13">
      <formula>IF($R$12&gt;=65000000,1,0)</formula>
    </cfRule>
    <cfRule type="expression" dxfId="101" priority="14">
      <formula>IF($R$12&gt;=60000000,1,0)</formula>
    </cfRule>
    <cfRule type="expression" dxfId="100" priority="15">
      <formula>IF($R$12=60000000,1,0)</formula>
    </cfRule>
    <cfRule type="expression" dxfId="99" priority="16">
      <formula>IF($R$12&gt;55000000,1,0)</formula>
    </cfRule>
  </conditionalFormatting>
  <conditionalFormatting sqref="I28">
    <cfRule type="expression" dxfId="98" priority="1793">
      <formula>OR(NOT(L27),AND(L27,L32))</formula>
    </cfRule>
    <cfRule type="expression" dxfId="97" priority="1794">
      <formula>OR(I28&lt;0,I28&gt;100)</formula>
    </cfRule>
    <cfRule type="expression" dxfId="96" priority="1795">
      <formula>AND($L$27,NOT(L32),$I$28="")</formula>
    </cfRule>
  </conditionalFormatting>
  <conditionalFormatting sqref="I28:I29">
    <cfRule type="expression" dxfId="95" priority="23">
      <formula>OR($M$17,$N$17)</formula>
    </cfRule>
  </conditionalFormatting>
  <conditionalFormatting sqref="I33">
    <cfRule type="expression" dxfId="94" priority="1796">
      <formula>OR(NOT(L32),AND(L27,L32))</formula>
    </cfRule>
    <cfRule type="expression" dxfId="93" priority="1797">
      <formula>OR(I33&lt;0,I33&gt;100)</formula>
    </cfRule>
    <cfRule type="expression" dxfId="92" priority="1798">
      <formula>AND($L$32,NOT(L27),I33="")</formula>
    </cfRule>
  </conditionalFormatting>
  <conditionalFormatting sqref="I40">
    <cfRule type="expression" dxfId="91" priority="229">
      <formula>AND($I$40&lt;&gt;0,NOT($O$39))</formula>
    </cfRule>
  </conditionalFormatting>
  <conditionalFormatting sqref="I40:I41">
    <cfRule type="expression" dxfId="90" priority="226">
      <formula>OR(AND($M$39,I40&lt;&gt;0),AND($N$39,I40&lt;&gt;0))</formula>
    </cfRule>
  </conditionalFormatting>
  <conditionalFormatting sqref="I41">
    <cfRule type="expression" dxfId="89" priority="227">
      <formula>AND($I$41&lt;&gt;0,NOT($O$39))</formula>
    </cfRule>
  </conditionalFormatting>
  <conditionalFormatting sqref="I53">
    <cfRule type="expression" dxfId="88" priority="22">
      <formula>OR(NOT(L52),NOT(O50))</formula>
    </cfRule>
    <cfRule type="expression" dxfId="87" priority="1799">
      <formula>OR(NOT(O50),COUNTIF($O$52:$O$53,TRUE)&lt;&gt;1)</formula>
    </cfRule>
    <cfRule type="expression" dxfId="86" priority="1801">
      <formula>AND($O$50,$L$52,COUNTIF($O$52:$O$53,TRUE)&gt;1)</formula>
    </cfRule>
  </conditionalFormatting>
  <conditionalFormatting sqref="I56">
    <cfRule type="expression" dxfId="85" priority="2135">
      <formula>OR(NOT(O50),I56&gt;50)</formula>
    </cfRule>
    <cfRule type="expression" dxfId="84" priority="2136">
      <formula>AND($O$50,$L$55,NOT($O$55))</formula>
    </cfRule>
    <cfRule type="expression" dxfId="83" priority="2134">
      <formula>OR(NOT(L55),NOT(O50))</formula>
    </cfRule>
  </conditionalFormatting>
  <conditionalFormatting sqref="I63">
    <cfRule type="expression" dxfId="82" priority="2133">
      <formula>AND(O17,L61,I63="")</formula>
    </cfRule>
    <cfRule type="expression" dxfId="81" priority="2132">
      <formula>L61=FALSE</formula>
    </cfRule>
  </conditionalFormatting>
  <conditionalFormatting sqref="I74">
    <cfRule type="expression" dxfId="80" priority="233">
      <formula>AND(NOT($M$73),NOT($N$73),L74,NOT(O74))</formula>
    </cfRule>
    <cfRule type="expression" dxfId="79" priority="232">
      <formula>I74&gt;100%</formula>
    </cfRule>
  </conditionalFormatting>
  <conditionalFormatting sqref="I74:I75">
    <cfRule type="expression" dxfId="78" priority="171">
      <formula>OR(($M$73),($N$73),NOT(L74))</formula>
    </cfRule>
  </conditionalFormatting>
  <conditionalFormatting sqref="I75">
    <cfRule type="expression" dxfId="77" priority="231">
      <formula>$I$74&lt;0</formula>
    </cfRule>
    <cfRule type="expression" dxfId="76" priority="230">
      <formula>AND(NOT($M$73),NOT($N$73),L75,NOT(O75))</formula>
    </cfRule>
  </conditionalFormatting>
  <conditionalFormatting sqref="I77:I80">
    <cfRule type="expression" dxfId="75" priority="2029">
      <formula>I77&gt;100%</formula>
    </cfRule>
    <cfRule type="expression" dxfId="74" priority="2030">
      <formula>AND(NOT($M$73),NOT($N$73),$L$76,NOT(O77))</formula>
    </cfRule>
    <cfRule type="expression" dxfId="73" priority="2028">
      <formula>OR(NOT($L$76),NOT(O107),$M$73,$N$73)</formula>
    </cfRule>
  </conditionalFormatting>
  <conditionalFormatting sqref="I81">
    <cfRule type="expression" dxfId="72" priority="2007">
      <formula>I81&gt;100%</formula>
    </cfRule>
    <cfRule type="expression" dxfId="71" priority="2008">
      <formula>AND(NOT($M$73),NOT($N$73),$L$76,NOT(O81))</formula>
    </cfRule>
    <cfRule type="expression" dxfId="70" priority="2006">
      <formula>OR(NOT($L$76),NOT(T110),$M$73,$N$73)</formula>
    </cfRule>
  </conditionalFormatting>
  <conditionalFormatting sqref="I82:I84">
    <cfRule type="expression" dxfId="69" priority="168">
      <formula>OR(NOT($L$76),NOT(O111),$M$73,$N$73)</formula>
    </cfRule>
    <cfRule type="expression" dxfId="68" priority="169">
      <formula>I82&gt;100%</formula>
    </cfRule>
    <cfRule type="expression" dxfId="67" priority="170">
      <formula>AND(NOT($M$73),NOT($N$73),$L$76,NOT(O82))</formula>
    </cfRule>
  </conditionalFormatting>
  <conditionalFormatting sqref="I85">
    <cfRule type="expression" dxfId="66" priority="73">
      <formula>I85&gt;100%</formula>
    </cfRule>
    <cfRule type="expression" dxfId="65" priority="74">
      <formula>AND(NOT($M$73),NOT($N$73),$L$76,NOT(O85))</formula>
    </cfRule>
    <cfRule type="expression" dxfId="64" priority="72">
      <formula>OR(NOT($L$76),NOT(T113),$M$73,$N$73)</formula>
    </cfRule>
  </conditionalFormatting>
  <conditionalFormatting sqref="I86:I87">
    <cfRule type="expression" dxfId="63" priority="81">
      <formula>OR(NOT($L$76),NOT(O114),$M$73,$N$73)</formula>
    </cfRule>
    <cfRule type="expression" dxfId="62" priority="82">
      <formula>I86&gt;100%</formula>
    </cfRule>
    <cfRule type="expression" dxfId="61" priority="83">
      <formula>AND(NOT($M$73),NOT($N$73),$L$76,NOT(O86))</formula>
    </cfRule>
  </conditionalFormatting>
  <conditionalFormatting sqref="I91">
    <cfRule type="expression" dxfId="60" priority="1908">
      <formula>O88=FALSE</formula>
    </cfRule>
  </conditionalFormatting>
  <conditionalFormatting sqref="I102:I104">
    <cfRule type="expression" dxfId="59" priority="136">
      <formula>L102=FALSE</formula>
    </cfRule>
    <cfRule type="expression" dxfId="58" priority="250">
      <formula>AND(L102,I102="")</formula>
    </cfRule>
  </conditionalFormatting>
  <conditionalFormatting sqref="I132">
    <cfRule type="expression" dxfId="57" priority="278">
      <formula>AND($L$129,$L$102,$I$132="")</formula>
    </cfRule>
    <cfRule type="expression" dxfId="56" priority="261">
      <formula>AND($L$129,$L$102)</formula>
    </cfRule>
  </conditionalFormatting>
  <conditionalFormatting sqref="I133">
    <cfRule type="expression" dxfId="55" priority="260">
      <formula>AND($L$129,$L$103)</formula>
    </cfRule>
  </conditionalFormatting>
  <conditionalFormatting sqref="I133:I134">
    <cfRule type="expression" dxfId="54" priority="276">
      <formula>AND($L$129,L103,I133="")</formula>
    </cfRule>
  </conditionalFormatting>
  <conditionalFormatting sqref="I134">
    <cfRule type="expression" dxfId="53" priority="259">
      <formula>AND($L$129,$L$104)</formula>
    </cfRule>
  </conditionalFormatting>
  <conditionalFormatting sqref="I136">
    <cfRule type="expression" dxfId="52" priority="1897">
      <formula>AND($L$129,$L$88,$L$92,$H$136&gt;0,$I$136="")</formula>
    </cfRule>
    <cfRule type="expression" dxfId="51" priority="1898">
      <formula>AND($L$129,L88,L92)</formula>
    </cfRule>
  </conditionalFormatting>
  <conditionalFormatting sqref="I137">
    <cfRule type="expression" dxfId="50" priority="1830">
      <formula>AND($L$129,$D$137&lt;&gt;"",H137&gt;0,I137&gt;=0)</formula>
    </cfRule>
    <cfRule type="expression" dxfId="49" priority="1829">
      <formula>AND($L$129,$D$137&lt;&gt;"",$H$137&gt;0,$I$137="")</formula>
    </cfRule>
  </conditionalFormatting>
  <conditionalFormatting sqref="J43">
    <cfRule type="expression" dxfId="48" priority="101">
      <formula>AND(NOT(L40),NOT(L41))</formula>
    </cfRule>
  </conditionalFormatting>
  <dataValidations xWindow="775" yWindow="806" count="10">
    <dataValidation operator="greaterThan" allowBlank="1" showInputMessage="1" showErrorMessage="1" errorTitle="Falsche Eingabe" promptTitle="Wiederholungen" prompt="Positive ganze Zahlen eingeben." sqref="I63 I71" xr:uid="{00000000-0002-0000-0A00-000000000000}"/>
    <dataValidation allowBlank="1" showInputMessage="1" showErrorMessage="1" error="keine Eingabe zulässig" promptTitle="Nebenkosten in Prozent" prompt="Positive Prozentzahl" sqref="I74 I77:I87" xr:uid="{00000000-0002-0000-0A00-000001000000}"/>
    <dataValidation operator="lessThanOrEqual" allowBlank="1" showInputMessage="1" showErrorMessage="1" promptTitle="Umbauzuschlag" prompt="Positive Zahl eingeben._x000a_Zuschlag von max. 33 v.H / 50 v.H. (InR) möglich!" sqref="I53" xr:uid="{00000000-0002-0000-0A00-000002000000}"/>
    <dataValidation showInputMessage="1" showErrorMessage="1" errorTitle="Achtung!" error="Bitte Eingabe überprüfen!" promptTitle="Abweichung vom Mindestsatz" prompt="Positive Prozentzahl zwischen 0 und 100" sqref="I28" xr:uid="{00000000-0002-0000-0A00-000003000000}"/>
    <dataValidation showInputMessage="1" showErrorMessage="1" errorTitle="Achtung!" error="Eingabe bitte überprüfen" promptTitle="Abweichung vom Mindestsatz" prompt="Positive Zahl zwischen 0 und 100" sqref="I33" xr:uid="{00000000-0002-0000-0A00-000004000000}"/>
    <dataValidation allowBlank="1" showInputMessage="1" showErrorMessage="1" promptTitle="Abweichung vom Honorar nach HOAI" prompt="Positive Zahl zwischen 0 und 100" sqref="I40" xr:uid="{00000000-0002-0000-0A00-000005000000}"/>
    <dataValidation allowBlank="1" showInputMessage="1" showErrorMessage="1" promptTitle="Abweichung vom Honorar nach HOAI" prompt="Positive Zahl zwischen 0 und 100_x000a_" sqref="I41" xr:uid="{00000000-0002-0000-0A00-000006000000}"/>
    <dataValidation allowBlank="1" showInputMessage="1" showErrorMessage="1" promptTitle="Nebenkosten in EURO" prompt="Positive Zahl in EURO" sqref="I75" xr:uid="{00000000-0002-0000-0A00-000007000000}"/>
    <dataValidation allowBlank="1" showErrorMessage="1" promptTitle="Nebenkosten in EURO" prompt="Positive Zahl in EURO" sqref="I76" xr:uid="{00000000-0002-0000-0A00-000008000000}"/>
    <dataValidation operator="lessThanOrEqual" allowBlank="1" showInputMessage="1" showErrorMessage="1" promptTitle="Instandhaltungszuschlag" prompt="Positive Zahl eingeben._x000a_Zuschlag von max. 50 v.H möglich!" sqref="I56" xr:uid="{00000000-0002-0000-0A00-000009000000}"/>
  </dataValidations>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Juni 2023 &amp;R&amp;P</oddFooter>
  </headerFooter>
  <rowBreaks count="4" manualBreakCount="4">
    <brk id="44" max="10" man="1"/>
    <brk id="71" max="10" man="1"/>
    <brk id="99" max="10" man="1"/>
    <brk id="128" max="10" man="1"/>
  </rowBreaks>
  <ignoredErrors>
    <ignoredError sqref="B38 B131" numberStoredAsText="1"/>
    <ignoredError sqref="B85:B87"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8678" r:id="rId4" name="Check Box 6">
              <controlPr defaultSize="0" autoFill="0" autoLine="0" autoPict="0" altText="3 Fahrstreifen">
                <anchor moveWithCells="1">
                  <from>
                    <xdr:col>2</xdr:col>
                    <xdr:colOff>0</xdr:colOff>
                    <xdr:row>74</xdr:row>
                    <xdr:rowOff>0</xdr:rowOff>
                  </from>
                  <to>
                    <xdr:col>3</xdr:col>
                    <xdr:colOff>0</xdr:colOff>
                    <xdr:row>75</xdr:row>
                    <xdr:rowOff>7620</xdr:rowOff>
                  </to>
                </anchor>
              </controlPr>
            </control>
          </mc:Choice>
        </mc:AlternateContent>
        <mc:AlternateContent xmlns:mc="http://schemas.openxmlformats.org/markup-compatibility/2006">
          <mc:Choice Requires="x14">
            <control shapeId="28679" r:id="rId5" name="Check Box 7">
              <controlPr defaultSize="0" autoFill="0" autoLine="0" autoPict="0" altText="3 Fahrstreifen">
                <anchor moveWithCells="1">
                  <from>
                    <xdr:col>2</xdr:col>
                    <xdr:colOff>0</xdr:colOff>
                    <xdr:row>73</xdr:row>
                    <xdr:rowOff>0</xdr:rowOff>
                  </from>
                  <to>
                    <xdr:col>3</xdr:col>
                    <xdr:colOff>0</xdr:colOff>
                    <xdr:row>74</xdr:row>
                    <xdr:rowOff>7620</xdr:rowOff>
                  </to>
                </anchor>
              </controlPr>
            </control>
          </mc:Choice>
        </mc:AlternateContent>
        <mc:AlternateContent xmlns:mc="http://schemas.openxmlformats.org/markup-compatibility/2006">
          <mc:Choice Requires="x14">
            <control shapeId="28681" r:id="rId6" name="Check Box 9">
              <controlPr defaultSize="0" autoFill="0" autoLine="0" autoPict="0" altText="">
                <anchor moveWithCells="1">
                  <from>
                    <xdr:col>2</xdr:col>
                    <xdr:colOff>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28682" r:id="rId7" name="Check Box 10">
              <controlPr defaultSize="0" autoFill="0" autoLine="0" autoPict="0" altText="">
                <anchor moveWithCells="1">
                  <from>
                    <xdr:col>2</xdr:col>
                    <xdr:colOff>0</xdr:colOff>
                    <xdr:row>60</xdr:row>
                    <xdr:rowOff>0</xdr:rowOff>
                  </from>
                  <to>
                    <xdr:col>3</xdr:col>
                    <xdr:colOff>0</xdr:colOff>
                    <xdr:row>60</xdr:row>
                    <xdr:rowOff>190500</xdr:rowOff>
                  </to>
                </anchor>
              </controlPr>
            </control>
          </mc:Choice>
        </mc:AlternateContent>
        <mc:AlternateContent xmlns:mc="http://schemas.openxmlformats.org/markup-compatibility/2006">
          <mc:Choice Requires="x14">
            <control shapeId="28689" r:id="rId8" name="Check Box 17">
              <controlPr defaultSize="0" autoFill="0" autoLine="0" autoPict="0" altText="">
                <anchor moveWithCells="1">
                  <from>
                    <xdr:col>2</xdr:col>
                    <xdr:colOff>0</xdr:colOff>
                    <xdr:row>51</xdr:row>
                    <xdr:rowOff>0</xdr:rowOff>
                  </from>
                  <to>
                    <xdr:col>3</xdr:col>
                    <xdr:colOff>0</xdr:colOff>
                    <xdr:row>51</xdr:row>
                    <xdr:rowOff>190500</xdr:rowOff>
                  </to>
                </anchor>
              </controlPr>
            </control>
          </mc:Choice>
        </mc:AlternateContent>
        <mc:AlternateContent xmlns:mc="http://schemas.openxmlformats.org/markup-compatibility/2006">
          <mc:Choice Requires="x14">
            <control shapeId="28690" r:id="rId9" name="Check Box 18">
              <controlPr defaultSize="0" autoFill="0" autoLine="0" autoPict="0" altText="">
                <anchor moveWithCells="1">
                  <from>
                    <xdr:col>2</xdr:col>
                    <xdr:colOff>0</xdr:colOff>
                    <xdr:row>31</xdr:row>
                    <xdr:rowOff>0</xdr:rowOff>
                  </from>
                  <to>
                    <xdr:col>3</xdr:col>
                    <xdr:colOff>0</xdr:colOff>
                    <xdr:row>32</xdr:row>
                    <xdr:rowOff>7620</xdr:rowOff>
                  </to>
                </anchor>
              </controlPr>
            </control>
          </mc:Choice>
        </mc:AlternateContent>
        <mc:AlternateContent xmlns:mc="http://schemas.openxmlformats.org/markup-compatibility/2006">
          <mc:Choice Requires="x14">
            <control shapeId="28696" r:id="rId10" name="Check Box 24">
              <controlPr defaultSize="0" autoFill="0" autoLine="0" autoPict="0">
                <anchor moveWithCells="1">
                  <from>
                    <xdr:col>2</xdr:col>
                    <xdr:colOff>0</xdr:colOff>
                    <xdr:row>101</xdr:row>
                    <xdr:rowOff>0</xdr:rowOff>
                  </from>
                  <to>
                    <xdr:col>3</xdr:col>
                    <xdr:colOff>0</xdr:colOff>
                    <xdr:row>102</xdr:row>
                    <xdr:rowOff>7620</xdr:rowOff>
                  </to>
                </anchor>
              </controlPr>
            </control>
          </mc:Choice>
        </mc:AlternateContent>
        <mc:AlternateContent xmlns:mc="http://schemas.openxmlformats.org/markup-compatibility/2006">
          <mc:Choice Requires="x14">
            <control shapeId="28697" r:id="rId11" name="Check Box 25">
              <controlPr defaultSize="0" autoFill="0" autoLine="0" autoPict="0">
                <anchor moveWithCells="1">
                  <from>
                    <xdr:col>2</xdr:col>
                    <xdr:colOff>0</xdr:colOff>
                    <xdr:row>102</xdr:row>
                    <xdr:rowOff>0</xdr:rowOff>
                  </from>
                  <to>
                    <xdr:col>3</xdr:col>
                    <xdr:colOff>0</xdr:colOff>
                    <xdr:row>103</xdr:row>
                    <xdr:rowOff>22860</xdr:rowOff>
                  </to>
                </anchor>
              </controlPr>
            </control>
          </mc:Choice>
        </mc:AlternateContent>
        <mc:AlternateContent xmlns:mc="http://schemas.openxmlformats.org/markup-compatibility/2006">
          <mc:Choice Requires="x14">
            <control shapeId="28698" r:id="rId12" name="Check Box 26">
              <controlPr defaultSize="0" autoFill="0" autoLine="0" autoPict="0">
                <anchor moveWithCells="1">
                  <from>
                    <xdr:col>2</xdr:col>
                    <xdr:colOff>0</xdr:colOff>
                    <xdr:row>103</xdr:row>
                    <xdr:rowOff>0</xdr:rowOff>
                  </from>
                  <to>
                    <xdr:col>3</xdr:col>
                    <xdr:colOff>0</xdr:colOff>
                    <xdr:row>104</xdr:row>
                    <xdr:rowOff>22860</xdr:rowOff>
                  </to>
                </anchor>
              </controlPr>
            </control>
          </mc:Choice>
        </mc:AlternateContent>
        <mc:AlternateContent xmlns:mc="http://schemas.openxmlformats.org/markup-compatibility/2006">
          <mc:Choice Requires="x14">
            <control shapeId="28699" r:id="rId13" name="Check Box 27">
              <controlPr defaultSize="0" autoFill="0" autoLine="0" autoPict="0" altText="3 Fahrstreifen">
                <anchor moveWithCells="1">
                  <from>
                    <xdr:col>3</xdr:col>
                    <xdr:colOff>0</xdr:colOff>
                    <xdr:row>90</xdr:row>
                    <xdr:rowOff>0</xdr:rowOff>
                  </from>
                  <to>
                    <xdr:col>4</xdr:col>
                    <xdr:colOff>0</xdr:colOff>
                    <xdr:row>91</xdr:row>
                    <xdr:rowOff>0</xdr:rowOff>
                  </to>
                </anchor>
              </controlPr>
            </control>
          </mc:Choice>
        </mc:AlternateContent>
        <mc:AlternateContent xmlns:mc="http://schemas.openxmlformats.org/markup-compatibility/2006">
          <mc:Choice Requires="x14">
            <control shapeId="28700" r:id="rId14" name="Check Box 28">
              <controlPr defaultSize="0" autoFill="0" autoLine="0" autoPict="0" altText="3 Fahrstreifen">
                <anchor moveWithCells="1">
                  <from>
                    <xdr:col>3</xdr:col>
                    <xdr:colOff>0</xdr:colOff>
                    <xdr:row>91</xdr:row>
                    <xdr:rowOff>0</xdr:rowOff>
                  </from>
                  <to>
                    <xdr:col>4</xdr:col>
                    <xdr:colOff>0</xdr:colOff>
                    <xdr:row>92</xdr:row>
                    <xdr:rowOff>0</xdr:rowOff>
                  </to>
                </anchor>
              </controlPr>
            </control>
          </mc:Choice>
        </mc:AlternateContent>
        <mc:AlternateContent xmlns:mc="http://schemas.openxmlformats.org/markup-compatibility/2006">
          <mc:Choice Requires="x14">
            <control shapeId="28701" r:id="rId15" name="Check Box 29">
              <controlPr defaultSize="0" autoFill="0" autoLine="0" autoPict="0">
                <anchor moveWithCells="1">
                  <from>
                    <xdr:col>2</xdr:col>
                    <xdr:colOff>0</xdr:colOff>
                    <xdr:row>87</xdr:row>
                    <xdr:rowOff>0</xdr:rowOff>
                  </from>
                  <to>
                    <xdr:col>3</xdr:col>
                    <xdr:colOff>0</xdr:colOff>
                    <xdr:row>88</xdr:row>
                    <xdr:rowOff>0</xdr:rowOff>
                  </to>
                </anchor>
              </controlPr>
            </control>
          </mc:Choice>
        </mc:AlternateContent>
        <mc:AlternateContent xmlns:mc="http://schemas.openxmlformats.org/markup-compatibility/2006">
          <mc:Choice Requires="x14">
            <control shapeId="28702" r:id="rId16" name="Check Box 30">
              <controlPr defaultSize="0" autoFill="0" autoLine="0" autoPict="0" altText="">
                <anchor moveWithCells="1">
                  <from>
                    <xdr:col>2</xdr:col>
                    <xdr:colOff>0</xdr:colOff>
                    <xdr:row>16</xdr:row>
                    <xdr:rowOff>0</xdr:rowOff>
                  </from>
                  <to>
                    <xdr:col>3</xdr:col>
                    <xdr:colOff>0</xdr:colOff>
                    <xdr:row>17</xdr:row>
                    <xdr:rowOff>0</xdr:rowOff>
                  </to>
                </anchor>
              </controlPr>
            </control>
          </mc:Choice>
        </mc:AlternateContent>
        <mc:AlternateContent xmlns:mc="http://schemas.openxmlformats.org/markup-compatibility/2006">
          <mc:Choice Requires="x14">
            <control shapeId="28703" r:id="rId17" name="Check Box 31">
              <controlPr defaultSize="0" autoFill="0" autoLine="0" autoPict="0">
                <anchor moveWithCells="1">
                  <from>
                    <xdr:col>1</xdr:col>
                    <xdr:colOff>0</xdr:colOff>
                    <xdr:row>128</xdr:row>
                    <xdr:rowOff>0</xdr:rowOff>
                  </from>
                  <to>
                    <xdr:col>2</xdr:col>
                    <xdr:colOff>0</xdr:colOff>
                    <xdr:row>129</xdr:row>
                    <xdr:rowOff>0</xdr:rowOff>
                  </to>
                </anchor>
              </controlPr>
            </control>
          </mc:Choice>
        </mc:AlternateContent>
        <mc:AlternateContent xmlns:mc="http://schemas.openxmlformats.org/markup-compatibility/2006">
          <mc:Choice Requires="x14">
            <control shapeId="28704" r:id="rId18" name="Check Box 32">
              <controlPr defaultSize="0" autoFill="0" autoLine="0" autoPict="0" altText="">
                <anchor moveWithCells="1">
                  <from>
                    <xdr:col>2</xdr:col>
                    <xdr:colOff>0</xdr:colOff>
                    <xdr:row>17</xdr:row>
                    <xdr:rowOff>0</xdr:rowOff>
                  </from>
                  <to>
                    <xdr:col>3</xdr:col>
                    <xdr:colOff>0</xdr:colOff>
                    <xdr:row>17</xdr:row>
                    <xdr:rowOff>190500</xdr:rowOff>
                  </to>
                </anchor>
              </controlPr>
            </control>
          </mc:Choice>
        </mc:AlternateContent>
        <mc:AlternateContent xmlns:mc="http://schemas.openxmlformats.org/markup-compatibility/2006">
          <mc:Choice Requires="x14">
            <control shapeId="28706" r:id="rId19" name="Check Box 34">
              <controlPr defaultSize="0" autoFill="0" autoLine="0" autoPict="0" altText="">
                <anchor moveWithCells="1">
                  <from>
                    <xdr:col>2</xdr:col>
                    <xdr:colOff>0</xdr:colOff>
                    <xdr:row>49</xdr:row>
                    <xdr:rowOff>0</xdr:rowOff>
                  </from>
                  <to>
                    <xdr:col>3</xdr:col>
                    <xdr:colOff>0</xdr:colOff>
                    <xdr:row>49</xdr:row>
                    <xdr:rowOff>190500</xdr:rowOff>
                  </to>
                </anchor>
              </controlPr>
            </control>
          </mc:Choice>
        </mc:AlternateContent>
        <mc:AlternateContent xmlns:mc="http://schemas.openxmlformats.org/markup-compatibility/2006">
          <mc:Choice Requires="x14">
            <control shapeId="28707" r:id="rId20" name="Check Box 35">
              <controlPr defaultSize="0" autoFill="0" autoLine="0" autoPict="0" altText="3 Fahrstreifen">
                <anchor moveWithCells="1">
                  <from>
                    <xdr:col>2</xdr:col>
                    <xdr:colOff>0</xdr:colOff>
                    <xdr:row>72</xdr:row>
                    <xdr:rowOff>0</xdr:rowOff>
                  </from>
                  <to>
                    <xdr:col>3</xdr:col>
                    <xdr:colOff>0</xdr:colOff>
                    <xdr:row>73</xdr:row>
                    <xdr:rowOff>7620</xdr:rowOff>
                  </to>
                </anchor>
              </controlPr>
            </control>
          </mc:Choice>
        </mc:AlternateContent>
        <mc:AlternateContent xmlns:mc="http://schemas.openxmlformats.org/markup-compatibility/2006">
          <mc:Choice Requires="x14">
            <control shapeId="28708" r:id="rId21" name="Check Box 36">
              <controlPr defaultSize="0" autoFill="0" autoLine="0" autoPict="0">
                <anchor moveWithCells="1">
                  <from>
                    <xdr:col>3</xdr:col>
                    <xdr:colOff>0</xdr:colOff>
                    <xdr:row>110</xdr:row>
                    <xdr:rowOff>0</xdr:rowOff>
                  </from>
                  <to>
                    <xdr:col>4</xdr:col>
                    <xdr:colOff>0</xdr:colOff>
                    <xdr:row>111</xdr:row>
                    <xdr:rowOff>22860</xdr:rowOff>
                  </to>
                </anchor>
              </controlPr>
            </control>
          </mc:Choice>
        </mc:AlternateContent>
        <mc:AlternateContent xmlns:mc="http://schemas.openxmlformats.org/markup-compatibility/2006">
          <mc:Choice Requires="x14">
            <control shapeId="28712" r:id="rId22" name="Check Box 40">
              <controlPr defaultSize="0" autoFill="0" autoLine="0" autoPict="0">
                <anchor moveWithCells="1">
                  <from>
                    <xdr:col>3</xdr:col>
                    <xdr:colOff>0</xdr:colOff>
                    <xdr:row>109</xdr:row>
                    <xdr:rowOff>0</xdr:rowOff>
                  </from>
                  <to>
                    <xdr:col>4</xdr:col>
                    <xdr:colOff>0</xdr:colOff>
                    <xdr:row>110</xdr:row>
                    <xdr:rowOff>22860</xdr:rowOff>
                  </to>
                </anchor>
              </controlPr>
            </control>
          </mc:Choice>
        </mc:AlternateContent>
        <mc:AlternateContent xmlns:mc="http://schemas.openxmlformats.org/markup-compatibility/2006">
          <mc:Choice Requires="x14">
            <control shapeId="28713" r:id="rId23" name="Check Box 41">
              <controlPr defaultSize="0" autoFill="0" autoLine="0" autoPict="0" altText="3 Fahrstreifen">
                <anchor moveWithCells="1">
                  <from>
                    <xdr:col>2</xdr:col>
                    <xdr:colOff>0</xdr:colOff>
                    <xdr:row>75</xdr:row>
                    <xdr:rowOff>0</xdr:rowOff>
                  </from>
                  <to>
                    <xdr:col>3</xdr:col>
                    <xdr:colOff>0</xdr:colOff>
                    <xdr:row>76</xdr:row>
                    <xdr:rowOff>7620</xdr:rowOff>
                  </to>
                </anchor>
              </controlPr>
            </control>
          </mc:Choice>
        </mc:AlternateContent>
        <mc:AlternateContent xmlns:mc="http://schemas.openxmlformats.org/markup-compatibility/2006">
          <mc:Choice Requires="x14">
            <control shapeId="28718" r:id="rId24" name="Check Box 46">
              <controlPr defaultSize="0" autoFill="0" autoLine="0" autoPict="0" altText="">
                <anchor moveWithCells="1">
                  <from>
                    <xdr:col>2</xdr:col>
                    <xdr:colOff>0</xdr:colOff>
                    <xdr:row>54</xdr:row>
                    <xdr:rowOff>0</xdr:rowOff>
                  </from>
                  <to>
                    <xdr:col>3</xdr:col>
                    <xdr:colOff>0</xdr:colOff>
                    <xdr:row>54</xdr:row>
                    <xdr:rowOff>190500</xdr:rowOff>
                  </to>
                </anchor>
              </controlPr>
            </control>
          </mc:Choice>
        </mc:AlternateContent>
        <mc:AlternateContent xmlns:mc="http://schemas.openxmlformats.org/markup-compatibility/2006">
          <mc:Choice Requires="x14">
            <control shapeId="28719" r:id="rId25" name="Check Box 47">
              <controlPr defaultSize="0" autoFill="0" autoLine="0" autoPict="0" altText="3 Fahrstreifen">
                <anchor moveWithCells="1">
                  <from>
                    <xdr:col>3</xdr:col>
                    <xdr:colOff>0</xdr:colOff>
                    <xdr:row>88</xdr:row>
                    <xdr:rowOff>0</xdr:rowOff>
                  </from>
                  <to>
                    <xdr:col>4</xdr:col>
                    <xdr:colOff>0</xdr:colOff>
                    <xdr:row>89</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theme="0" tint="-0.14999847407452621"/>
    <pageSetUpPr fitToPage="1"/>
  </sheetPr>
  <dimension ref="A1:U34"/>
  <sheetViews>
    <sheetView showGridLines="0" zoomScaleNormal="100" zoomScaleSheetLayoutView="100" zoomScalePageLayoutView="50" workbookViewId="0">
      <selection activeCell="J21" sqref="J21"/>
    </sheetView>
  </sheetViews>
  <sheetFormatPr baseColWidth="10" defaultColWidth="0" defaultRowHeight="16.8" zeroHeight="1"/>
  <cols>
    <col min="1" max="1" width="2.6640625" style="471" customWidth="1"/>
    <col min="2" max="2" width="9.109375" customWidth="1"/>
    <col min="3" max="3" width="22.33203125" customWidth="1"/>
    <col min="4" max="4" width="10.44140625" customWidth="1"/>
    <col min="5" max="5" width="10.5546875" customWidth="1"/>
    <col min="6" max="6" width="13.33203125" customWidth="1"/>
    <col min="7" max="15" width="15.109375" customWidth="1"/>
    <col min="16" max="16" width="2.6640625" customWidth="1"/>
    <col min="17" max="16384" width="11.44140625" hidden="1"/>
  </cols>
  <sheetData>
    <row r="1" spans="1:21"/>
    <row r="2" spans="1:21" s="1" customFormat="1" ht="18" customHeight="1">
      <c r="A2" s="468"/>
      <c r="B2" s="1515" t="str">
        <f>Projektgrundlagen!L20</f>
        <v xml:space="preserve">Objektplanung Gebäude </v>
      </c>
      <c r="C2" s="1515"/>
      <c r="D2" s="1515"/>
      <c r="E2" s="1515"/>
      <c r="F2" s="1515"/>
      <c r="G2" s="1515"/>
      <c r="H2" s="1515"/>
      <c r="I2" s="1516"/>
      <c r="J2" s="376" t="str">
        <f>IF(Projektgrundlagen!F2="","",Projektgrundlagen!F2)</f>
        <v>VII.10.4</v>
      </c>
      <c r="K2" s="303" t="s">
        <v>185</v>
      </c>
      <c r="L2" s="303"/>
      <c r="M2" s="303"/>
      <c r="N2" s="473"/>
      <c r="O2" s="395"/>
      <c r="P2" s="1518" t="s">
        <v>336</v>
      </c>
      <c r="S2" s="207" t="s">
        <v>169</v>
      </c>
    </row>
    <row r="3" spans="1:21" s="1" customFormat="1" ht="17.399999999999999">
      <c r="A3" s="468"/>
      <c r="B3" s="1673" t="s">
        <v>336</v>
      </c>
      <c r="C3" s="1673"/>
      <c r="D3" s="1673"/>
      <c r="E3" s="1673"/>
      <c r="F3" s="1673"/>
      <c r="G3" s="1673"/>
      <c r="H3" s="1673"/>
      <c r="I3" s="1674"/>
      <c r="J3" s="383" t="str">
        <f>IF(Projektgrundlagen!F3="","",Projektgrundlagen!F3)</f>
        <v>Vertrags-Nr.:</v>
      </c>
      <c r="K3" s="393" t="str">
        <f>IF(Projektgrundlagen!G3="","",Projektgrundlagen!G3)</f>
        <v>000.792.717</v>
      </c>
      <c r="L3" s="380"/>
      <c r="M3" s="380"/>
      <c r="N3" s="396"/>
      <c r="O3" s="394"/>
      <c r="P3" s="1518"/>
      <c r="S3" s="1" t="str">
        <f ca="1">MID(CELL("dateiname",A2),FIND("]",CELL("dateiname",A2))+1,255)</f>
        <v>F Honorarübersicht</v>
      </c>
    </row>
    <row r="4" spans="1:21" s="1" customFormat="1" ht="7.5" customHeight="1">
      <c r="A4" s="468"/>
      <c r="B4" s="371"/>
      <c r="C4" s="371"/>
      <c r="D4" s="371"/>
      <c r="E4" s="371"/>
      <c r="F4" s="371"/>
      <c r="G4" s="371"/>
      <c r="H4" s="370"/>
      <c r="I4" s="370"/>
      <c r="J4" s="370"/>
      <c r="K4" s="379"/>
      <c r="L4" s="379"/>
      <c r="M4" s="372"/>
      <c r="N4" s="372"/>
      <c r="O4" s="377"/>
      <c r="P4" s="1518"/>
    </row>
    <row r="5" spans="1:21" s="1" customFormat="1">
      <c r="A5" s="468"/>
      <c r="B5" s="1520" t="str">
        <f>IF(Projektgrundlagen!B5="","",Projektgrundlagen!B5)</f>
        <v>Maßnahmennr:</v>
      </c>
      <c r="C5" s="1521"/>
      <c r="D5" s="1607" t="str">
        <f>IF(Projektgrundlagen!E5="","",Projektgrundlagen!E5)</f>
        <v>B14HA150700001</v>
      </c>
      <c r="E5" s="1607"/>
      <c r="F5" s="1607"/>
      <c r="G5" s="1607"/>
      <c r="H5" s="1607"/>
      <c r="I5" s="1607"/>
      <c r="J5" s="378" t="str">
        <f>IF(Projektgrundlagen!F5="","",Projektgrundlagen!F5)</f>
        <v>Vergabe-Nr.:</v>
      </c>
      <c r="K5" s="303" t="str">
        <f>IF(Projektgrundlagen!G5="","",Projektgrundlagen!G5)</f>
        <v>26-004187</v>
      </c>
      <c r="L5" s="397"/>
      <c r="M5" s="350"/>
      <c r="N5" s="349"/>
      <c r="O5" s="351"/>
      <c r="P5" s="1518"/>
    </row>
    <row r="6" spans="1:21" s="1" customFormat="1">
      <c r="A6" s="468"/>
      <c r="B6" s="1522" t="str">
        <f>IF(Projektgrundlagen!B6="","",Projektgrundlagen!B6)</f>
        <v>Maßnahme:</v>
      </c>
      <c r="C6" s="1523"/>
      <c r="D6" s="1798" t="str">
        <f>IF(Projektgrundlagen!E6="","",Projektgrundlagen!E6)</f>
        <v>Neubau ASG TUM Campus Taufkirchen / Ottobrunn</v>
      </c>
      <c r="E6" s="1798"/>
      <c r="F6" s="1798"/>
      <c r="G6" s="1798"/>
      <c r="H6" s="1798"/>
      <c r="I6" s="1798"/>
      <c r="J6" s="1798"/>
      <c r="K6" s="1798"/>
      <c r="L6" s="1798"/>
      <c r="M6" s="1798"/>
      <c r="N6" s="1798"/>
      <c r="O6" s="1799"/>
      <c r="P6" s="1518"/>
    </row>
    <row r="7" spans="1:21" s="1" customFormat="1">
      <c r="A7" s="468"/>
      <c r="B7" s="1524"/>
      <c r="C7" s="1525"/>
      <c r="D7" s="1777" t="str">
        <f>IF(Projektgrundlagen!E7="","",Projektgrundlagen!E7)</f>
        <v/>
      </c>
      <c r="E7" s="1777"/>
      <c r="F7" s="1777"/>
      <c r="G7" s="1777"/>
      <c r="H7" s="1777"/>
      <c r="I7" s="1777"/>
      <c r="J7" s="1777"/>
      <c r="K7" s="1777"/>
      <c r="L7" s="1777"/>
      <c r="M7" s="1777"/>
      <c r="N7" s="1777"/>
      <c r="O7" s="1778"/>
      <c r="P7" s="1518"/>
      <c r="S7" s="1780" t="s">
        <v>116</v>
      </c>
      <c r="T7" s="1781"/>
      <c r="U7" s="1782"/>
    </row>
    <row r="8" spans="1:21" s="1" customFormat="1">
      <c r="A8" s="468"/>
      <c r="B8" s="1513" t="s">
        <v>121</v>
      </c>
      <c r="C8" s="1514"/>
      <c r="D8" s="1792" t="str">
        <f>IF(Projektgrundlagen!E8="","",Projektgrundlagen!E8)</f>
        <v/>
      </c>
      <c r="E8" s="1792"/>
      <c r="F8" s="1792"/>
      <c r="G8" s="1792"/>
      <c r="H8" s="1792"/>
      <c r="I8" s="1792"/>
      <c r="J8" s="1792"/>
      <c r="K8" s="1792"/>
      <c r="L8" s="1792"/>
      <c r="M8" s="1792"/>
      <c r="N8" s="1792"/>
      <c r="O8" s="1793"/>
      <c r="P8" s="1518"/>
    </row>
    <row r="9" spans="1:21" s="1" customFormat="1" ht="16.5" customHeight="1">
      <c r="A9" s="468"/>
      <c r="B9" s="353"/>
      <c r="C9" s="374"/>
      <c r="D9" s="374"/>
      <c r="E9" s="374"/>
      <c r="F9" s="374"/>
      <c r="G9" s="374"/>
      <c r="H9" s="374"/>
      <c r="I9" s="349"/>
      <c r="J9" s="349"/>
      <c r="K9" s="349"/>
      <c r="L9" s="349"/>
      <c r="M9" s="350"/>
      <c r="N9" s="349"/>
      <c r="O9" s="350"/>
      <c r="S9" s="150" t="s">
        <v>103</v>
      </c>
      <c r="T9" s="150"/>
      <c r="U9" s="150" t="s">
        <v>129</v>
      </c>
    </row>
    <row r="10" spans="1:21" s="1" customFormat="1" ht="30" customHeight="1">
      <c r="A10" s="471"/>
      <c r="B10" s="664" t="str">
        <f>"Honorarübersicht   "&amp;IF(Projektgrundlagen!I24,"Straßenbau",("Hochbau - "&amp;IF(Projektgrundlagen!I25,"Land","Bund")))</f>
        <v>Honorarübersicht   Hochbau - Land</v>
      </c>
      <c r="C10" s="665"/>
      <c r="D10" s="665"/>
      <c r="E10" s="665"/>
      <c r="F10" s="665"/>
      <c r="G10" s="665"/>
      <c r="H10" s="665"/>
      <c r="I10" s="665"/>
      <c r="J10" s="665"/>
      <c r="K10" s="665"/>
      <c r="L10" s="665"/>
      <c r="M10" s="665"/>
      <c r="N10" s="665"/>
      <c r="O10" s="665"/>
      <c r="P10"/>
      <c r="R10" s="922"/>
      <c r="S10" s="151">
        <f>IF('E Honorarberechnung'!I65&gt;0,'E Honorarberechnung'!I64,0)</f>
        <v>0</v>
      </c>
      <c r="T10" s="152"/>
      <c r="U10" s="153">
        <f>IF(AND('E Honorarberechnung'!O39,'E Honorarberechnung'!O40),"Minderung",IF(AND('E Honorarberechnung'!O39,'E Honorarberechnung'!O41),"Erhöhung",0))</f>
        <v>0</v>
      </c>
    </row>
    <row r="11" spans="1:21" s="1" customFormat="1" ht="9.6" customHeight="1">
      <c r="A11" s="471"/>
      <c r="B11" s="663"/>
      <c r="C11" s="495"/>
      <c r="D11" s="495"/>
      <c r="E11" s="495"/>
      <c r="F11" s="495"/>
      <c r="G11" s="495"/>
      <c r="H11" s="495"/>
      <c r="I11" s="495"/>
      <c r="J11" s="495"/>
      <c r="K11" s="495"/>
      <c r="L11" s="495"/>
      <c r="M11" s="495"/>
      <c r="N11" s="495"/>
      <c r="O11" s="495"/>
      <c r="P11"/>
      <c r="S11" s="660"/>
      <c r="T11" s="661"/>
      <c r="U11" s="662"/>
    </row>
    <row r="12" spans="1:21" s="1" customFormat="1" ht="16.2" customHeight="1">
      <c r="A12" s="468"/>
      <c r="B12" s="191" t="s">
        <v>89</v>
      </c>
      <c r="C12" s="107"/>
      <c r="D12" s="107"/>
      <c r="E12" s="192"/>
      <c r="F12" s="49" t="s">
        <v>90</v>
      </c>
      <c r="G12" s="1783" t="s">
        <v>345</v>
      </c>
      <c r="H12" s="1784"/>
      <c r="I12" s="925">
        <f>'E Honorarberechnung'!I15</f>
        <v>4</v>
      </c>
      <c r="J12" s="54" t="str">
        <f>IF('E Honorarberechnung'!M14,"Basishonorar außerhalb der Honorartafel","Basishonorar der Honorartafel")</f>
        <v>Basishonorar außerhalb der Honorartafel</v>
      </c>
      <c r="K12" s="107"/>
      <c r="L12" s="107"/>
      <c r="M12" s="53"/>
      <c r="N12" s="921" t="str">
        <f>IF(OR('E Honorarberechnung'!L27,'E Honorarberechnung'!L32),"mit Abweichung","ohne Abweichung")</f>
        <v>ohne Abweichung</v>
      </c>
      <c r="O12" s="49" t="s">
        <v>90</v>
      </c>
    </row>
    <row r="13" spans="1:21" s="1" customFormat="1" ht="15" customHeight="1">
      <c r="A13" s="468"/>
      <c r="B13" s="50" t="s">
        <v>262</v>
      </c>
      <c r="C13" s="108"/>
      <c r="D13" s="144" t="str">
        <f>IF('E Honorarberechnung'!M11,"Außerhalb Honorartafel!","")</f>
        <v/>
      </c>
      <c r="E13" s="1800">
        <f>'E Honorarberechnung'!I14</f>
        <v>63715924.375</v>
      </c>
      <c r="F13" s="1801"/>
      <c r="G13" s="1785"/>
      <c r="H13" s="1786"/>
      <c r="I13" s="924"/>
      <c r="J13" s="50" t="s">
        <v>844</v>
      </c>
      <c r="K13" s="108"/>
      <c r="L13" s="108"/>
      <c r="M13" s="109"/>
      <c r="N13" s="108"/>
      <c r="O13" s="51">
        <f>'E Honorarberechnung'!J36</f>
        <v>5605210.5375046246</v>
      </c>
    </row>
    <row r="14" spans="1:21" s="1" customFormat="1" ht="29.25" customHeight="1">
      <c r="A14" s="468"/>
      <c r="B14" s="1790" t="str">
        <f>IF('E Honorarberechnung'!L61,"Wiederholung Nr.:        "&amp;'E Honorarberechnung'!I63,"")</f>
        <v/>
      </c>
      <c r="C14" s="1791"/>
      <c r="D14" s="1787" t="s">
        <v>68</v>
      </c>
      <c r="E14" s="1788"/>
      <c r="F14" s="1788"/>
      <c r="G14" s="1788"/>
      <c r="H14" s="1788"/>
      <c r="I14" s="1789"/>
      <c r="J14" s="1802" t="s">
        <v>1030</v>
      </c>
      <c r="K14" s="41" t="s">
        <v>105</v>
      </c>
      <c r="L14" s="694" t="s">
        <v>69</v>
      </c>
      <c r="M14" s="1794" t="str">
        <f>'E Honorarberechnung'!D95</f>
        <v>Honorar Objektplanung Gebäude  netto</v>
      </c>
      <c r="N14" s="52" t="s">
        <v>70</v>
      </c>
      <c r="O14" s="1794" t="str">
        <f>'E Honorarberechnung'!C98</f>
        <v>Honorar Objektplanung Gebäude  brutto</v>
      </c>
    </row>
    <row r="15" spans="1:21" s="1" customFormat="1" ht="38.25" customHeight="1">
      <c r="A15" s="468"/>
      <c r="B15" s="1796" t="s">
        <v>344</v>
      </c>
      <c r="C15" s="1797"/>
      <c r="D15" s="2" t="s">
        <v>45</v>
      </c>
      <c r="E15" s="37" t="s">
        <v>71</v>
      </c>
      <c r="F15" s="37" t="str">
        <f>IF(S10&gt;0%,"Wiederholung - Minderung Lph 1 bis 6 auf","Keine Wiederholung")</f>
        <v>Keine Wiederholung</v>
      </c>
      <c r="G15" s="37" t="str">
        <f>IF(S10&gt;0%,"Honorar für Wiederholung","Honorar")</f>
        <v>Honorar</v>
      </c>
      <c r="H15" s="37" t="str">
        <f>IF(U10=0,"Keine Minderung bzw. Erhöhung",IF(U10="Minderung","Honorar gemindert (§ 7 HOAI)","Honorar erhöht (§ 7 HOAI)"))</f>
        <v>Keine Minderung bzw. Erhöhung</v>
      </c>
      <c r="I15" s="37" t="str">
        <f>IF(AND('E Honorarberechnung'!O50,'E Honorarberechnung'!O52),"Honorar mit Umbauzuschlag",IF(AND('E Honorarberechnung'!O50,'E Honorarberechnung'!O55),"Honorar mit Instandsetzungs-zuschlag","Honorar - kein Umbau/ Instands.-zuschlag"))</f>
        <v>Honorar - kein Umbau/ Instands.-zuschlag</v>
      </c>
      <c r="J15" s="1803"/>
      <c r="K15" s="1013" t="s">
        <v>104</v>
      </c>
      <c r="L15" s="110"/>
      <c r="M15" s="1795"/>
      <c r="N15" s="79"/>
      <c r="O15" s="1795"/>
    </row>
    <row r="16" spans="1:21" s="1" customFormat="1" ht="12.75" customHeight="1">
      <c r="A16" s="468"/>
      <c r="B16" s="83"/>
      <c r="C16" s="39"/>
      <c r="D16" s="2" t="s">
        <v>240</v>
      </c>
      <c r="E16" s="2" t="s">
        <v>240</v>
      </c>
      <c r="F16" s="37" t="s">
        <v>343</v>
      </c>
      <c r="G16" s="37" t="s">
        <v>90</v>
      </c>
      <c r="H16" s="37" t="s">
        <v>90</v>
      </c>
      <c r="I16" s="37" t="s">
        <v>90</v>
      </c>
      <c r="J16" s="37" t="s">
        <v>90</v>
      </c>
      <c r="K16" s="37" t="s">
        <v>90</v>
      </c>
      <c r="L16" s="78" t="s">
        <v>90</v>
      </c>
      <c r="M16" s="37" t="s">
        <v>90</v>
      </c>
      <c r="N16" s="37" t="s">
        <v>90</v>
      </c>
      <c r="O16" s="37" t="s">
        <v>90</v>
      </c>
    </row>
    <row r="17" spans="1:21" s="1" customFormat="1">
      <c r="A17" s="468"/>
      <c r="B17" s="307" t="str">
        <f>IF(Projektgrundlagen!$I$24,"Lph 1",IF(Projektgrundlagen!$I$25,"Lst 1A",IF(Projektgrundlagen!$I$26,"Lph 1","")))</f>
        <v>Lst 1A</v>
      </c>
      <c r="C17" s="308" t="str">
        <f>'E Honorarberechnung'!D77</f>
        <v>Grundlagenermittlung</v>
      </c>
      <c r="D17" s="309">
        <f>'StB-C1 Grundlstg -entfällt-'!I25+'HB-C1 Grundlstg Land'!I29+'HB-C2 Grundlstg Bund'!I29</f>
        <v>2</v>
      </c>
      <c r="E17" s="309">
        <f>'StB-C1 Grundlstg -entfällt-'!J25+'HB-C1 Grundlstg Land'!J29+'HB-C2 Grundlstg Bund'!J29</f>
        <v>2</v>
      </c>
      <c r="F17" s="688">
        <f>IF($S$10=0,0,E17/100*(1-$S$10))</f>
        <v>0</v>
      </c>
      <c r="G17" s="309">
        <f>IF('E Honorarberechnung'!$J$95=0,0,IF(F17=0,'E Honorarberechnung'!$J$36*E17/100,'E Honorarberechnung'!$J$36*F17))</f>
        <v>112104.21075009249</v>
      </c>
      <c r="H17" s="309">
        <f>IF($U$10=0,0,IF($U$10="Minderung",G17*(1-'E Honorarberechnung'!$I$40/100),G17*(1+'E Honorarberechnung'!$I$41/100)))</f>
        <v>0</v>
      </c>
      <c r="I17" s="309">
        <f>IF(H17=0,IF('E Honorarberechnung'!$J$54&gt;0,(1+('E Honorarberechnung'!$I$53/100))*G17,G17),IF('E Honorarberechnung'!$J$54&gt;0,(1+'E Honorarberechnung'!$I$53/100)*H17,H17))</f>
        <v>112104.21075009249</v>
      </c>
      <c r="J17" s="309">
        <f>SUM('E Honorarberechnung'!Q107:R107)</f>
        <v>0</v>
      </c>
      <c r="K17" s="309">
        <f>IF('E Honorarberechnung'!$O$73,I17+J17,0)</f>
        <v>112104.21075009249</v>
      </c>
      <c r="L17" s="689">
        <f>IF($K$29=0,0,IF(AND('E Honorarberechnung'!$O$73,'E Honorarberechnung'!$L$74,'E Honorarberechnung'!$O$74),'E Honorarberechnung'!$I$74*K17,IF(AND('E Honorarberechnung'!$O$73,'E Honorarberechnung'!$L$75,'E Honorarberechnung'!$O$75),'E Honorarberechnung'!$I$75/$K$29*K17,IF(AND('E Honorarberechnung'!$O$73,'E Honorarberechnung'!$L$76,'E Honorarberechnung'!O77),'E Honorarberechnung'!J77,0))))</f>
        <v>0</v>
      </c>
      <c r="M17" s="309">
        <f>SUM(K17:L17)</f>
        <v>112104.21075009249</v>
      </c>
      <c r="N17" s="309">
        <f>+M17*'E Honorarberechnung'!$I$96</f>
        <v>21299.800042517574</v>
      </c>
      <c r="O17" s="310">
        <f>+M17+N17</f>
        <v>133404.01079261006</v>
      </c>
    </row>
    <row r="18" spans="1:21" s="1" customFormat="1">
      <c r="A18" s="468"/>
      <c r="B18" s="311" t="str">
        <f>IF(Projektgrundlagen!$I$24,"Lph 2",IF(Projektgrundlagen!$I$25,"Lst 1B",IF(Projektgrundlagen!$I$26,"Lph 2","")))</f>
        <v>Lst 1B</v>
      </c>
      <c r="C18" s="312" t="str">
        <f>'E Honorarberechnung'!D78</f>
        <v xml:space="preserve">Vorplanung </v>
      </c>
      <c r="D18" s="313">
        <f>'StB-C1 Grundlstg -entfällt-'!I37+'HB-C1 Grundlstg Land'!I54+'HB-C2 Grundlstg Bund'!I53</f>
        <v>7</v>
      </c>
      <c r="E18" s="313">
        <f>'StB-C1 Grundlstg -entfällt-'!J37+'HB-C1 Grundlstg Land'!J54+'HB-C2 Grundlstg Bund'!J53</f>
        <v>7</v>
      </c>
      <c r="F18" s="690">
        <f>IF($S$10=0,0,E18/100*(1-$S$10))</f>
        <v>0</v>
      </c>
      <c r="G18" s="313">
        <f>IF('E Honorarberechnung'!$J$95=0,0,IF(F18=0,'E Honorarberechnung'!$J$36*E18/100,'E Honorarberechnung'!$J$36*F18))</f>
        <v>392364.7376253237</v>
      </c>
      <c r="H18" s="313">
        <f>IF($U$10=0,0,IF($U$10="Minderung",G18*(1-'E Honorarberechnung'!$I$40/100),G18*(1+'E Honorarberechnung'!$I$41/100)))</f>
        <v>0</v>
      </c>
      <c r="I18" s="313">
        <f>IF(H18=0,IF('E Honorarberechnung'!$J$54&gt;0,(1+('E Honorarberechnung'!$I$53/100))*G18,G18),IF('E Honorarberechnung'!$J$54&gt;0,(1+'E Honorarberechnung'!$I$53/100)*H18,H18))</f>
        <v>392364.7376253237</v>
      </c>
      <c r="J18" s="313">
        <f>SUM('E Honorarberechnung'!Q108:R108)</f>
        <v>0</v>
      </c>
      <c r="K18" s="313">
        <f>IF('E Honorarberechnung'!$O$73,I18+J18,0)</f>
        <v>392364.7376253237</v>
      </c>
      <c r="L18" s="691">
        <f>IF($K$29=0,0,IF(AND('E Honorarberechnung'!$O$73,'E Honorarberechnung'!$L$74,'E Honorarberechnung'!$O$74),'E Honorarberechnung'!$I$74*K18,IF(AND('E Honorarberechnung'!$O$73,'E Honorarberechnung'!$L$75,'E Honorarberechnung'!$O$75),'E Honorarberechnung'!$I$75/$K$29*K18,IF(AND('E Honorarberechnung'!$O$73,'E Honorarberechnung'!$L$76,'E Honorarberechnung'!O78),'E Honorarberechnung'!J78,0))))</f>
        <v>0</v>
      </c>
      <c r="M18" s="313">
        <f t="shared" ref="M18:M27" si="0">SUM(K18:L18)</f>
        <v>392364.7376253237</v>
      </c>
      <c r="N18" s="313">
        <f>+M18*'E Honorarberechnung'!$I$96</f>
        <v>74549.300148811511</v>
      </c>
      <c r="O18" s="314">
        <f t="shared" ref="O18:O27" si="1">+M18+N18</f>
        <v>466914.03777413524</v>
      </c>
    </row>
    <row r="19" spans="1:21" s="1" customFormat="1">
      <c r="A19" s="468"/>
      <c r="B19" s="311" t="str">
        <f>IF(Projektgrundlagen!$I$24,"Lph 3",IF(Projektgrundlagen!$I$25,"Lst 1C",IF(Projektgrundlagen!$I$26,"Lph 3","")))</f>
        <v>Lst 1C</v>
      </c>
      <c r="C19" s="312" t="str">
        <f>'E Honorarberechnung'!D79</f>
        <v xml:space="preserve">Entwurfsplanung </v>
      </c>
      <c r="D19" s="313">
        <f>'StB-C1 Grundlstg -entfällt-'!I49+'HB-C1 Grundlstg Land'!I75+'HB-C2 Grundlstg Bund'!I74</f>
        <v>15</v>
      </c>
      <c r="E19" s="313">
        <f>'StB-C1 Grundlstg -entfällt-'!J49+'HB-C1 Grundlstg Land'!J75+'HB-C2 Grundlstg Bund'!J74</f>
        <v>15</v>
      </c>
      <c r="F19" s="690">
        <f>IF($S$10=0,0,E19/100*(1-$S$10))</f>
        <v>0</v>
      </c>
      <c r="G19" s="313">
        <f>IF('E Honorarberechnung'!$J$95=0,0,IF(F19=0,'E Honorarberechnung'!$J$36*E19/100,'E Honorarberechnung'!$J$36*F19))</f>
        <v>840781.58062569366</v>
      </c>
      <c r="H19" s="313">
        <f>IF($U$10=0,0,IF($U$10="Minderung",G19*(1-'E Honorarberechnung'!$I$40/100),G19*(1+'E Honorarberechnung'!$I$41/100)))</f>
        <v>0</v>
      </c>
      <c r="I19" s="313">
        <f>IF(H19=0,IF('E Honorarberechnung'!$J$54&gt;0,(1+('E Honorarberechnung'!$I$53/100))*G19,G19),IF('E Honorarberechnung'!$J$54&gt;0,(1+'E Honorarberechnung'!$I$53/100)*H19,H19))</f>
        <v>840781.58062569366</v>
      </c>
      <c r="J19" s="313">
        <f>SUM('E Honorarberechnung'!Q109:R109)</f>
        <v>0</v>
      </c>
      <c r="K19" s="313">
        <f>IF('E Honorarberechnung'!$O$73,I19+J19,0)</f>
        <v>840781.58062569366</v>
      </c>
      <c r="L19" s="691">
        <f>IF($K$29=0,0,IF(AND('E Honorarberechnung'!$O$73,'E Honorarberechnung'!$L$74,'E Honorarberechnung'!$O$74),'E Honorarberechnung'!$I$74*K19,IF(AND('E Honorarberechnung'!$O$73,'E Honorarberechnung'!$L$75,'E Honorarberechnung'!$O$75),'E Honorarberechnung'!$I$75/$K$29*K19,IF(AND('E Honorarberechnung'!$O$73,'E Honorarberechnung'!$L$76,'E Honorarberechnung'!O79),'E Honorarberechnung'!J79,0))))</f>
        <v>0</v>
      </c>
      <c r="M19" s="313">
        <f t="shared" si="0"/>
        <v>840781.58062569366</v>
      </c>
      <c r="N19" s="313">
        <f>+M19*'E Honorarberechnung'!$I$96</f>
        <v>159748.50031888179</v>
      </c>
      <c r="O19" s="314">
        <f t="shared" si="1"/>
        <v>1000530.0809445755</v>
      </c>
    </row>
    <row r="20" spans="1:21" s="1" customFormat="1">
      <c r="A20" s="468"/>
      <c r="B20" s="311" t="str">
        <f>IF(Projektgrundlagen!$I$24,"Lph 4",IF(Projektgrundlagen!$I$25,"Lst 1D",IF(Projektgrundlagen!$I$26,"Lph 4","")))</f>
        <v>Lst 1D</v>
      </c>
      <c r="C20" s="312" t="str">
        <f>'E Honorarberechnung'!D80</f>
        <v xml:space="preserve">Genehmigungsplanung </v>
      </c>
      <c r="D20" s="313">
        <f>'StB-C1 Grundlstg -entfällt-'!I61+'HB-C1 Grundlstg Land'!I85+'HB-C2 Grundlstg Bund'!I84</f>
        <v>3</v>
      </c>
      <c r="E20" s="313">
        <f>'StB-C1 Grundlstg -entfällt-'!J61+'HB-C1 Grundlstg Land'!J85+'HB-C2 Grundlstg Bund'!J84</f>
        <v>3</v>
      </c>
      <c r="F20" s="690">
        <f>IF($S$10=0,0,E20/100*(1-$S$10))</f>
        <v>0</v>
      </c>
      <c r="G20" s="313">
        <f>IF('E Honorarberechnung'!$J$95=0,0,IF(F20=0,'E Honorarberechnung'!$J$36*E20/100,'E Honorarberechnung'!$J$36*F20))</f>
        <v>168156.31612513875</v>
      </c>
      <c r="H20" s="313">
        <f>IF($U$10=0,0,IF($U$10="Minderung",G20*(1-'E Honorarberechnung'!$I$40/100),G20*(1+'E Honorarberechnung'!$I$41/100)))</f>
        <v>0</v>
      </c>
      <c r="I20" s="313">
        <f>IF(H20=0,IF('E Honorarberechnung'!$J$54&gt;0,(1+('E Honorarberechnung'!$I$53/100))*G20,G20),IF('E Honorarberechnung'!$J$54&gt;0,(1+'E Honorarberechnung'!$I$53/100)*H20,H20))</f>
        <v>168156.31612513875</v>
      </c>
      <c r="J20" s="313">
        <f>SUM('E Honorarberechnung'!Q110:R110)</f>
        <v>0</v>
      </c>
      <c r="K20" s="313">
        <f>IF('E Honorarberechnung'!$O$73,I20+J20,0)</f>
        <v>168156.31612513875</v>
      </c>
      <c r="L20" s="691">
        <f>IF($K$29=0,0,IF(AND('E Honorarberechnung'!$O$73,'E Honorarberechnung'!$L$74,'E Honorarberechnung'!$O$74),'E Honorarberechnung'!$I$74*K20,IF(AND('E Honorarberechnung'!$O$73,'E Honorarberechnung'!$L$75,'E Honorarberechnung'!$O$75),'E Honorarberechnung'!$I$75/$K$29*K20,IF(AND('E Honorarberechnung'!$O$73,'E Honorarberechnung'!$L$76,'E Honorarberechnung'!O80),'E Honorarberechnung'!J80,0))))</f>
        <v>0</v>
      </c>
      <c r="M20" s="313">
        <f t="shared" si="0"/>
        <v>168156.31612513875</v>
      </c>
      <c r="N20" s="313">
        <f>+M20*'E Honorarberechnung'!$I$96</f>
        <v>31949.700063776363</v>
      </c>
      <c r="O20" s="314">
        <f t="shared" si="1"/>
        <v>200106.01618891512</v>
      </c>
    </row>
    <row r="21" spans="1:21" s="1" customFormat="1">
      <c r="A21" s="468"/>
      <c r="B21" s="311" t="str">
        <f>IF(Projektgrundlagen!$I$24,"",IF(Projektgrundlagen!$I$25,"",IF(Projektgrundlagen!$I$26,"Lst 1","")))</f>
        <v/>
      </c>
      <c r="C21" s="312" t="str">
        <f>IF(Projektgrundlagen!$I$24,"",IF(Projektgrundlagen!$I$25,"",IF(Projektgrundlagen!$I$26,"Besondere Leistungen","")))</f>
        <v/>
      </c>
      <c r="D21" s="313"/>
      <c r="E21" s="313"/>
      <c r="F21" s="690"/>
      <c r="G21" s="313">
        <f>IF('E Honorarberechnung'!$J$95=0,0,IF(F21=0,'E Honorarberechnung'!$J$36*E21/100,'E Honorarberechnung'!$J$36*F21))</f>
        <v>0</v>
      </c>
      <c r="H21" s="313">
        <f>IF($U$10=0,0,IF($U$10="Minderung",G21*(1-'E Honorarberechnung'!$I$40/100),G21*(1+'E Honorarberechnung'!$I$41/100)))</f>
        <v>0</v>
      </c>
      <c r="I21" s="313">
        <f>IF(H21=0,IF('E Honorarberechnung'!$J$54&gt;0,(1+('E Honorarberechnung'!$I$53/100))*G21,G21),IF('E Honorarberechnung'!$J$54&gt;0,(1+'E Honorarberechnung'!$I$53/100)*H21,H21))</f>
        <v>0</v>
      </c>
      <c r="J21" s="313">
        <f>SUM('E Honorarberechnung'!S110)</f>
        <v>0</v>
      </c>
      <c r="K21" s="313">
        <f>IF('E Honorarberechnung'!$O$73,I21+J21,0)</f>
        <v>0</v>
      </c>
      <c r="L21" s="691">
        <f>IF($K$29=0,0,IF(AND('E Honorarberechnung'!$O$73,'E Honorarberechnung'!$L$74,'E Honorarberechnung'!$O$74),'E Honorarberechnung'!$I$74*K21,IF(AND('E Honorarberechnung'!$O$73,'E Honorarberechnung'!$L$75,'E Honorarberechnung'!$O$75),'E Honorarberechnung'!$I$75/$K$29*K21,IF(AND('E Honorarberechnung'!$O$73,'E Honorarberechnung'!$L$76,'E Honorarberechnung'!O81),'E Honorarberechnung'!J81,0))))</f>
        <v>0</v>
      </c>
      <c r="M21" s="313">
        <f t="shared" si="0"/>
        <v>0</v>
      </c>
      <c r="N21" s="313">
        <f>+M21*'E Honorarberechnung'!$I$96</f>
        <v>0</v>
      </c>
      <c r="O21" s="314">
        <f t="shared" si="1"/>
        <v>0</v>
      </c>
    </row>
    <row r="22" spans="1:21" s="1" customFormat="1">
      <c r="A22" s="468"/>
      <c r="B22" s="311" t="str">
        <f>IF(Projektgrundlagen!$I$24,"Lph 5",IF(Projektgrundlagen!$I$25,"Lst 2",IF(Projektgrundlagen!$I$26,"Lst 2","")))</f>
        <v>Lst 2</v>
      </c>
      <c r="C22" s="312" t="str">
        <f>'E Honorarberechnung'!D82</f>
        <v xml:space="preserve">Ausführungsplanung </v>
      </c>
      <c r="D22" s="313">
        <f>'StB-C1 Grundlstg -entfällt-'!I73+'HB-C1 Grundlstg Land'!I100+'HB-C2 Grundlstg Bund'!I105</f>
        <v>25</v>
      </c>
      <c r="E22" s="313">
        <f>'StB-C1 Grundlstg -entfällt-'!J73+'HB-C1 Grundlstg Land'!J100+'HB-C2 Grundlstg Bund'!J105</f>
        <v>25</v>
      </c>
      <c r="F22" s="690">
        <f>IF($S$10=0,0,E22/100*(1-$S$10))</f>
        <v>0</v>
      </c>
      <c r="G22" s="313">
        <f>IF('E Honorarberechnung'!$J$95=0,0,IF(F22=0,'E Honorarberechnung'!$J$36*E22/100,'E Honorarberechnung'!$J$36*F22))</f>
        <v>1401302.6343761561</v>
      </c>
      <c r="H22" s="313">
        <f>IF($U$10=0,0,IF($U$10="Minderung",G22*(1-'E Honorarberechnung'!$I$40/100),G22*(1+'E Honorarberechnung'!$I$41/100)))</f>
        <v>0</v>
      </c>
      <c r="I22" s="313">
        <f>IF(H22=0,IF('E Honorarberechnung'!$J$54&gt;0,(1+('E Honorarberechnung'!$I$53/100))*G22,G22),IF('E Honorarberechnung'!$J$54&gt;0,(1+'E Honorarberechnung'!$I$53/100)*H22,H22))</f>
        <v>1401302.6343761561</v>
      </c>
      <c r="J22" s="313">
        <f>SUM('E Honorarberechnung'!Q111:S111)</f>
        <v>0</v>
      </c>
      <c r="K22" s="313">
        <f>IF('E Honorarberechnung'!$O$73,I22+J22,0)</f>
        <v>1401302.6343761561</v>
      </c>
      <c r="L22" s="691">
        <f>IF($K$29=0,0,IF(AND('E Honorarberechnung'!$O$73,'E Honorarberechnung'!$L$74,'E Honorarberechnung'!$O$74),'E Honorarberechnung'!$I$74*K22,IF(AND('E Honorarberechnung'!$O$73,'E Honorarberechnung'!$L$75,'E Honorarberechnung'!$O$75),'E Honorarberechnung'!$I$75/$K$29*K22,IF(AND('E Honorarberechnung'!$O$73,'E Honorarberechnung'!$L$76,'E Honorarberechnung'!O82),'E Honorarberechnung'!J82,0))))</f>
        <v>0</v>
      </c>
      <c r="M22" s="313">
        <f t="shared" si="0"/>
        <v>1401302.6343761561</v>
      </c>
      <c r="N22" s="313">
        <f>+M22*'E Honorarberechnung'!$I$96</f>
        <v>266247.50053146965</v>
      </c>
      <c r="O22" s="314">
        <f t="shared" si="1"/>
        <v>1667550.1349076258</v>
      </c>
    </row>
    <row r="23" spans="1:21" s="1" customFormat="1">
      <c r="A23" s="468"/>
      <c r="B23" s="311" t="str">
        <f>IF(Projektgrundlagen!$I$24,"Lph 6",IF(Projektgrundlagen!$I$25,"Lst 3A",IF(Projektgrundlagen!$I$26,"Lph 6","")))</f>
        <v>Lst 3A</v>
      </c>
      <c r="C23" s="312" t="str">
        <f>'E Honorarberechnung'!D83</f>
        <v>Vorbereitung der Vergabe</v>
      </c>
      <c r="D23" s="313">
        <f>'StB-C1 Grundlstg -entfällt-'!I85+'HB-C1 Grundlstg Land'!I116+'HB-C2 Grundlstg Bund'!I121</f>
        <v>10</v>
      </c>
      <c r="E23" s="313">
        <f>'StB-C1 Grundlstg -entfällt-'!J85+'HB-C1 Grundlstg Land'!J116+'HB-C2 Grundlstg Bund'!J121</f>
        <v>0</v>
      </c>
      <c r="F23" s="690">
        <f>IF($S$10=0,0,E23/100*(1-$S$10))</f>
        <v>0</v>
      </c>
      <c r="G23" s="313">
        <f>IF('E Honorarberechnung'!$J$95=0,0,IF(F23=0,'E Honorarberechnung'!$J$36*E23/100,'E Honorarberechnung'!$J$36*F23))</f>
        <v>0</v>
      </c>
      <c r="H23" s="313">
        <f>IF($U$10=0,0,IF($U$10="Minderung",G23*(1-'E Honorarberechnung'!$I$40/100),G23*(1+'E Honorarberechnung'!$I$41/100)))</f>
        <v>0</v>
      </c>
      <c r="I23" s="313">
        <f>IF(H23=0,IF('E Honorarberechnung'!$J$54&gt;0,(1+('E Honorarberechnung'!$I$53/100))*G23,G23),IF('E Honorarberechnung'!$J$54&gt;0,(1+'E Honorarberechnung'!$I$53/100)*H23,H23))</f>
        <v>0</v>
      </c>
      <c r="J23" s="313">
        <f>SUM('E Honorarberechnung'!Q112:R112)</f>
        <v>0</v>
      </c>
      <c r="K23" s="313">
        <f>IF('E Honorarberechnung'!$O$73,I23+J23,0)</f>
        <v>0</v>
      </c>
      <c r="L23" s="691">
        <f>IF($K$29=0,0,IF(AND('E Honorarberechnung'!$O$73,'E Honorarberechnung'!$L$74,'E Honorarberechnung'!$O$74),'E Honorarberechnung'!$I$74*K23,IF(AND('E Honorarberechnung'!$O$73,'E Honorarberechnung'!$L$75,'E Honorarberechnung'!$O$75),'E Honorarberechnung'!$I$75/$K$29*K23,IF(AND('E Honorarberechnung'!$O$73,'E Honorarberechnung'!$L$76,'E Honorarberechnung'!O83),'E Honorarberechnung'!J83,0))))</f>
        <v>0</v>
      </c>
      <c r="M23" s="313">
        <f t="shared" si="0"/>
        <v>0</v>
      </c>
      <c r="N23" s="313">
        <f>+M23*'E Honorarberechnung'!$I$96</f>
        <v>0</v>
      </c>
      <c r="O23" s="314">
        <f t="shared" si="1"/>
        <v>0</v>
      </c>
    </row>
    <row r="24" spans="1:21" s="1" customFormat="1">
      <c r="A24" s="468"/>
      <c r="B24" s="311" t="str">
        <f>IF(Projektgrundlagen!$I$24,"Lph 7",IF(Projektgrundlagen!$I$25,"Lst 3B",IF(Projektgrundlagen!$I$26,"Lph 7","")))</f>
        <v>Lst 3B</v>
      </c>
      <c r="C24" s="312" t="str">
        <f>'E Honorarberechnung'!D84</f>
        <v>Mitwirkung bei der Vergabe</v>
      </c>
      <c r="D24" s="313">
        <f>'StB-C1 Grundlstg -entfällt-'!I97+'HB-C1 Grundlstg Land'!I139+'HB-C2 Grundlstg Bund'!I144</f>
        <v>4</v>
      </c>
      <c r="E24" s="313">
        <f>'StB-C1 Grundlstg -entfällt-'!J97+'HB-C1 Grundlstg Land'!J139+'HB-C2 Grundlstg Bund'!J144</f>
        <v>0</v>
      </c>
      <c r="F24" s="690">
        <f>IF($S$10=0,0,E24/100)</f>
        <v>0</v>
      </c>
      <c r="G24" s="313">
        <f>IF('E Honorarberechnung'!$J$95=0,0,IF(F24=0,'E Honorarberechnung'!$J$36*E24/100,'E Honorarberechnung'!$J$36*F24))</f>
        <v>0</v>
      </c>
      <c r="H24" s="313">
        <f>IF($U$10=0,0,IF($U$10="Minderung",G24*(1-'E Honorarberechnung'!$I$40/100),G24*(1+'E Honorarberechnung'!$I$41/100)))</f>
        <v>0</v>
      </c>
      <c r="I24" s="313">
        <f>IF(H24=0,IF('E Honorarberechnung'!$J$54&gt;0,(1+('E Honorarberechnung'!$I$53/100))*G24,G24),IF('E Honorarberechnung'!$J$54&gt;0,(1+'E Honorarberechnung'!$I$53/100)*H24,H24))</f>
        <v>0</v>
      </c>
      <c r="J24" s="313">
        <f>SUM('E Honorarberechnung'!Q113:R113)</f>
        <v>0</v>
      </c>
      <c r="K24" s="313">
        <f>IF('E Honorarberechnung'!$O$73,I24+J24,0)</f>
        <v>0</v>
      </c>
      <c r="L24" s="691">
        <f>IF($K$29=0,0,IF(AND('E Honorarberechnung'!$O$73,'E Honorarberechnung'!$L$74,'E Honorarberechnung'!$O$74),'E Honorarberechnung'!$I$74*K24,IF(AND('E Honorarberechnung'!$O$73,'E Honorarberechnung'!$L$75,'E Honorarberechnung'!$O$75),'E Honorarberechnung'!$I$75/$K$29*K24,IF(AND('E Honorarberechnung'!$O$73,'E Honorarberechnung'!$L$76,'E Honorarberechnung'!O84),'E Honorarberechnung'!J84,0))))</f>
        <v>0</v>
      </c>
      <c r="M24" s="313">
        <f t="shared" si="0"/>
        <v>0</v>
      </c>
      <c r="N24" s="313">
        <f>+M24*'E Honorarberechnung'!$I$96</f>
        <v>0</v>
      </c>
      <c r="O24" s="314">
        <f t="shared" si="1"/>
        <v>0</v>
      </c>
      <c r="S24"/>
      <c r="T24"/>
      <c r="U24"/>
    </row>
    <row r="25" spans="1:21" s="1" customFormat="1">
      <c r="A25" s="468"/>
      <c r="B25" s="311" t="str">
        <f>IF(Projektgrundlagen!$I$24,"",IF(Projektgrundlagen!$I$25,"",IF(Projektgrundlagen!$I$26,"Lst 3","")))</f>
        <v/>
      </c>
      <c r="C25" s="312" t="str">
        <f>IF(Projektgrundlagen!$I$24,"",IF(Projektgrundlagen!$I$25,"",IF(Projektgrundlagen!$I$26,"Besondere Leistungen","")))</f>
        <v/>
      </c>
      <c r="D25" s="313"/>
      <c r="E25" s="313"/>
      <c r="F25" s="690"/>
      <c r="G25" s="313">
        <f>IF('E Honorarberechnung'!$J$95=0,0,IF(F25=0,'E Honorarberechnung'!$J$36*E25/100,'E Honorarberechnung'!$J$36*F25))</f>
        <v>0</v>
      </c>
      <c r="H25" s="313">
        <f>IF($U$10=0,0,IF($U$10="Minderung",G25*(1-'E Honorarberechnung'!$I$40/100),G25*(1+'E Honorarberechnung'!$I$41/100)))</f>
        <v>0</v>
      </c>
      <c r="I25" s="313">
        <f>IF(H25=0,IF('E Honorarberechnung'!$J$54&gt;0,(1+('E Honorarberechnung'!$I$53/100))*G25,G25),IF('E Honorarberechnung'!$J$54&gt;0,(1+'E Honorarberechnung'!$I$53/100)*H25,H25))</f>
        <v>0</v>
      </c>
      <c r="J25" s="313">
        <f>SUM('E Honorarberechnung'!S113)</f>
        <v>0</v>
      </c>
      <c r="K25" s="313">
        <f>IF('E Honorarberechnung'!$O$73,I25+J25,0)</f>
        <v>0</v>
      </c>
      <c r="L25" s="691">
        <f>IF($K$29=0,0,IF(AND('E Honorarberechnung'!$O$73,'E Honorarberechnung'!$L$74,'E Honorarberechnung'!$O$74),'E Honorarberechnung'!$I$74*K25,IF(AND('E Honorarberechnung'!$O$73,'E Honorarberechnung'!$L$75,'E Honorarberechnung'!$O$75),'E Honorarberechnung'!$I$75/$K$29*K25,IF(AND('E Honorarberechnung'!$O$73,'E Honorarberechnung'!$L$76,'E Honorarberechnung'!O85),'E Honorarberechnung'!J85,0))))</f>
        <v>0</v>
      </c>
      <c r="M25" s="313">
        <f t="shared" si="0"/>
        <v>0</v>
      </c>
      <c r="N25" s="313">
        <f>+M25*'E Honorarberechnung'!$I$96</f>
        <v>0</v>
      </c>
      <c r="O25" s="314">
        <f t="shared" si="1"/>
        <v>0</v>
      </c>
    </row>
    <row r="26" spans="1:21" s="1" customFormat="1">
      <c r="A26" s="468"/>
      <c r="B26" s="311" t="str">
        <f>IF(Projektgrundlagen!$I$24,"Lph 8",IF(Projektgrundlagen!$I$25,"Lst 4",IF(Projektgrundlagen!$I$26,"Lst 4","")))</f>
        <v>Lst 4</v>
      </c>
      <c r="C26" s="312" t="str">
        <f>'E Honorarberechnung'!D86</f>
        <v>Objektüberwachung u. Dokum.</v>
      </c>
      <c r="D26" s="313">
        <f>'StB-C1 Grundlstg -entfällt-'!I109+'HB-C1 Grundlstg Land'!I182+'HB-C2 Grundlstg Bund'!I191</f>
        <v>32.000000000000007</v>
      </c>
      <c r="E26" s="313">
        <f>'StB-C1 Grundlstg -entfällt-'!J109+'HB-C1 Grundlstg Land'!J182+'HB-C2 Grundlstg Bund'!J191</f>
        <v>0</v>
      </c>
      <c r="F26" s="690">
        <f>IF($S$10=0,0,E26/100)</f>
        <v>0</v>
      </c>
      <c r="G26" s="313">
        <f>IF('E Honorarberechnung'!$J$95=0,0,IF(F26=0,'E Honorarberechnung'!$J$36*E26/100,'E Honorarberechnung'!$J$36*F26))</f>
        <v>0</v>
      </c>
      <c r="H26" s="313">
        <f>IF($U$10=0,0,IF($U$10="Minderung",G26*(1-'E Honorarberechnung'!$I$40/100),G26*(1+'E Honorarberechnung'!$I$41/100)))</f>
        <v>0</v>
      </c>
      <c r="I26" s="313">
        <f>IF(H26=0,IF('E Honorarberechnung'!$J$54&gt;0,(1+('E Honorarberechnung'!$I$53/100))*G26,G26+'E Honorarberechnung'!J57),IF('E Honorarberechnung'!$J$54&gt;0,(1+'E Honorarberechnung'!$I$53/100)*H26,H26+'E Honorarberechnung'!J57))</f>
        <v>0</v>
      </c>
      <c r="J26" s="313">
        <f>SUM('E Honorarberechnung'!Q114:S114)</f>
        <v>0</v>
      </c>
      <c r="K26" s="313">
        <f>IF('E Honorarberechnung'!$O$73,I26+J26,0)</f>
        <v>0</v>
      </c>
      <c r="L26" s="691">
        <f>IF($K$29=0,0,IF(AND('E Honorarberechnung'!$O$73,'E Honorarberechnung'!$L$74,'E Honorarberechnung'!$O$74),'E Honorarberechnung'!$I$74*K26,IF(AND('E Honorarberechnung'!$O$73,'E Honorarberechnung'!$L$75,'E Honorarberechnung'!$O$75),'E Honorarberechnung'!$I$75/$K$29*K26,IF(AND('E Honorarberechnung'!$O$73,'E Honorarberechnung'!$L$76,'E Honorarberechnung'!O86),'E Honorarberechnung'!J86,0))))</f>
        <v>0</v>
      </c>
      <c r="M26" s="313">
        <f t="shared" si="0"/>
        <v>0</v>
      </c>
      <c r="N26" s="313">
        <f>+M26*'E Honorarberechnung'!$I$96</f>
        <v>0</v>
      </c>
      <c r="O26" s="314">
        <f t="shared" si="1"/>
        <v>0</v>
      </c>
    </row>
    <row r="27" spans="1:21" s="1" customFormat="1">
      <c r="A27" s="468"/>
      <c r="B27" s="315" t="str">
        <f>IF(Projektgrundlagen!$I$24,"Lph 9",IF(Projektgrundlagen!$I$25,"Lst 5",IF(Projektgrundlagen!$I$26,"Lst 5","")))</f>
        <v>Lst 5</v>
      </c>
      <c r="C27" s="316" t="str">
        <f>'E Honorarberechnung'!D87</f>
        <v>Objektbetreuung</v>
      </c>
      <c r="D27" s="317">
        <f>'StB-C1 Grundlstg -entfällt-'!I121+'HB-C1 Grundlstg Land'!I191+'HB-C2 Grundlstg Bund'!I202</f>
        <v>2</v>
      </c>
      <c r="E27" s="317">
        <f>'StB-C1 Grundlstg -entfällt-'!J121+'HB-C1 Grundlstg Land'!J191+'HB-C2 Grundlstg Bund'!J202</f>
        <v>0</v>
      </c>
      <c r="F27" s="692">
        <f>IF($S$10=0,0,E27/100)</f>
        <v>0</v>
      </c>
      <c r="G27" s="317">
        <f>IF('E Honorarberechnung'!$J$95=0,0,IF(F27=0,'E Honorarberechnung'!$J$36*E27/100,'E Honorarberechnung'!$J$36*F27))</f>
        <v>0</v>
      </c>
      <c r="H27" s="317">
        <f>IF($U$10=0,0,IF($U$10="Minderung",G27*(1-'E Honorarberechnung'!$I$40/100),G27*(1+'E Honorarberechnung'!$I$41/100)))</f>
        <v>0</v>
      </c>
      <c r="I27" s="317">
        <f>IF(H27=0,IF('E Honorarberechnung'!$J$54&gt;0,(1+('E Honorarberechnung'!$I$53/100))*G27,G27),IF('E Honorarberechnung'!$J$54&gt;0,(1+'E Honorarberechnung'!$I$53/100)*H27,H27))</f>
        <v>0</v>
      </c>
      <c r="J27" s="317">
        <f>SUM('E Honorarberechnung'!Q115:S115)</f>
        <v>0</v>
      </c>
      <c r="K27" s="317">
        <f>IF('E Honorarberechnung'!$O$73,I27+J27,0)</f>
        <v>0</v>
      </c>
      <c r="L27" s="693">
        <f>IF($K$29=0,0,IF(AND('E Honorarberechnung'!$O$73,'E Honorarberechnung'!$L$74,'E Honorarberechnung'!$O$74),'E Honorarberechnung'!$I$74*K27,IF(AND('E Honorarberechnung'!$O$73,'E Honorarberechnung'!$L$75,'E Honorarberechnung'!$O$75),'E Honorarberechnung'!$I$75/$K$29*K27,IF(AND('E Honorarberechnung'!$O$73,'E Honorarberechnung'!$L$76,'E Honorarberechnung'!O87),'E Honorarberechnung'!J87,0))))</f>
        <v>0</v>
      </c>
      <c r="M27" s="317">
        <f t="shared" si="0"/>
        <v>0</v>
      </c>
      <c r="N27" s="317">
        <f>+M27*'E Honorarberechnung'!$I$96</f>
        <v>0</v>
      </c>
      <c r="O27" s="455">
        <f t="shared" si="1"/>
        <v>0</v>
      </c>
    </row>
    <row r="28" spans="1:21" s="132" customFormat="1" ht="17.399999999999999" thickBot="1">
      <c r="A28" s="531"/>
      <c r="B28" s="86"/>
      <c r="C28" s="86"/>
      <c r="D28" s="86"/>
      <c r="E28" s="86"/>
      <c r="F28" s="86"/>
      <c r="G28" s="86"/>
      <c r="H28" s="86"/>
      <c r="I28" s="86"/>
      <c r="J28" s="86"/>
      <c r="K28" s="345"/>
      <c r="L28" s="126"/>
      <c r="M28" s="131"/>
    </row>
    <row r="29" spans="1:21" s="21" customFormat="1" ht="26.4" customHeight="1" thickBot="1">
      <c r="A29" s="470"/>
      <c r="B29" s="493" t="s">
        <v>66</v>
      </c>
      <c r="C29" s="903"/>
      <c r="D29" s="904">
        <f>SUM(D17:D27)</f>
        <v>100</v>
      </c>
      <c r="E29" s="904">
        <f>SUM(E17:E27)</f>
        <v>52</v>
      </c>
      <c r="F29" s="905">
        <f>SUM(F17:F27)</f>
        <v>0</v>
      </c>
      <c r="G29" s="906">
        <f>SUM(G17:G27)</f>
        <v>2914709.4795024046</v>
      </c>
      <c r="H29" s="906">
        <f t="shared" ref="H29:O29" si="2">SUM(H17:H27)</f>
        <v>0</v>
      </c>
      <c r="I29" s="906">
        <f>SUM(I17:I27)</f>
        <v>2914709.4795024046</v>
      </c>
      <c r="J29" s="907">
        <f t="shared" si="2"/>
        <v>0</v>
      </c>
      <c r="K29" s="906">
        <f>SUM(K17:K27)</f>
        <v>2914709.4795024046</v>
      </c>
      <c r="L29" s="907">
        <f t="shared" si="2"/>
        <v>0</v>
      </c>
      <c r="M29" s="907">
        <f t="shared" si="2"/>
        <v>2914709.4795024046</v>
      </c>
      <c r="N29" s="908">
        <f t="shared" si="2"/>
        <v>553794.80110545689</v>
      </c>
      <c r="O29" s="822">
        <f t="shared" si="2"/>
        <v>3468504.2806078619</v>
      </c>
    </row>
    <row r="30" spans="1:21" s="1" customFormat="1" ht="15" customHeight="1">
      <c r="A30" s="468"/>
      <c r="J30" s="10"/>
    </row>
    <row r="31" spans="1:21"/>
    <row r="32" spans="1:21"/>
    <row r="33"/>
    <row r="34"/>
  </sheetData>
  <sheetProtection sheet="1" formatRows="0"/>
  <mergeCells count="20">
    <mergeCell ref="B5:C5"/>
    <mergeCell ref="P2:P8"/>
    <mergeCell ref="B6:C6"/>
    <mergeCell ref="B7:C7"/>
    <mergeCell ref="B15:C15"/>
    <mergeCell ref="D5:I5"/>
    <mergeCell ref="D6:O6"/>
    <mergeCell ref="E13:F13"/>
    <mergeCell ref="B2:I2"/>
    <mergeCell ref="B3:I3"/>
    <mergeCell ref="J14:J15"/>
    <mergeCell ref="S7:U7"/>
    <mergeCell ref="G12:H13"/>
    <mergeCell ref="D14:I14"/>
    <mergeCell ref="B14:C14"/>
    <mergeCell ref="D8:O8"/>
    <mergeCell ref="D7:O7"/>
    <mergeCell ref="B8:C8"/>
    <mergeCell ref="M14:M15"/>
    <mergeCell ref="O14:O15"/>
  </mergeCells>
  <pageMargins left="0.39370078740157483" right="0.19685039370078741" top="0.39370078740157483" bottom="0.47244094488188981" header="0.31496062992125984" footer="0.31496062992125984"/>
  <pageSetup paperSize="9" scale="69" fitToHeight="0" orientation="landscape" r:id="rId1"/>
  <headerFooter scaleWithDoc="0">
    <oddFooter>&amp;L&amp;8©  VHF Bayern - Stand Oktober 2022&amp;R&amp;P</oddFooter>
  </headerFooter>
  <ignoredErrors>
    <ignoredError sqref="I26"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tabColor theme="0" tint="-0.14999847407452621"/>
    <pageSetUpPr fitToPage="1"/>
  </sheetPr>
  <dimension ref="A1:M51"/>
  <sheetViews>
    <sheetView showGridLines="0" zoomScaleNormal="100" zoomScaleSheetLayoutView="115" zoomScalePageLayoutView="50" workbookViewId="0">
      <selection activeCell="J21" sqref="J21"/>
    </sheetView>
  </sheetViews>
  <sheetFormatPr baseColWidth="10" defaultColWidth="0" defaultRowHeight="16.8" zeroHeight="1"/>
  <cols>
    <col min="1" max="1" width="5.6640625" style="471" customWidth="1"/>
    <col min="2" max="2" width="10.6640625" customWidth="1"/>
    <col min="3" max="3" width="12" customWidth="1"/>
    <col min="4" max="4" width="7.5546875" customWidth="1"/>
    <col min="5" max="5" width="19" customWidth="1"/>
    <col min="6" max="6" width="5.6640625" customWidth="1"/>
    <col min="7" max="7" width="19" customWidth="1"/>
    <col min="8" max="8" width="10.5546875" customWidth="1"/>
    <col min="9" max="9" width="19" customWidth="1"/>
    <col min="10" max="10" width="2.6640625" customWidth="1"/>
    <col min="11" max="11" width="11.44140625" style="149" hidden="1" customWidth="1"/>
    <col min="12" max="16384" width="11.44140625" hidden="1"/>
  </cols>
  <sheetData>
    <row r="1" spans="1:13"/>
    <row r="2" spans="1:13" s="1" customFormat="1" ht="17.399999999999999">
      <c r="A2" s="468"/>
      <c r="B2" s="1515" t="str">
        <f>Projektgrundlagen!L20</f>
        <v xml:space="preserve">Objektplanung Gebäude </v>
      </c>
      <c r="C2" s="1515"/>
      <c r="D2" s="1515"/>
      <c r="E2" s="1515"/>
      <c r="F2" s="1516"/>
      <c r="G2" s="376" t="str">
        <f>IF(Projektgrundlagen!F2="","",Projektgrundlagen!F2)</f>
        <v>VII.10.4</v>
      </c>
      <c r="H2" s="1599" t="s">
        <v>208</v>
      </c>
      <c r="I2" s="1600"/>
      <c r="J2" s="1808" t="s">
        <v>179</v>
      </c>
      <c r="K2" s="365" t="s">
        <v>59</v>
      </c>
      <c r="M2" s="207" t="s">
        <v>169</v>
      </c>
    </row>
    <row r="3" spans="1:13" s="1" customFormat="1" ht="15" customHeight="1">
      <c r="A3" s="468"/>
      <c r="B3" s="1673" t="s">
        <v>179</v>
      </c>
      <c r="C3" s="1673"/>
      <c r="D3" s="1673"/>
      <c r="E3" s="1673"/>
      <c r="F3" s="1674"/>
      <c r="G3" s="383" t="str">
        <f>IF(Projektgrundlagen!F3="","",Projektgrundlagen!F3)</f>
        <v>Vertrags-Nr.:</v>
      </c>
      <c r="H3" s="1543" t="str">
        <f>IF(Projektgrundlagen!G3="","",Projektgrundlagen!G3)</f>
        <v>000.792.717</v>
      </c>
      <c r="I3" s="1544"/>
      <c r="J3" s="1808"/>
      <c r="K3" s="85"/>
      <c r="M3" s="1" t="str">
        <f ca="1">MID(CELL("dateiname",A2),FIND("]",CELL("dateiname",A2))+1,255)</f>
        <v>G Honorarabrechnung</v>
      </c>
    </row>
    <row r="4" spans="1:13" s="1" customFormat="1" ht="7.5" customHeight="1">
      <c r="A4" s="468"/>
      <c r="B4" s="371"/>
      <c r="C4" s="371"/>
      <c r="D4" s="371"/>
      <c r="E4" s="371"/>
      <c r="F4" s="371"/>
      <c r="G4" s="370"/>
      <c r="H4" s="370"/>
      <c r="I4" s="370"/>
      <c r="J4" s="1808"/>
      <c r="K4" s="85"/>
    </row>
    <row r="5" spans="1:13" s="1" customFormat="1" ht="15" customHeight="1">
      <c r="A5" s="468"/>
      <c r="B5" s="1605" t="str">
        <f>IF(Projektgrundlagen!B5="","",Projektgrundlagen!B5)</f>
        <v>Maßnahmennr:</v>
      </c>
      <c r="C5" s="1606"/>
      <c r="D5" s="1607" t="str">
        <f>IF(Projektgrundlagen!E5="","",Projektgrundlagen!E5)</f>
        <v>B14HA150700001</v>
      </c>
      <c r="E5" s="1607"/>
      <c r="F5" s="1607"/>
      <c r="G5" s="378" t="str">
        <f>IF(Projektgrundlagen!F5="","",Projektgrundlagen!F5)</f>
        <v>Vergabe-Nr.:</v>
      </c>
      <c r="H5" s="1601" t="str">
        <f>IF(Projektgrundlagen!G5="","",Projektgrundlagen!G5)</f>
        <v>26-004187</v>
      </c>
      <c r="I5" s="1602"/>
      <c r="J5" s="1808"/>
      <c r="K5" s="85"/>
    </row>
    <row r="6" spans="1:13" s="1" customFormat="1" ht="15" customHeight="1">
      <c r="A6" s="468"/>
      <c r="B6" s="1524" t="str">
        <f>IF(Projektgrundlagen!B6="","",Projektgrundlagen!B6)</f>
        <v>Maßnahme:</v>
      </c>
      <c r="C6" s="1525"/>
      <c r="D6" s="1603" t="str">
        <f>IF(Projektgrundlagen!E6="","",Projektgrundlagen!E6)</f>
        <v>Neubau ASG TUM Campus Taufkirchen / Ottobrunn</v>
      </c>
      <c r="E6" s="1603"/>
      <c r="F6" s="1603"/>
      <c r="G6" s="1603"/>
      <c r="H6" s="1603"/>
      <c r="I6" s="1604"/>
      <c r="J6" s="1808"/>
      <c r="K6" s="85"/>
    </row>
    <row r="7" spans="1:13" s="1" customFormat="1" ht="15" customHeight="1">
      <c r="A7" s="468"/>
      <c r="B7" s="1524"/>
      <c r="C7" s="1525"/>
      <c r="D7" s="1547" t="str">
        <f>IF(Projektgrundlagen!E7="","",Projektgrundlagen!E7)</f>
        <v/>
      </c>
      <c r="E7" s="1547"/>
      <c r="F7" s="1547"/>
      <c r="G7" s="1547"/>
      <c r="H7" s="1547"/>
      <c r="I7" s="1548"/>
      <c r="J7" s="1808"/>
      <c r="K7" s="85"/>
    </row>
    <row r="8" spans="1:13" s="1" customFormat="1" ht="15" customHeight="1">
      <c r="A8" s="468"/>
      <c r="B8" s="1513" t="s">
        <v>121</v>
      </c>
      <c r="C8" s="1514"/>
      <c r="D8" s="1543" t="str">
        <f>IF(Projektgrundlagen!E8="","",Projektgrundlagen!E8)</f>
        <v/>
      </c>
      <c r="E8" s="1543"/>
      <c r="F8" s="1543"/>
      <c r="G8" s="1543"/>
      <c r="H8" s="1543"/>
      <c r="I8" s="1544"/>
      <c r="J8" s="1808"/>
      <c r="K8" s="85"/>
    </row>
    <row r="9" spans="1:13" s="1" customFormat="1">
      <c r="A9" s="468"/>
      <c r="B9" s="353"/>
      <c r="C9" s="374"/>
      <c r="D9" s="374"/>
      <c r="E9" s="374"/>
      <c r="F9" s="349"/>
      <c r="G9" s="350"/>
      <c r="H9" s="349"/>
      <c r="I9" s="350"/>
      <c r="K9" s="85"/>
    </row>
    <row r="10" spans="1:13" s="1" customFormat="1" ht="22.5" customHeight="1">
      <c r="A10" s="468"/>
      <c r="B10" s="850" t="str">
        <f>"Honorarabrechnung "&amp;IF(Projektgrundlagen!I24,"Straßenbau",("Hochbau - "&amp;IF(Projektgrundlagen!I25,"Land","Bund")))</f>
        <v>Honorarabrechnung Hochbau - Land</v>
      </c>
      <c r="C10" s="665"/>
      <c r="D10" s="665"/>
      <c r="E10" s="665"/>
      <c r="F10" s="665"/>
      <c r="G10" s="665"/>
      <c r="H10" s="665"/>
      <c r="I10" s="665"/>
      <c r="K10" s="85"/>
    </row>
    <row r="11" spans="1:13" s="1" customFormat="1" ht="7.2" customHeight="1">
      <c r="A11" s="468"/>
      <c r="B11" s="663"/>
      <c r="C11" s="495"/>
      <c r="D11" s="495"/>
      <c r="E11" s="495"/>
      <c r="F11" s="495"/>
      <c r="G11" s="495"/>
      <c r="H11" s="495"/>
      <c r="I11" s="495"/>
      <c r="K11" s="85"/>
    </row>
    <row r="12" spans="1:13">
      <c r="B12" s="1823" t="s">
        <v>263</v>
      </c>
      <c r="C12" s="1824"/>
      <c r="D12" s="1804"/>
      <c r="E12" s="1804"/>
      <c r="F12" s="808"/>
      <c r="G12" s="808"/>
      <c r="H12" s="808"/>
      <c r="I12" s="809"/>
    </row>
    <row r="13" spans="1:13" s="1" customFormat="1" ht="15" customHeight="1">
      <c r="A13" s="468"/>
      <c r="B13" s="191" t="s">
        <v>89</v>
      </c>
      <c r="C13" s="107"/>
      <c r="D13" s="192"/>
      <c r="E13" s="49" t="s">
        <v>90</v>
      </c>
      <c r="F13" s="54" t="s">
        <v>237</v>
      </c>
      <c r="G13" s="53"/>
      <c r="H13" s="107"/>
      <c r="I13" s="49"/>
      <c r="K13" s="85"/>
    </row>
    <row r="14" spans="1:13" s="1" customFormat="1" ht="15" customHeight="1">
      <c r="A14" s="468"/>
      <c r="B14" s="50" t="s">
        <v>236</v>
      </c>
      <c r="C14" s="108"/>
      <c r="D14" s="810"/>
      <c r="E14" s="51">
        <f>'F Honorarübersicht'!E13:F13</f>
        <v>63715924.375</v>
      </c>
      <c r="F14" s="498" t="s">
        <v>417</v>
      </c>
      <c r="G14" s="927"/>
      <c r="H14" s="1825"/>
      <c r="I14" s="1826"/>
      <c r="K14" s="85"/>
    </row>
    <row r="15" spans="1:13" s="1" customFormat="1" ht="29.25" customHeight="1">
      <c r="A15" s="468"/>
      <c r="B15" s="1805" t="s">
        <v>406</v>
      </c>
      <c r="C15" s="1806"/>
      <c r="D15" s="1807"/>
      <c r="E15" s="866" t="s">
        <v>263</v>
      </c>
      <c r="F15" s="1819" t="s">
        <v>239</v>
      </c>
      <c r="G15" s="1820"/>
      <c r="H15" s="1819" t="s">
        <v>431</v>
      </c>
      <c r="I15" s="1820"/>
      <c r="K15" s="85"/>
    </row>
    <row r="16" spans="1:13" s="1" customFormat="1" ht="45" customHeight="1">
      <c r="A16" s="468"/>
      <c r="B16" s="811"/>
      <c r="C16" s="867"/>
      <c r="D16" s="876"/>
      <c r="E16" s="1012" t="str">
        <f>'F Honorarübersicht'!O14</f>
        <v>Honorar Objektplanung Gebäude  brutto</v>
      </c>
      <c r="F16" s="812" t="s">
        <v>238</v>
      </c>
      <c r="G16" s="813" t="str">
        <f>IF('E Honorarberechnung'!I96&lt;=0," anteiliges Honorar        netto"," anteiliges Honorar        brutto")</f>
        <v xml:space="preserve"> anteiliges Honorar        brutto</v>
      </c>
      <c r="H16" s="813" t="s">
        <v>349</v>
      </c>
      <c r="I16" s="813" t="str">
        <f>IF('E Honorarberechnung'!I96&lt;=0," geprüftes Honorar        netto"," geprüftes Honorar        brutto")</f>
        <v xml:space="preserve"> geprüftes Honorar        brutto</v>
      </c>
      <c r="K16" s="85"/>
    </row>
    <row r="17" spans="1:12" s="1" customFormat="1" ht="12.75" customHeight="1">
      <c r="A17" s="468"/>
      <c r="B17" s="814"/>
      <c r="C17" s="868"/>
      <c r="D17" s="875"/>
      <c r="E17" s="815" t="s">
        <v>90</v>
      </c>
      <c r="F17" s="813"/>
      <c r="G17" s="813" t="s">
        <v>90</v>
      </c>
      <c r="H17" s="813" t="s">
        <v>311</v>
      </c>
      <c r="I17" s="813" t="s">
        <v>90</v>
      </c>
      <c r="K17" s="85"/>
    </row>
    <row r="18" spans="1:12" s="1" customFormat="1" ht="15" customHeight="1">
      <c r="A18" s="468"/>
      <c r="B18" s="838" t="str">
        <f>'F Honorarübersicht'!B17</f>
        <v>Lst 1A</v>
      </c>
      <c r="C18" s="869" t="str">
        <f>'F Honorarübersicht'!C17</f>
        <v>Grundlagenermittlung</v>
      </c>
      <c r="D18" s="872"/>
      <c r="E18" s="839">
        <f>'F Honorarübersicht'!O17</f>
        <v>133404.01079261006</v>
      </c>
      <c r="F18" s="840"/>
      <c r="G18" s="841">
        <f>IF(K18,E18,"")</f>
        <v>133404.01079261006</v>
      </c>
      <c r="H18" s="827"/>
      <c r="I18" s="828" t="str">
        <f>IFERROR(IF(OR(H18="",H18&gt;100%,H18&lt;0),"",G18*H18),"")</f>
        <v/>
      </c>
      <c r="K18" s="85" t="b">
        <v>1</v>
      </c>
    </row>
    <row r="19" spans="1:12" s="1" customFormat="1" ht="15" customHeight="1">
      <c r="A19" s="468"/>
      <c r="B19" s="842" t="str">
        <f>'F Honorarübersicht'!B18</f>
        <v>Lst 1B</v>
      </c>
      <c r="C19" s="870" t="str">
        <f>'F Honorarübersicht'!C18</f>
        <v xml:space="preserve">Vorplanung </v>
      </c>
      <c r="D19" s="873"/>
      <c r="E19" s="843">
        <f>'F Honorarübersicht'!O18</f>
        <v>466914.03777413524</v>
      </c>
      <c r="F19" s="844"/>
      <c r="G19" s="845">
        <f t="shared" ref="G19:G28" si="0">IF(K19,E19,"")</f>
        <v>466914.03777413524</v>
      </c>
      <c r="H19" s="830"/>
      <c r="I19" s="831" t="str">
        <f t="shared" ref="I19:I28" si="1">IFERROR(IF(OR(H19="",H19&gt;100%,H19&lt;0),"",G19*H19),"")</f>
        <v/>
      </c>
      <c r="K19" s="85" t="b">
        <v>1</v>
      </c>
    </row>
    <row r="20" spans="1:12" s="1" customFormat="1" ht="15" customHeight="1">
      <c r="A20" s="468"/>
      <c r="B20" s="842" t="str">
        <f>'F Honorarübersicht'!B19</f>
        <v>Lst 1C</v>
      </c>
      <c r="C20" s="870" t="str">
        <f>'F Honorarübersicht'!C19</f>
        <v xml:space="preserve">Entwurfsplanung </v>
      </c>
      <c r="D20" s="873"/>
      <c r="E20" s="843">
        <f>'F Honorarübersicht'!O19</f>
        <v>1000530.0809445755</v>
      </c>
      <c r="F20" s="844"/>
      <c r="G20" s="845">
        <f t="shared" si="0"/>
        <v>1000530.0809445755</v>
      </c>
      <c r="H20" s="830"/>
      <c r="I20" s="831" t="str">
        <f t="shared" si="1"/>
        <v/>
      </c>
      <c r="K20" s="85" t="b">
        <v>1</v>
      </c>
    </row>
    <row r="21" spans="1:12" s="1" customFormat="1" ht="15" customHeight="1">
      <c r="A21" s="468"/>
      <c r="B21" s="842" t="str">
        <f>'F Honorarübersicht'!B20</f>
        <v>Lst 1D</v>
      </c>
      <c r="C21" s="870" t="str">
        <f>'F Honorarübersicht'!C20</f>
        <v xml:space="preserve">Genehmigungsplanung </v>
      </c>
      <c r="D21" s="873"/>
      <c r="E21" s="843">
        <f>'F Honorarübersicht'!O20</f>
        <v>200106.01618891512</v>
      </c>
      <c r="F21" s="844"/>
      <c r="G21" s="845" t="str">
        <f t="shared" si="0"/>
        <v/>
      </c>
      <c r="H21" s="830"/>
      <c r="I21" s="831" t="str">
        <f t="shared" si="1"/>
        <v/>
      </c>
      <c r="K21" s="85" t="b">
        <v>0</v>
      </c>
    </row>
    <row r="22" spans="1:12" s="1" customFormat="1" ht="15" customHeight="1">
      <c r="A22" s="468"/>
      <c r="B22" s="842" t="str">
        <f>'F Honorarübersicht'!B21</f>
        <v/>
      </c>
      <c r="C22" s="870" t="str">
        <f>'F Honorarübersicht'!C21</f>
        <v/>
      </c>
      <c r="D22" s="873"/>
      <c r="E22" s="843">
        <f>'F Honorarübersicht'!O21</f>
        <v>0</v>
      </c>
      <c r="F22" s="844"/>
      <c r="G22" s="845" t="str">
        <f t="shared" si="0"/>
        <v/>
      </c>
      <c r="H22" s="830"/>
      <c r="I22" s="831" t="str">
        <f t="shared" si="1"/>
        <v/>
      </c>
      <c r="K22" s="85" t="b">
        <v>0</v>
      </c>
    </row>
    <row r="23" spans="1:12" s="1" customFormat="1" ht="15" customHeight="1">
      <c r="A23" s="468"/>
      <c r="B23" s="842" t="str">
        <f>'F Honorarübersicht'!B22</f>
        <v>Lst 2</v>
      </c>
      <c r="C23" s="870" t="str">
        <f>'F Honorarübersicht'!C22</f>
        <v xml:space="preserve">Ausführungsplanung </v>
      </c>
      <c r="D23" s="873"/>
      <c r="E23" s="843">
        <f>'F Honorarübersicht'!O22</f>
        <v>1667550.1349076258</v>
      </c>
      <c r="F23" s="844"/>
      <c r="G23" s="845" t="str">
        <f t="shared" si="0"/>
        <v/>
      </c>
      <c r="H23" s="830"/>
      <c r="I23" s="831" t="str">
        <f t="shared" si="1"/>
        <v/>
      </c>
      <c r="K23" s="85" t="b">
        <v>0</v>
      </c>
    </row>
    <row r="24" spans="1:12" s="1" customFormat="1" ht="15" customHeight="1">
      <c r="A24" s="468"/>
      <c r="B24" s="842" t="str">
        <f>'F Honorarübersicht'!B23</f>
        <v>Lst 3A</v>
      </c>
      <c r="C24" s="870" t="str">
        <f>'F Honorarübersicht'!C23</f>
        <v>Vorbereitung der Vergabe</v>
      </c>
      <c r="D24" s="873"/>
      <c r="E24" s="843">
        <f>'F Honorarübersicht'!O23</f>
        <v>0</v>
      </c>
      <c r="F24" s="844"/>
      <c r="G24" s="845" t="str">
        <f t="shared" si="0"/>
        <v/>
      </c>
      <c r="H24" s="830"/>
      <c r="I24" s="831" t="str">
        <f t="shared" si="1"/>
        <v/>
      </c>
      <c r="K24" s="85" t="b">
        <v>0</v>
      </c>
    </row>
    <row r="25" spans="1:12" s="1" customFormat="1" ht="15" customHeight="1">
      <c r="A25" s="468"/>
      <c r="B25" s="842" t="str">
        <f>'F Honorarübersicht'!B24</f>
        <v>Lst 3B</v>
      </c>
      <c r="C25" s="870" t="str">
        <f>'F Honorarübersicht'!C24</f>
        <v>Mitwirkung bei der Vergabe</v>
      </c>
      <c r="D25" s="873"/>
      <c r="E25" s="843">
        <f>'F Honorarübersicht'!O24</f>
        <v>0</v>
      </c>
      <c r="F25" s="844"/>
      <c r="G25" s="845" t="str">
        <f t="shared" si="0"/>
        <v/>
      </c>
      <c r="H25" s="830"/>
      <c r="I25" s="831" t="str">
        <f t="shared" si="1"/>
        <v/>
      </c>
      <c r="K25" s="85" t="b">
        <v>0</v>
      </c>
    </row>
    <row r="26" spans="1:12" s="1" customFormat="1" ht="15" customHeight="1">
      <c r="A26" s="468"/>
      <c r="B26" s="842" t="str">
        <f>'F Honorarübersicht'!B25</f>
        <v/>
      </c>
      <c r="C26" s="870" t="str">
        <f>'F Honorarübersicht'!C25</f>
        <v/>
      </c>
      <c r="D26" s="873"/>
      <c r="E26" s="843">
        <f>'F Honorarübersicht'!O25</f>
        <v>0</v>
      </c>
      <c r="F26" s="844"/>
      <c r="G26" s="845" t="str">
        <f t="shared" si="0"/>
        <v/>
      </c>
      <c r="H26" s="830"/>
      <c r="I26" s="831" t="str">
        <f t="shared" si="1"/>
        <v/>
      </c>
      <c r="K26" s="85" t="b">
        <v>0</v>
      </c>
    </row>
    <row r="27" spans="1:12" s="1" customFormat="1" ht="15" customHeight="1">
      <c r="A27" s="468"/>
      <c r="B27" s="842" t="str">
        <f>'F Honorarübersicht'!B26</f>
        <v>Lst 4</v>
      </c>
      <c r="C27" s="870" t="str">
        <f>'F Honorarübersicht'!C26</f>
        <v>Objektüberwachung u. Dokum.</v>
      </c>
      <c r="D27" s="873"/>
      <c r="E27" s="843">
        <f>'F Honorarübersicht'!O26</f>
        <v>0</v>
      </c>
      <c r="F27" s="844"/>
      <c r="G27" s="845" t="str">
        <f t="shared" si="0"/>
        <v/>
      </c>
      <c r="H27" s="830"/>
      <c r="I27" s="831" t="str">
        <f t="shared" si="1"/>
        <v/>
      </c>
      <c r="K27" s="85" t="b">
        <v>0</v>
      </c>
      <c r="L27" s="194" t="s">
        <v>130</v>
      </c>
    </row>
    <row r="28" spans="1:12" s="1" customFormat="1" ht="15" customHeight="1">
      <c r="A28" s="468"/>
      <c r="B28" s="846" t="str">
        <f>'F Honorarübersicht'!B27</f>
        <v>Lst 5</v>
      </c>
      <c r="C28" s="871" t="str">
        <f>'F Honorarübersicht'!C27</f>
        <v>Objektbetreuung</v>
      </c>
      <c r="D28" s="874"/>
      <c r="E28" s="847">
        <f>'F Honorarübersicht'!O27</f>
        <v>0</v>
      </c>
      <c r="F28" s="848"/>
      <c r="G28" s="849" t="str">
        <f t="shared" si="0"/>
        <v/>
      </c>
      <c r="H28" s="833"/>
      <c r="I28" s="834" t="str">
        <f t="shared" si="1"/>
        <v/>
      </c>
      <c r="K28" s="85" t="b">
        <v>0</v>
      </c>
    </row>
    <row r="29" spans="1:12" ht="17.399999999999999" thickBot="1"/>
    <row r="30" spans="1:12" s="1" customFormat="1" ht="24.6" customHeight="1" thickBot="1">
      <c r="A30" s="468"/>
      <c r="B30" s="818" t="s">
        <v>360</v>
      </c>
      <c r="C30" s="819"/>
      <c r="D30" s="820"/>
      <c r="E30" s="821">
        <f>SUM(E18:E28)</f>
        <v>3468504.2806078619</v>
      </c>
      <c r="F30" s="909"/>
      <c r="G30" s="910">
        <f>SUM(G18:G28)</f>
        <v>1600848.129511321</v>
      </c>
      <c r="H30" s="911"/>
      <c r="I30" s="912">
        <f>SUM(I18:I28)</f>
        <v>0</v>
      </c>
      <c r="K30" s="85"/>
    </row>
    <row r="31" spans="1:12"/>
    <row r="32" spans="1:12">
      <c r="B32" s="1823" t="s">
        <v>407</v>
      </c>
      <c r="C32" s="1824"/>
      <c r="D32" s="1804"/>
      <c r="E32" s="1804"/>
      <c r="F32" s="808"/>
      <c r="G32" s="808"/>
      <c r="H32" s="808"/>
      <c r="I32" s="809"/>
    </row>
    <row r="33" spans="1:11" s="1" customFormat="1" ht="12.75" customHeight="1">
      <c r="A33" s="468"/>
      <c r="B33" s="814" t="s">
        <v>416</v>
      </c>
      <c r="C33" s="816" t="s">
        <v>264</v>
      </c>
      <c r="D33" s="817"/>
      <c r="E33" s="817"/>
      <c r="F33" s="815"/>
      <c r="G33" s="813" t="s">
        <v>90</v>
      </c>
      <c r="H33" s="813" t="s">
        <v>311</v>
      </c>
      <c r="I33" s="813" t="s">
        <v>90</v>
      </c>
      <c r="K33" s="85"/>
    </row>
    <row r="34" spans="1:11">
      <c r="B34" s="835" t="s">
        <v>409</v>
      </c>
      <c r="C34" s="1822"/>
      <c r="D34" s="1822"/>
      <c r="E34" s="1822"/>
      <c r="F34" s="1822"/>
      <c r="G34" s="826"/>
      <c r="H34" s="827"/>
      <c r="I34" s="828">
        <f t="shared" ref="I34:I39" si="2">IFERROR(G34*H34,"")</f>
        <v>0</v>
      </c>
    </row>
    <row r="35" spans="1:11">
      <c r="B35" s="836" t="s">
        <v>410</v>
      </c>
      <c r="C35" s="1809"/>
      <c r="D35" s="1809"/>
      <c r="E35" s="1809"/>
      <c r="F35" s="1809"/>
      <c r="G35" s="829"/>
      <c r="H35" s="830"/>
      <c r="I35" s="831">
        <f t="shared" si="2"/>
        <v>0</v>
      </c>
    </row>
    <row r="36" spans="1:11">
      <c r="B36" s="836" t="s">
        <v>411</v>
      </c>
      <c r="C36" s="1809"/>
      <c r="D36" s="1809"/>
      <c r="E36" s="1809"/>
      <c r="F36" s="1809"/>
      <c r="G36" s="829"/>
      <c r="H36" s="830"/>
      <c r="I36" s="831">
        <f t="shared" si="2"/>
        <v>0</v>
      </c>
    </row>
    <row r="37" spans="1:11">
      <c r="B37" s="836" t="s">
        <v>412</v>
      </c>
      <c r="C37" s="1809"/>
      <c r="D37" s="1809"/>
      <c r="E37" s="1809"/>
      <c r="F37" s="1809"/>
      <c r="G37" s="829"/>
      <c r="H37" s="830"/>
      <c r="I37" s="831">
        <f t="shared" si="2"/>
        <v>0</v>
      </c>
    </row>
    <row r="38" spans="1:11">
      <c r="B38" s="836" t="s">
        <v>413</v>
      </c>
      <c r="C38" s="1809"/>
      <c r="D38" s="1809"/>
      <c r="E38" s="1809"/>
      <c r="F38" s="1809"/>
      <c r="G38" s="829"/>
      <c r="H38" s="830"/>
      <c r="I38" s="831">
        <f t="shared" si="2"/>
        <v>0</v>
      </c>
    </row>
    <row r="39" spans="1:11">
      <c r="B39" s="837" t="s">
        <v>414</v>
      </c>
      <c r="C39" s="1821"/>
      <c r="D39" s="1821"/>
      <c r="E39" s="1821"/>
      <c r="F39" s="1821"/>
      <c r="G39" s="832"/>
      <c r="H39" s="833"/>
      <c r="I39" s="834">
        <f t="shared" si="2"/>
        <v>0</v>
      </c>
    </row>
    <row r="40" spans="1:11" ht="17.399999999999999" thickBot="1"/>
    <row r="41" spans="1:11" s="1" customFormat="1" ht="24" customHeight="1" thickBot="1">
      <c r="A41" s="468"/>
      <c r="B41" s="818" t="s">
        <v>408</v>
      </c>
      <c r="C41" s="1101"/>
      <c r="D41" s="823"/>
      <c r="E41" s="824"/>
      <c r="F41" s="825">
        <f>SUM(F28:F39)</f>
        <v>0</v>
      </c>
      <c r="G41" s="821">
        <f>SUM(G34:G39)+G30</f>
        <v>1600848.129511321</v>
      </c>
      <c r="H41" s="913"/>
      <c r="I41" s="912">
        <f>SUM(I34:I39)+I30</f>
        <v>0</v>
      </c>
      <c r="K41" s="85"/>
    </row>
    <row r="42" spans="1:11">
      <c r="B42" s="318"/>
      <c r="C42" s="318"/>
      <c r="D42" s="318"/>
      <c r="E42" s="318"/>
      <c r="F42" s="318"/>
      <c r="G42" s="318"/>
      <c r="H42" s="318"/>
      <c r="I42" s="318"/>
    </row>
    <row r="43" spans="1:11">
      <c r="B43" s="1102" t="s">
        <v>265</v>
      </c>
      <c r="C43" s="808"/>
      <c r="D43" s="808"/>
      <c r="E43" s="808"/>
      <c r="F43" s="808"/>
      <c r="G43" s="808"/>
      <c r="H43" s="808"/>
      <c r="I43" s="809"/>
    </row>
    <row r="44" spans="1:11">
      <c r="B44" s="1103" t="s">
        <v>266</v>
      </c>
      <c r="C44" s="1104"/>
      <c r="D44" s="1816"/>
      <c r="E44" s="1817"/>
      <c r="F44" s="1817"/>
      <c r="G44" s="1817"/>
      <c r="H44" s="1818"/>
      <c r="I44" s="456">
        <f>I41</f>
        <v>0</v>
      </c>
    </row>
    <row r="45" spans="1:11">
      <c r="B45" s="457" t="str">
        <f>IF(Projektgrundlagen!I24,"","Einbehalt:")</f>
        <v>Einbehalt:</v>
      </c>
      <c r="C45" s="458"/>
      <c r="D45" s="1809" t="s">
        <v>268</v>
      </c>
      <c r="E45" s="1809"/>
      <c r="F45" s="1809"/>
      <c r="G45" s="1809"/>
      <c r="H45" s="459">
        <v>0.05</v>
      </c>
      <c r="I45" s="789">
        <f>IF(Projektgrundlagen!I24,"",I44*-1*H45)</f>
        <v>0</v>
      </c>
    </row>
    <row r="46" spans="1:11">
      <c r="B46" s="1105" t="s">
        <v>267</v>
      </c>
      <c r="C46" s="1106"/>
      <c r="D46" s="1813" t="s">
        <v>837</v>
      </c>
      <c r="E46" s="1814"/>
      <c r="F46" s="1814"/>
      <c r="G46" s="1814"/>
      <c r="H46" s="1815"/>
      <c r="I46" s="923"/>
    </row>
    <row r="47" spans="1:11" ht="17.399999999999999" thickBot="1"/>
    <row r="48" spans="1:11" ht="26.4" customHeight="1" thickBot="1">
      <c r="B48" s="1107" t="s">
        <v>361</v>
      </c>
      <c r="C48" s="1108"/>
      <c r="D48" s="1810"/>
      <c r="E48" s="1811"/>
      <c r="F48" s="1811"/>
      <c r="G48" s="1812"/>
      <c r="H48" s="914"/>
      <c r="I48" s="666">
        <f>IF(Projektgrundlagen!I24,I44-I46,SUM(I44:I45)-I46)</f>
        <v>0</v>
      </c>
    </row>
    <row r="49"/>
    <row r="50"/>
    <row r="51"/>
  </sheetData>
  <sheetProtection sheet="1" formatRows="0"/>
  <mergeCells count="32">
    <mergeCell ref="J2:J8"/>
    <mergeCell ref="D45:G45"/>
    <mergeCell ref="D48:G48"/>
    <mergeCell ref="D46:H46"/>
    <mergeCell ref="D44:H44"/>
    <mergeCell ref="H15:I15"/>
    <mergeCell ref="C35:F35"/>
    <mergeCell ref="C36:F36"/>
    <mergeCell ref="C37:F37"/>
    <mergeCell ref="C38:F38"/>
    <mergeCell ref="C39:F39"/>
    <mergeCell ref="F15:G15"/>
    <mergeCell ref="C34:F34"/>
    <mergeCell ref="B12:C12"/>
    <mergeCell ref="B32:C32"/>
    <mergeCell ref="H14:I14"/>
    <mergeCell ref="H2:I2"/>
    <mergeCell ref="H3:I3"/>
    <mergeCell ref="B8:C8"/>
    <mergeCell ref="D8:I8"/>
    <mergeCell ref="B5:C5"/>
    <mergeCell ref="D5:F5"/>
    <mergeCell ref="H5:I5"/>
    <mergeCell ref="B2:F2"/>
    <mergeCell ref="B3:F3"/>
    <mergeCell ref="D32:E32"/>
    <mergeCell ref="D12:E12"/>
    <mergeCell ref="B6:C6"/>
    <mergeCell ref="D6:I6"/>
    <mergeCell ref="B7:C7"/>
    <mergeCell ref="D7:I7"/>
    <mergeCell ref="B15:D15"/>
  </mergeCells>
  <conditionalFormatting sqref="H18:H28">
    <cfRule type="expression" dxfId="46" priority="4">
      <formula>OR(H18&gt;100%,H18&lt;0)</formula>
    </cfRule>
  </conditionalFormatting>
  <pageMargins left="0.39370078740157483" right="0.19685039370078741" top="0.39370078740157483" bottom="0.47244094488188981" header="0.31496062992125984" footer="0.31496062992125984"/>
  <pageSetup paperSize="9" scale="89" fitToHeight="0" orientation="portrait" r:id="rId1"/>
  <headerFooter scaleWithDoc="0">
    <oddFooter>&amp;L&amp;8©  VHF Bayern - Stand August 2022&amp;R&amp;P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ltText="3 Fahrstreifen">
                <anchor moveWithCells="1">
                  <from>
                    <xdr:col>5</xdr:col>
                    <xdr:colOff>99060</xdr:colOff>
                    <xdr:row>17</xdr:row>
                    <xdr:rowOff>0</xdr:rowOff>
                  </from>
                  <to>
                    <xdr:col>5</xdr:col>
                    <xdr:colOff>312420</xdr:colOff>
                    <xdr:row>18</xdr:row>
                    <xdr:rowOff>0</xdr:rowOff>
                  </to>
                </anchor>
              </controlPr>
            </control>
          </mc:Choice>
        </mc:AlternateContent>
        <mc:AlternateContent xmlns:mc="http://schemas.openxmlformats.org/markup-compatibility/2006">
          <mc:Choice Requires="x14">
            <control shapeId="66562" r:id="rId5" name="Check Box 2">
              <controlPr defaultSize="0" autoFill="0" autoLine="0" autoPict="0" altText="3 Fahrstreifen">
                <anchor moveWithCells="1">
                  <from>
                    <xdr:col>5</xdr:col>
                    <xdr:colOff>99060</xdr:colOff>
                    <xdr:row>18</xdr:row>
                    <xdr:rowOff>0</xdr:rowOff>
                  </from>
                  <to>
                    <xdr:col>5</xdr:col>
                    <xdr:colOff>312420</xdr:colOff>
                    <xdr:row>19</xdr:row>
                    <xdr:rowOff>0</xdr:rowOff>
                  </to>
                </anchor>
              </controlPr>
            </control>
          </mc:Choice>
        </mc:AlternateContent>
        <mc:AlternateContent xmlns:mc="http://schemas.openxmlformats.org/markup-compatibility/2006">
          <mc:Choice Requires="x14">
            <control shapeId="66563" r:id="rId6" name="Check Box 3">
              <controlPr defaultSize="0" autoFill="0" autoLine="0" autoPict="0" altText="3 Fahrstreifen">
                <anchor moveWithCells="1">
                  <from>
                    <xdr:col>5</xdr:col>
                    <xdr:colOff>99060</xdr:colOff>
                    <xdr:row>19</xdr:row>
                    <xdr:rowOff>0</xdr:rowOff>
                  </from>
                  <to>
                    <xdr:col>5</xdr:col>
                    <xdr:colOff>312420</xdr:colOff>
                    <xdr:row>20</xdr:row>
                    <xdr:rowOff>0</xdr:rowOff>
                  </to>
                </anchor>
              </controlPr>
            </control>
          </mc:Choice>
        </mc:AlternateContent>
        <mc:AlternateContent xmlns:mc="http://schemas.openxmlformats.org/markup-compatibility/2006">
          <mc:Choice Requires="x14">
            <control shapeId="66564" r:id="rId7" name="Check Box 4">
              <controlPr defaultSize="0" autoFill="0" autoLine="0" autoPict="0" altText="3 Fahrstreifen">
                <anchor moveWithCells="1">
                  <from>
                    <xdr:col>5</xdr:col>
                    <xdr:colOff>99060</xdr:colOff>
                    <xdr:row>20</xdr:row>
                    <xdr:rowOff>0</xdr:rowOff>
                  </from>
                  <to>
                    <xdr:col>5</xdr:col>
                    <xdr:colOff>312420</xdr:colOff>
                    <xdr:row>21</xdr:row>
                    <xdr:rowOff>0</xdr:rowOff>
                  </to>
                </anchor>
              </controlPr>
            </control>
          </mc:Choice>
        </mc:AlternateContent>
        <mc:AlternateContent xmlns:mc="http://schemas.openxmlformats.org/markup-compatibility/2006">
          <mc:Choice Requires="x14">
            <control shapeId="66565" r:id="rId8" name="Check Box 5">
              <controlPr defaultSize="0" autoFill="0" autoLine="0" autoPict="0" altText="3 Fahrstreifen">
                <anchor moveWithCells="1">
                  <from>
                    <xdr:col>5</xdr:col>
                    <xdr:colOff>99060</xdr:colOff>
                    <xdr:row>21</xdr:row>
                    <xdr:rowOff>0</xdr:rowOff>
                  </from>
                  <to>
                    <xdr:col>5</xdr:col>
                    <xdr:colOff>312420</xdr:colOff>
                    <xdr:row>22</xdr:row>
                    <xdr:rowOff>0</xdr:rowOff>
                  </to>
                </anchor>
              </controlPr>
            </control>
          </mc:Choice>
        </mc:AlternateContent>
        <mc:AlternateContent xmlns:mc="http://schemas.openxmlformats.org/markup-compatibility/2006">
          <mc:Choice Requires="x14">
            <control shapeId="66566" r:id="rId9" name="Check Box 6">
              <controlPr defaultSize="0" autoFill="0" autoLine="0" autoPict="0" altText="3 Fahrstreifen">
                <anchor moveWithCells="1">
                  <from>
                    <xdr:col>5</xdr:col>
                    <xdr:colOff>99060</xdr:colOff>
                    <xdr:row>22</xdr:row>
                    <xdr:rowOff>0</xdr:rowOff>
                  </from>
                  <to>
                    <xdr:col>5</xdr:col>
                    <xdr:colOff>312420</xdr:colOff>
                    <xdr:row>23</xdr:row>
                    <xdr:rowOff>0</xdr:rowOff>
                  </to>
                </anchor>
              </controlPr>
            </control>
          </mc:Choice>
        </mc:AlternateContent>
        <mc:AlternateContent xmlns:mc="http://schemas.openxmlformats.org/markup-compatibility/2006">
          <mc:Choice Requires="x14">
            <control shapeId="66567" r:id="rId10" name="Check Box 7">
              <controlPr defaultSize="0" autoFill="0" autoLine="0" autoPict="0" altText="3 Fahrstreifen">
                <anchor moveWithCells="1">
                  <from>
                    <xdr:col>5</xdr:col>
                    <xdr:colOff>99060</xdr:colOff>
                    <xdr:row>23</xdr:row>
                    <xdr:rowOff>0</xdr:rowOff>
                  </from>
                  <to>
                    <xdr:col>5</xdr:col>
                    <xdr:colOff>312420</xdr:colOff>
                    <xdr:row>24</xdr:row>
                    <xdr:rowOff>0</xdr:rowOff>
                  </to>
                </anchor>
              </controlPr>
            </control>
          </mc:Choice>
        </mc:AlternateContent>
        <mc:AlternateContent xmlns:mc="http://schemas.openxmlformats.org/markup-compatibility/2006">
          <mc:Choice Requires="x14">
            <control shapeId="66568" r:id="rId11" name="Check Box 8">
              <controlPr defaultSize="0" autoFill="0" autoLine="0" autoPict="0" altText="3 Fahrstreifen">
                <anchor moveWithCells="1">
                  <from>
                    <xdr:col>5</xdr:col>
                    <xdr:colOff>99060</xdr:colOff>
                    <xdr:row>24</xdr:row>
                    <xdr:rowOff>0</xdr:rowOff>
                  </from>
                  <to>
                    <xdr:col>5</xdr:col>
                    <xdr:colOff>312420</xdr:colOff>
                    <xdr:row>25</xdr:row>
                    <xdr:rowOff>0</xdr:rowOff>
                  </to>
                </anchor>
              </controlPr>
            </control>
          </mc:Choice>
        </mc:AlternateContent>
        <mc:AlternateContent xmlns:mc="http://schemas.openxmlformats.org/markup-compatibility/2006">
          <mc:Choice Requires="x14">
            <control shapeId="66569" r:id="rId12" name="Check Box 9">
              <controlPr defaultSize="0" autoFill="0" autoLine="0" autoPict="0" altText="3 Fahrstreifen">
                <anchor moveWithCells="1">
                  <from>
                    <xdr:col>5</xdr:col>
                    <xdr:colOff>99060</xdr:colOff>
                    <xdr:row>25</xdr:row>
                    <xdr:rowOff>0</xdr:rowOff>
                  </from>
                  <to>
                    <xdr:col>5</xdr:col>
                    <xdr:colOff>312420</xdr:colOff>
                    <xdr:row>26</xdr:row>
                    <xdr:rowOff>0</xdr:rowOff>
                  </to>
                </anchor>
              </controlPr>
            </control>
          </mc:Choice>
        </mc:AlternateContent>
        <mc:AlternateContent xmlns:mc="http://schemas.openxmlformats.org/markup-compatibility/2006">
          <mc:Choice Requires="x14">
            <control shapeId="66570" r:id="rId13" name="Check Box 10">
              <controlPr defaultSize="0" autoFill="0" autoLine="0" autoPict="0" altText="3 Fahrstreifen">
                <anchor moveWithCells="1">
                  <from>
                    <xdr:col>5</xdr:col>
                    <xdr:colOff>99060</xdr:colOff>
                    <xdr:row>26</xdr:row>
                    <xdr:rowOff>0</xdr:rowOff>
                  </from>
                  <to>
                    <xdr:col>5</xdr:col>
                    <xdr:colOff>312420</xdr:colOff>
                    <xdr:row>27</xdr:row>
                    <xdr:rowOff>0</xdr:rowOff>
                  </to>
                </anchor>
              </controlPr>
            </control>
          </mc:Choice>
        </mc:AlternateContent>
        <mc:AlternateContent xmlns:mc="http://schemas.openxmlformats.org/markup-compatibility/2006">
          <mc:Choice Requires="x14">
            <control shapeId="66571" r:id="rId14" name="Check Box 11">
              <controlPr defaultSize="0" autoFill="0" autoLine="0" autoPict="0" altText="3 Fahrstreifen">
                <anchor moveWithCells="1">
                  <from>
                    <xdr:col>5</xdr:col>
                    <xdr:colOff>99060</xdr:colOff>
                    <xdr:row>27</xdr:row>
                    <xdr:rowOff>0</xdr:rowOff>
                  </from>
                  <to>
                    <xdr:col>5</xdr:col>
                    <xdr:colOff>312420</xdr:colOff>
                    <xdr:row>28</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0450562C-20B8-4BFE-B9FC-EC0970179BBD}">
            <xm:f>Projektgrundlagen!I24</xm:f>
            <x14:dxf>
              <font>
                <strike/>
                <color rgb="FFC00000"/>
              </font>
              <fill>
                <patternFill>
                  <bgColor theme="0"/>
                </patternFill>
              </fill>
            </x14:dxf>
          </x14:cfRule>
          <xm:sqref>D45:G45</xm:sqref>
        </x14:conditionalFormatting>
        <x14:conditionalFormatting xmlns:xm="http://schemas.microsoft.com/office/excel/2006/main">
          <x14:cfRule type="expression" priority="2" id="{88FE88C3-3101-40C9-A1D6-449DEE7A87B4}">
            <xm:f>Projektgrundlagen!I24</xm:f>
            <x14:dxf>
              <font>
                <strike/>
                <color rgb="FFC00000"/>
              </font>
              <fill>
                <patternFill>
                  <bgColor theme="0"/>
                </patternFill>
              </fill>
            </x14:dxf>
          </x14:cfRule>
          <xm:sqref>H45</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6">
    <tabColor theme="0" tint="-4.9989318521683403E-2"/>
    <pageSetUpPr fitToPage="1"/>
  </sheetPr>
  <dimension ref="A1:L37"/>
  <sheetViews>
    <sheetView showGridLines="0" topLeftCell="B1" zoomScaleNormal="100" zoomScaleSheetLayoutView="100" workbookViewId="0">
      <selection activeCell="J21" sqref="J21"/>
    </sheetView>
  </sheetViews>
  <sheetFormatPr baseColWidth="10" defaultColWidth="0" defaultRowHeight="13.2" zeroHeight="1"/>
  <cols>
    <col min="1" max="1" width="5.6640625" style="1" customWidth="1"/>
    <col min="2" max="3" width="15.33203125" style="1" customWidth="1"/>
    <col min="4" max="8" width="15.109375" style="1" customWidth="1"/>
    <col min="9" max="9" width="2.6640625" style="1" customWidth="1"/>
    <col min="10" max="16384" width="11.44140625" style="1" hidden="1"/>
  </cols>
  <sheetData>
    <row r="1" spans="2:12" ht="18.75" customHeight="1"/>
    <row r="2" spans="2:12" s="111" customFormat="1" ht="25.5" customHeight="1">
      <c r="B2" s="1830" t="s">
        <v>285</v>
      </c>
      <c r="C2" s="1831"/>
      <c r="D2" s="1831"/>
      <c r="E2" s="1831"/>
      <c r="F2" s="1831"/>
      <c r="G2" s="1831"/>
      <c r="H2" s="1832"/>
      <c r="I2" s="1"/>
      <c r="J2" s="1"/>
      <c r="K2" s="1"/>
      <c r="L2" s="207" t="s">
        <v>169</v>
      </c>
    </row>
    <row r="3" spans="2:12" ht="12.75" customHeight="1">
      <c r="L3" s="1" t="str">
        <f ca="1">MID(CELL("dateiname",B4),FIND("]",CELL("dateiname",B4))+1,255)</f>
        <v>H §35 HOAI</v>
      </c>
    </row>
    <row r="4" spans="2:12" ht="15" customHeight="1">
      <c r="B4" s="28" t="s">
        <v>418</v>
      </c>
      <c r="C4" s="29"/>
      <c r="D4" s="29"/>
      <c r="E4" s="369" t="s">
        <v>499</v>
      </c>
      <c r="F4" s="29"/>
      <c r="G4" s="29"/>
      <c r="H4" s="30"/>
      <c r="I4" s="111"/>
      <c r="J4" s="111"/>
      <c r="K4" s="111"/>
    </row>
    <row r="5" spans="2:12" ht="15" customHeight="1"/>
    <row r="6" spans="2:12" ht="12.75" customHeight="1">
      <c r="B6" s="6" t="s">
        <v>89</v>
      </c>
      <c r="C6" s="7"/>
      <c r="D6" s="7"/>
      <c r="E6" s="27">
        <f>'A anrechb Kosten'!G37</f>
        <v>63715924.375</v>
      </c>
      <c r="F6" s="7" t="s">
        <v>61</v>
      </c>
      <c r="G6" s="7"/>
      <c r="H6" s="25"/>
    </row>
    <row r="7" spans="2:12">
      <c r="B7" s="112" t="s">
        <v>12</v>
      </c>
      <c r="C7" s="8"/>
      <c r="D7" s="8"/>
      <c r="E7" s="64">
        <f>IF(AND('B HZone'!K12,'B HZone'!K15),0,IF(AND(NOT('B HZone'!K12),NOT('B HZone'!K15)),0,IF(AND('B HZone'!K12,'B HZone'!I13&gt;=1,'B HZone'!I13&lt;=5),'B HZone'!I13,IF(AND('B HZone'!K15,'B HZone'!I36&gt;=1,'B HZone'!I36&lt;=5),'B HZone'!I36,0))))</f>
        <v>4</v>
      </c>
      <c r="F7" s="45"/>
      <c r="G7" s="8"/>
      <c r="H7" s="26"/>
    </row>
    <row r="8" spans="2:12" ht="15" customHeight="1"/>
    <row r="9" spans="2:12" ht="27" thickBot="1">
      <c r="C9" s="135" t="s">
        <v>106</v>
      </c>
      <c r="D9" s="135" t="s">
        <v>107</v>
      </c>
      <c r="E9" s="136" t="s">
        <v>108</v>
      </c>
      <c r="F9" s="61" t="s">
        <v>109</v>
      </c>
    </row>
    <row r="10" spans="2:12" ht="12.75" customHeight="1" thickBot="1">
      <c r="B10" s="113" t="s">
        <v>323</v>
      </c>
      <c r="C10" s="114">
        <f>IF(OR(E7&lt;1,E7&gt;5),0,IF(OR(E6&lt;B16,E6&gt;B35),0,VLOOKUP(E6,B16:B35,1)))</f>
        <v>0</v>
      </c>
      <c r="D10" s="115">
        <f>IF(OR(E7&lt;1,E7&gt;5),0,IF(OR(E6&lt;B16,E6&gt;B35),0,VLOOKUP(C10,B16:H35,(E7+1))))</f>
        <v>0</v>
      </c>
      <c r="E10" s="116">
        <f>IF(OR(E7&lt;1,E7&gt;5),0,IF(OR(E6&lt;B16,E6&gt;B35),0,VLOOKUP(C10,B16:H35,(E7+2))))</f>
        <v>0</v>
      </c>
      <c r="F10" s="71">
        <f>IF(OR(E7&lt;1,E7&gt;5),0,IF(OR(E6&lt;B16,E6&gt;B35),0,IF(E6=B35,D10,D10+((E6-C10)*(D11-D10))/(C11-C10))))</f>
        <v>0</v>
      </c>
    </row>
    <row r="11" spans="2:12" ht="12.75" customHeight="1">
      <c r="B11" s="112" t="s">
        <v>13</v>
      </c>
      <c r="C11" s="117">
        <f>IF(OR(E7&lt;1,E7&gt;5),0,IF(OR(E6&lt;B16,E6&gt;=B35),0,INDEX($B$16:$B$35,(MATCH(C10,$B$16:$B$35)+1),1)))</f>
        <v>0</v>
      </c>
      <c r="D11" s="118">
        <f>IF(OR(E7&lt;1,E7&gt;5),0,IF(OR(E6&lt;B16,E6&gt;=B35),0,VLOOKUP(C11,B16:H35,(E7+1))))</f>
        <v>0</v>
      </c>
      <c r="E11" s="119">
        <f>IF(OR(E7&lt;1,E7&gt;5),0,IF(OR(E6&lt;B16,E6&gt;=B35),0,VLOOKUP(C11,B16:H35,(E7+2))))</f>
        <v>0</v>
      </c>
      <c r="F11" s="120">
        <f>IF(OR(E7&lt;1,E7&gt;5),0,IF(OR(E6&lt;B16,E6&gt;B35),0,IF(E6=B35,E10,E10+((E6-C10)*(E11-E10))/(C11-C10))))</f>
        <v>0</v>
      </c>
    </row>
    <row r="12" spans="2:12" ht="15" customHeight="1"/>
    <row r="13" spans="2:12" ht="23.25" customHeight="1"/>
    <row r="14" spans="2:12">
      <c r="B14" s="1827" t="s">
        <v>500</v>
      </c>
      <c r="C14" s="1828"/>
      <c r="D14" s="1828"/>
      <c r="E14" s="1828"/>
      <c r="F14" s="1828"/>
      <c r="G14" s="1828"/>
      <c r="H14" s="1829"/>
    </row>
    <row r="15" spans="2:12" ht="39.6">
      <c r="B15" s="121" t="s">
        <v>77</v>
      </c>
      <c r="C15" s="137" t="s">
        <v>110</v>
      </c>
      <c r="D15" s="137" t="s">
        <v>111</v>
      </c>
      <c r="E15" s="137" t="s">
        <v>112</v>
      </c>
      <c r="F15" s="137" t="s">
        <v>113</v>
      </c>
      <c r="G15" s="137" t="s">
        <v>114</v>
      </c>
      <c r="H15" s="137" t="s">
        <v>115</v>
      </c>
    </row>
    <row r="16" spans="2:12">
      <c r="B16" s="122">
        <v>25000</v>
      </c>
      <c r="C16" s="122">
        <v>3120</v>
      </c>
      <c r="D16" s="122">
        <v>3657</v>
      </c>
      <c r="E16" s="122">
        <v>4339</v>
      </c>
      <c r="F16" s="122">
        <v>5412</v>
      </c>
      <c r="G16" s="122">
        <v>6094</v>
      </c>
      <c r="H16" s="122">
        <v>6631</v>
      </c>
    </row>
    <row r="17" spans="2:8">
      <c r="B17" s="122">
        <v>35000</v>
      </c>
      <c r="C17" s="122">
        <v>4217</v>
      </c>
      <c r="D17" s="122">
        <v>4942</v>
      </c>
      <c r="E17" s="122">
        <v>5865</v>
      </c>
      <c r="F17" s="122">
        <v>7315</v>
      </c>
      <c r="G17" s="122">
        <v>8237</v>
      </c>
      <c r="H17" s="122">
        <v>8962</v>
      </c>
    </row>
    <row r="18" spans="2:8">
      <c r="B18" s="122">
        <v>50000</v>
      </c>
      <c r="C18" s="122">
        <v>5804</v>
      </c>
      <c r="D18" s="122">
        <v>6801</v>
      </c>
      <c r="E18" s="122">
        <v>8071</v>
      </c>
      <c r="F18" s="122">
        <v>10066</v>
      </c>
      <c r="G18" s="122">
        <v>11336</v>
      </c>
      <c r="H18" s="122">
        <v>12333</v>
      </c>
    </row>
    <row r="19" spans="2:8">
      <c r="B19" s="122">
        <v>75000</v>
      </c>
      <c r="C19" s="122">
        <v>8342</v>
      </c>
      <c r="D19" s="122">
        <v>9776</v>
      </c>
      <c r="E19" s="122">
        <v>11601</v>
      </c>
      <c r="F19" s="122">
        <v>14469</v>
      </c>
      <c r="G19" s="122">
        <v>16293</v>
      </c>
      <c r="H19" s="122">
        <v>17727</v>
      </c>
    </row>
    <row r="20" spans="2:8" ht="13.8" thickBot="1">
      <c r="B20" s="123">
        <v>100000</v>
      </c>
      <c r="C20" s="123">
        <v>10790</v>
      </c>
      <c r="D20" s="123">
        <v>12644</v>
      </c>
      <c r="E20" s="123">
        <v>15005</v>
      </c>
      <c r="F20" s="123">
        <v>18713</v>
      </c>
      <c r="G20" s="123">
        <v>21074</v>
      </c>
      <c r="H20" s="123">
        <v>22928</v>
      </c>
    </row>
    <row r="21" spans="2:8">
      <c r="B21" s="124">
        <v>150000</v>
      </c>
      <c r="C21" s="124">
        <v>15500</v>
      </c>
      <c r="D21" s="124">
        <v>18164</v>
      </c>
      <c r="E21" s="124">
        <v>21555</v>
      </c>
      <c r="F21" s="124">
        <v>26883</v>
      </c>
      <c r="G21" s="124">
        <v>30274</v>
      </c>
      <c r="H21" s="124">
        <v>32938</v>
      </c>
    </row>
    <row r="22" spans="2:8">
      <c r="B22" s="122">
        <v>200000</v>
      </c>
      <c r="C22" s="122">
        <v>20037</v>
      </c>
      <c r="D22" s="122">
        <v>23480</v>
      </c>
      <c r="E22" s="122">
        <v>27863</v>
      </c>
      <c r="F22" s="122">
        <v>34751</v>
      </c>
      <c r="G22" s="122">
        <v>39134</v>
      </c>
      <c r="H22" s="122">
        <v>42578</v>
      </c>
    </row>
    <row r="23" spans="2:8">
      <c r="B23" s="122">
        <v>300000</v>
      </c>
      <c r="C23" s="122">
        <v>28750</v>
      </c>
      <c r="D23" s="122">
        <v>33692</v>
      </c>
      <c r="E23" s="122">
        <v>39981</v>
      </c>
      <c r="F23" s="122">
        <v>49864</v>
      </c>
      <c r="G23" s="122">
        <v>56153</v>
      </c>
      <c r="H23" s="122">
        <v>61095</v>
      </c>
    </row>
    <row r="24" spans="2:8">
      <c r="B24" s="122">
        <v>500000</v>
      </c>
      <c r="C24" s="122">
        <v>45232</v>
      </c>
      <c r="D24" s="122">
        <v>53006</v>
      </c>
      <c r="E24" s="122">
        <v>62900</v>
      </c>
      <c r="F24" s="122">
        <v>78449</v>
      </c>
      <c r="G24" s="122">
        <v>88343</v>
      </c>
      <c r="H24" s="122">
        <v>96118</v>
      </c>
    </row>
    <row r="25" spans="2:8" ht="13.8" thickBot="1">
      <c r="B25" s="123">
        <v>750000</v>
      </c>
      <c r="C25" s="123">
        <v>64666</v>
      </c>
      <c r="D25" s="123">
        <v>75781</v>
      </c>
      <c r="E25" s="123">
        <v>89927</v>
      </c>
      <c r="F25" s="123">
        <v>112156</v>
      </c>
      <c r="G25" s="123">
        <v>126301</v>
      </c>
      <c r="H25" s="123">
        <v>137416</v>
      </c>
    </row>
    <row r="26" spans="2:8">
      <c r="B26" s="124">
        <v>1000000</v>
      </c>
      <c r="C26" s="124">
        <v>83182</v>
      </c>
      <c r="D26" s="124">
        <v>97479</v>
      </c>
      <c r="E26" s="124">
        <v>115675</v>
      </c>
      <c r="F26" s="124">
        <v>144268</v>
      </c>
      <c r="G26" s="124">
        <v>162464</v>
      </c>
      <c r="H26" s="124">
        <v>176761</v>
      </c>
    </row>
    <row r="27" spans="2:8">
      <c r="B27" s="122">
        <v>1500000</v>
      </c>
      <c r="C27" s="122">
        <v>119307</v>
      </c>
      <c r="D27" s="122">
        <v>139813</v>
      </c>
      <c r="E27" s="122">
        <v>165911</v>
      </c>
      <c r="F27" s="122">
        <v>206923</v>
      </c>
      <c r="G27" s="122">
        <v>233022</v>
      </c>
      <c r="H27" s="122">
        <v>253527</v>
      </c>
    </row>
    <row r="28" spans="2:8">
      <c r="B28" s="122">
        <v>2000000</v>
      </c>
      <c r="C28" s="122">
        <v>153965</v>
      </c>
      <c r="D28" s="122">
        <v>180428</v>
      </c>
      <c r="E28" s="122">
        <v>214108</v>
      </c>
      <c r="F28" s="122">
        <v>267034</v>
      </c>
      <c r="G28" s="122">
        <v>300714</v>
      </c>
      <c r="H28" s="122">
        <v>327177</v>
      </c>
    </row>
    <row r="29" spans="2:8">
      <c r="B29" s="122">
        <v>3000000</v>
      </c>
      <c r="C29" s="122">
        <v>220161</v>
      </c>
      <c r="D29" s="122">
        <v>258002</v>
      </c>
      <c r="E29" s="122">
        <v>306162</v>
      </c>
      <c r="F29" s="122">
        <v>381843</v>
      </c>
      <c r="G29" s="122">
        <v>430003</v>
      </c>
      <c r="H29" s="122">
        <v>467843</v>
      </c>
    </row>
    <row r="30" spans="2:8" ht="13.8" thickBot="1">
      <c r="B30" s="123">
        <v>5000000</v>
      </c>
      <c r="C30" s="123">
        <v>343879</v>
      </c>
      <c r="D30" s="123">
        <v>402984</v>
      </c>
      <c r="E30" s="123">
        <v>478207</v>
      </c>
      <c r="F30" s="123">
        <v>596416</v>
      </c>
      <c r="G30" s="123">
        <v>671640</v>
      </c>
      <c r="H30" s="123">
        <v>730744</v>
      </c>
    </row>
    <row r="31" spans="2:8">
      <c r="B31" s="124">
        <v>7500000</v>
      </c>
      <c r="C31" s="124">
        <v>493923</v>
      </c>
      <c r="D31" s="124">
        <v>578816</v>
      </c>
      <c r="E31" s="124">
        <v>686862</v>
      </c>
      <c r="F31" s="124">
        <v>856648</v>
      </c>
      <c r="G31" s="124">
        <v>964694</v>
      </c>
      <c r="H31" s="124">
        <v>1049587</v>
      </c>
    </row>
    <row r="32" spans="2:8">
      <c r="B32" s="122">
        <v>10000000</v>
      </c>
      <c r="C32" s="122">
        <v>638277</v>
      </c>
      <c r="D32" s="122">
        <v>747981</v>
      </c>
      <c r="E32" s="122">
        <v>887604</v>
      </c>
      <c r="F32" s="122">
        <v>1107012</v>
      </c>
      <c r="G32" s="122">
        <v>1246635</v>
      </c>
      <c r="H32" s="122">
        <v>1356339</v>
      </c>
    </row>
    <row r="33" spans="2:8">
      <c r="B33" s="122">
        <v>15000000</v>
      </c>
      <c r="C33" s="122">
        <v>915129</v>
      </c>
      <c r="D33" s="122">
        <v>1072416</v>
      </c>
      <c r="E33" s="122">
        <v>1272601</v>
      </c>
      <c r="F33" s="122">
        <v>1587176</v>
      </c>
      <c r="G33" s="122">
        <v>1787360</v>
      </c>
      <c r="H33" s="122">
        <v>1944648</v>
      </c>
    </row>
    <row r="34" spans="2:8">
      <c r="B34" s="122">
        <v>20000000</v>
      </c>
      <c r="C34" s="122">
        <v>1180414</v>
      </c>
      <c r="D34" s="122">
        <v>1383298</v>
      </c>
      <c r="E34" s="122">
        <v>1641513</v>
      </c>
      <c r="F34" s="122">
        <v>2047281</v>
      </c>
      <c r="G34" s="122">
        <v>2305496</v>
      </c>
      <c r="H34" s="122">
        <v>2508380</v>
      </c>
    </row>
    <row r="35" spans="2:8">
      <c r="B35" s="122">
        <v>25000000</v>
      </c>
      <c r="C35" s="122">
        <v>1436874</v>
      </c>
      <c r="D35" s="122">
        <v>1683837</v>
      </c>
      <c r="E35" s="122">
        <v>1998153</v>
      </c>
      <c r="F35" s="122">
        <v>2492079</v>
      </c>
      <c r="G35" s="122">
        <v>2806395</v>
      </c>
      <c r="H35" s="122">
        <v>3053358</v>
      </c>
    </row>
    <row r="36" spans="2:8"/>
    <row r="37" spans="2:8"/>
  </sheetData>
  <sheetProtection sheet="1" formatRows="0"/>
  <mergeCells count="2">
    <mergeCell ref="B14:H14"/>
    <mergeCell ref="B2:H2"/>
  </mergeCells>
  <conditionalFormatting sqref="E7">
    <cfRule type="expression" dxfId="44" priority="1">
      <formula>E7=0</formula>
    </cfRule>
  </conditionalFormatting>
  <pageMargins left="0.39370078740157483" right="0.19685039370078741" top="0.39370078740157483" bottom="0.47244094488188981" header="0.31496062992125984" footer="0.31496062992125984"/>
  <pageSetup paperSize="9" scale="87" fitToHeight="0" orientation="portrait" r:id="rId1"/>
  <headerFooter scaleWithDoc="0">
    <oddFooter>&amp;L&amp;8©  VHF Bayern - Stand August 2022&amp;R&amp;P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T37"/>
  <sheetViews>
    <sheetView topLeftCell="A5" zoomScaleNormal="100" workbookViewId="0">
      <selection activeCell="R20" sqref="R20"/>
    </sheetView>
  </sheetViews>
  <sheetFormatPr baseColWidth="10" defaultColWidth="11.44140625" defaultRowHeight="14.4"/>
  <cols>
    <col min="1" max="1" width="11.44140625" style="1431"/>
    <col min="2" max="2" width="13.6640625" style="1431" customWidth="1"/>
    <col min="3" max="13" width="11.44140625" style="1431"/>
    <col min="14" max="14" width="21.5546875" style="1431" customWidth="1"/>
    <col min="15" max="15" width="3.6640625" style="1431" customWidth="1"/>
    <col min="16" max="17" width="18.6640625" style="1431" customWidth="1"/>
    <col min="18" max="18" width="24.6640625" style="1431" customWidth="1"/>
    <col min="19" max="20" width="18.6640625" style="1431" customWidth="1"/>
    <col min="21" max="16384" width="11.44140625" style="1431"/>
  </cols>
  <sheetData>
    <row r="1" spans="2:18" ht="15" thickBot="1"/>
    <row r="2" spans="2:18">
      <c r="B2" s="1849" t="s">
        <v>1049</v>
      </c>
      <c r="C2" s="1850"/>
      <c r="D2" s="1850"/>
      <c r="E2" s="1850"/>
      <c r="F2" s="1850"/>
      <c r="G2" s="1850"/>
      <c r="H2" s="1850"/>
      <c r="I2" s="1850"/>
      <c r="J2" s="1850"/>
      <c r="K2" s="1850"/>
      <c r="L2" s="1850"/>
      <c r="M2" s="1850"/>
      <c r="N2" s="1850"/>
      <c r="O2" s="1850"/>
      <c r="P2" s="1850"/>
      <c r="Q2" s="1850"/>
      <c r="R2" s="1851"/>
    </row>
    <row r="3" spans="2:18" ht="98.4" customHeight="1">
      <c r="B3" s="1852" t="s">
        <v>1055</v>
      </c>
      <c r="C3" s="1853"/>
      <c r="D3" s="1853"/>
      <c r="E3" s="1853"/>
      <c r="F3" s="1853"/>
      <c r="G3" s="1853"/>
      <c r="H3" s="1853"/>
      <c r="I3" s="1853"/>
      <c r="J3" s="1853"/>
      <c r="K3" s="1853"/>
      <c r="L3" s="1853"/>
      <c r="M3" s="1853"/>
      <c r="N3" s="1853"/>
      <c r="O3" s="1853"/>
      <c r="P3" s="1853"/>
      <c r="Q3" s="1853"/>
      <c r="R3" s="1854"/>
    </row>
    <row r="4" spans="2:18" ht="38.4" customHeight="1" thickBot="1">
      <c r="B4" s="1846" t="s">
        <v>1056</v>
      </c>
      <c r="C4" s="1847"/>
      <c r="D4" s="1847"/>
      <c r="E4" s="1847"/>
      <c r="F4" s="1847"/>
      <c r="G4" s="1847"/>
      <c r="H4" s="1847"/>
      <c r="I4" s="1847"/>
      <c r="J4" s="1847"/>
      <c r="K4" s="1847"/>
      <c r="L4" s="1847"/>
      <c r="M4" s="1847"/>
      <c r="N4" s="1847"/>
      <c r="O4" s="1847"/>
      <c r="P4" s="1847"/>
      <c r="Q4" s="1847"/>
      <c r="R4" s="1848"/>
    </row>
    <row r="5" spans="2:18" ht="15" thickBot="1"/>
    <row r="6" spans="2:18" ht="37.950000000000003" customHeight="1" thickBot="1">
      <c r="B6" s="1855" t="s">
        <v>1031</v>
      </c>
      <c r="C6" s="1856"/>
      <c r="D6" s="1856"/>
      <c r="E6" s="1856"/>
      <c r="F6" s="1856"/>
      <c r="G6" s="1856"/>
      <c r="H6" s="1856"/>
      <c r="I6" s="1856"/>
      <c r="J6" s="1856"/>
      <c r="K6" s="1856"/>
      <c r="L6" s="1857"/>
      <c r="N6" s="1855" t="s">
        <v>1050</v>
      </c>
      <c r="O6" s="1858"/>
      <c r="P6" s="1859"/>
      <c r="Q6" s="1859"/>
      <c r="R6" s="1860"/>
    </row>
    <row r="7" spans="2:18" ht="15" thickBot="1"/>
    <row r="8" spans="2:18" ht="31.2" customHeight="1" thickBot="1">
      <c r="B8" s="1432" t="s">
        <v>1032</v>
      </c>
      <c r="C8" s="1833" t="s">
        <v>1033</v>
      </c>
      <c r="D8" s="1834"/>
      <c r="E8" s="1833" t="s">
        <v>1034</v>
      </c>
      <c r="F8" s="1834"/>
      <c r="G8" s="1833" t="s">
        <v>1035</v>
      </c>
      <c r="H8" s="1835"/>
      <c r="I8" s="1838" t="s">
        <v>1041</v>
      </c>
      <c r="J8" s="1839"/>
      <c r="K8" s="1838" t="s">
        <v>1043</v>
      </c>
      <c r="L8" s="1839"/>
      <c r="N8" s="1494" t="s">
        <v>1049</v>
      </c>
      <c r="O8" s="1495"/>
      <c r="P8" s="1495"/>
      <c r="Q8" s="1495"/>
      <c r="R8" s="1496"/>
    </row>
    <row r="9" spans="2:18">
      <c r="B9" s="1433" t="s">
        <v>1036</v>
      </c>
      <c r="C9" s="1434" t="s">
        <v>1037</v>
      </c>
      <c r="D9" s="1486" t="s">
        <v>1042</v>
      </c>
      <c r="E9" s="1434" t="s">
        <v>1037</v>
      </c>
      <c r="F9" s="1486" t="s">
        <v>1042</v>
      </c>
      <c r="G9" s="1434" t="s">
        <v>1037</v>
      </c>
      <c r="H9" s="1490" t="s">
        <v>1042</v>
      </c>
      <c r="I9" s="1435" t="s">
        <v>1040</v>
      </c>
      <c r="J9" s="1491" t="s">
        <v>1042</v>
      </c>
      <c r="K9" s="1435" t="s">
        <v>1040</v>
      </c>
      <c r="L9" s="1491" t="s">
        <v>1042</v>
      </c>
      <c r="N9" s="1840" t="s">
        <v>1057</v>
      </c>
      <c r="O9" s="1841"/>
      <c r="P9" s="1841"/>
      <c r="Q9" s="1841"/>
      <c r="R9" s="1842"/>
    </row>
    <row r="10" spans="2:18" ht="15" thickBot="1">
      <c r="B10" s="1436">
        <v>25000000</v>
      </c>
      <c r="C10" s="1437">
        <v>1436874</v>
      </c>
      <c r="D10" s="1487">
        <v>1683837</v>
      </c>
      <c r="E10" s="1437">
        <v>1683837</v>
      </c>
      <c r="F10" s="1487">
        <v>1998153</v>
      </c>
      <c r="G10" s="1437">
        <v>1998153</v>
      </c>
      <c r="H10" s="1487">
        <v>2492079</v>
      </c>
      <c r="I10" s="1438">
        <v>2492079</v>
      </c>
      <c r="J10" s="1492">
        <v>2806395</v>
      </c>
      <c r="K10" s="1439">
        <v>2806395</v>
      </c>
      <c r="L10" s="1492">
        <v>3053358</v>
      </c>
      <c r="N10" s="1843"/>
      <c r="O10" s="1844"/>
      <c r="P10" s="1844"/>
      <c r="Q10" s="1844"/>
      <c r="R10" s="1845"/>
    </row>
    <row r="11" spans="2:18" ht="15" customHeight="1" thickBot="1">
      <c r="B11" s="1436">
        <v>30000000</v>
      </c>
      <c r="C11" s="1437">
        <v>1686080</v>
      </c>
      <c r="D11" s="1487">
        <v>1975875</v>
      </c>
      <c r="E11" s="1437">
        <v>1975875</v>
      </c>
      <c r="F11" s="1487">
        <v>2344705</v>
      </c>
      <c r="G11" s="1437">
        <v>2344705</v>
      </c>
      <c r="H11" s="1487">
        <v>2924295</v>
      </c>
      <c r="I11" s="1440">
        <v>2924295</v>
      </c>
      <c r="J11" s="1492">
        <v>3293125</v>
      </c>
      <c r="K11" s="1439">
        <v>3293125</v>
      </c>
      <c r="L11" s="1492">
        <v>3582920</v>
      </c>
      <c r="N11" s="1441"/>
      <c r="O11" s="1442" t="s">
        <v>241</v>
      </c>
      <c r="P11" s="1443"/>
      <c r="Q11" s="1444"/>
      <c r="R11" s="1497">
        <v>4</v>
      </c>
    </row>
    <row r="12" spans="2:18" ht="15" thickBot="1">
      <c r="B12" s="1436">
        <v>35000000</v>
      </c>
      <c r="C12" s="1437">
        <v>1929060</v>
      </c>
      <c r="D12" s="1487">
        <v>2260617</v>
      </c>
      <c r="E12" s="1437">
        <v>2260617</v>
      </c>
      <c r="F12" s="1487">
        <v>2682599</v>
      </c>
      <c r="G12" s="1437">
        <v>2682599</v>
      </c>
      <c r="H12" s="1487">
        <v>3345713</v>
      </c>
      <c r="I12" s="1440">
        <v>3345713</v>
      </c>
      <c r="J12" s="1492">
        <v>3767695</v>
      </c>
      <c r="K12" s="1439">
        <v>3767695</v>
      </c>
      <c r="L12" s="1492">
        <v>4099252</v>
      </c>
      <c r="N12" s="1445"/>
      <c r="O12" s="1446" t="s">
        <v>1038</v>
      </c>
      <c r="P12" s="1447"/>
      <c r="Q12" s="1448"/>
      <c r="R12" s="1449">
        <f>'H §35 HOAI'!E6</f>
        <v>63715924.375</v>
      </c>
    </row>
    <row r="13" spans="2:18">
      <c r="B13" s="1436">
        <v>40000000</v>
      </c>
      <c r="C13" s="1437">
        <v>2166534</v>
      </c>
      <c r="D13" s="1487">
        <v>2538907</v>
      </c>
      <c r="E13" s="1437">
        <v>2538907</v>
      </c>
      <c r="F13" s="1487">
        <v>3012836</v>
      </c>
      <c r="G13" s="1437">
        <v>3012836</v>
      </c>
      <c r="H13" s="1487">
        <v>3757582</v>
      </c>
      <c r="I13" s="1440">
        <v>3757582</v>
      </c>
      <c r="J13" s="1492">
        <v>4231512</v>
      </c>
      <c r="K13" s="1439">
        <v>4231512</v>
      </c>
      <c r="L13" s="1492">
        <v>4603885</v>
      </c>
      <c r="N13" s="1441"/>
      <c r="O13" s="1443"/>
      <c r="P13" s="1443"/>
      <c r="Q13" s="1443"/>
      <c r="R13" s="1450"/>
    </row>
    <row r="14" spans="2:18">
      <c r="B14" s="1436">
        <v>45000000</v>
      </c>
      <c r="C14" s="1437">
        <v>2399035</v>
      </c>
      <c r="D14" s="1487">
        <v>2811369</v>
      </c>
      <c r="E14" s="1437">
        <v>2811369</v>
      </c>
      <c r="F14" s="1487">
        <v>3336158</v>
      </c>
      <c r="G14" s="1437">
        <v>3336158</v>
      </c>
      <c r="H14" s="1487">
        <v>4160826</v>
      </c>
      <c r="I14" s="1440">
        <v>4160826</v>
      </c>
      <c r="J14" s="1492">
        <v>4685615</v>
      </c>
      <c r="K14" s="1439">
        <v>4685615</v>
      </c>
      <c r="L14" s="1492">
        <v>5097949</v>
      </c>
      <c r="N14" s="1451" t="s">
        <v>1053</v>
      </c>
      <c r="O14" s="1452"/>
      <c r="P14" s="1453"/>
      <c r="Q14" s="1453"/>
      <c r="R14" s="1454">
        <f>Q12+R12</f>
        <v>63715924.375</v>
      </c>
    </row>
    <row r="15" spans="2:18">
      <c r="B15" s="1436">
        <v>50000000</v>
      </c>
      <c r="C15" s="1437">
        <v>2626973</v>
      </c>
      <c r="D15" s="1487">
        <v>3078484</v>
      </c>
      <c r="E15" s="1437">
        <v>3078484</v>
      </c>
      <c r="F15" s="1487">
        <v>3653134</v>
      </c>
      <c r="G15" s="1437">
        <v>3653134</v>
      </c>
      <c r="H15" s="1487">
        <v>4556156</v>
      </c>
      <c r="I15" s="1440">
        <v>4556156</v>
      </c>
      <c r="J15" s="1492">
        <v>5130807</v>
      </c>
      <c r="K15" s="1439">
        <v>5130807</v>
      </c>
      <c r="L15" s="1492">
        <v>5582318</v>
      </c>
      <c r="N15" s="1451"/>
      <c r="O15" s="1452"/>
      <c r="P15" s="1453"/>
      <c r="Q15" s="1453"/>
      <c r="R15" s="1454"/>
    </row>
    <row r="16" spans="2:18">
      <c r="B16" s="1436">
        <v>55000000</v>
      </c>
      <c r="C16" s="1437">
        <v>2850675</v>
      </c>
      <c r="D16" s="1487">
        <v>3340635</v>
      </c>
      <c r="E16" s="1437">
        <v>3340635</v>
      </c>
      <c r="F16" s="1487">
        <v>3964220</v>
      </c>
      <c r="G16" s="1437">
        <v>3964220</v>
      </c>
      <c r="H16" s="1487">
        <v>4944139</v>
      </c>
      <c r="I16" s="1440">
        <v>4944139</v>
      </c>
      <c r="J16" s="1492">
        <v>5567724</v>
      </c>
      <c r="K16" s="1439">
        <v>5567724</v>
      </c>
      <c r="L16" s="1492">
        <v>6057684</v>
      </c>
      <c r="N16" s="1455" t="s">
        <v>1039</v>
      </c>
      <c r="O16" s="1453"/>
      <c r="P16" s="1453"/>
      <c r="Q16" s="1453"/>
      <c r="R16" s="1456"/>
    </row>
    <row r="17" spans="2:20" ht="14.4" customHeight="1" thickBot="1">
      <c r="B17" s="1436">
        <v>60000000</v>
      </c>
      <c r="C17" s="1437">
        <v>3070405</v>
      </c>
      <c r="D17" s="1487">
        <v>3598131</v>
      </c>
      <c r="E17" s="1437">
        <v>3598131</v>
      </c>
      <c r="F17" s="1487">
        <v>4269782</v>
      </c>
      <c r="G17" s="1437">
        <v>4269782</v>
      </c>
      <c r="H17" s="1487">
        <v>5325234</v>
      </c>
      <c r="I17" s="1440">
        <v>5325234</v>
      </c>
      <c r="J17" s="1492">
        <v>5996885</v>
      </c>
      <c r="K17" s="1439">
        <v>5996885</v>
      </c>
      <c r="L17" s="1492">
        <v>6524611</v>
      </c>
      <c r="N17" s="1457" t="s">
        <v>332</v>
      </c>
      <c r="O17" s="1458" t="s">
        <v>1051</v>
      </c>
      <c r="P17" s="1459" t="s">
        <v>1052</v>
      </c>
      <c r="Q17" s="1460"/>
      <c r="R17" s="1461">
        <f>R11</f>
        <v>4</v>
      </c>
      <c r="T17" s="1452"/>
    </row>
    <row r="18" spans="2:20">
      <c r="B18" s="1436">
        <v>65000000</v>
      </c>
      <c r="C18" s="1437">
        <v>3286384</v>
      </c>
      <c r="D18" s="1487">
        <v>3851231</v>
      </c>
      <c r="E18" s="1437">
        <v>3851231</v>
      </c>
      <c r="F18" s="1487">
        <v>4570127</v>
      </c>
      <c r="G18" s="1437">
        <v>4570127</v>
      </c>
      <c r="H18" s="1487">
        <v>5699822</v>
      </c>
      <c r="I18" s="1440">
        <v>5699822</v>
      </c>
      <c r="J18" s="1492">
        <v>6418718</v>
      </c>
      <c r="K18" s="1439">
        <v>6418718</v>
      </c>
      <c r="L18" s="1492">
        <v>6983566</v>
      </c>
      <c r="N18" s="1493">
        <v>65000000</v>
      </c>
      <c r="O18" s="1480"/>
      <c r="P18" s="1481"/>
      <c r="Q18" s="1482"/>
      <c r="R18" s="1483">
        <v>5699822</v>
      </c>
      <c r="S18" s="1452"/>
      <c r="T18" s="1452"/>
    </row>
    <row r="19" spans="2:20" ht="15" thickBot="1">
      <c r="B19" s="1436">
        <v>70000000</v>
      </c>
      <c r="C19" s="1437">
        <v>3498796</v>
      </c>
      <c r="D19" s="1487">
        <v>4100152</v>
      </c>
      <c r="E19" s="1437">
        <v>4100152</v>
      </c>
      <c r="F19" s="1487">
        <v>4865514</v>
      </c>
      <c r="G19" s="1437">
        <v>4865514</v>
      </c>
      <c r="H19" s="1487">
        <v>6068225</v>
      </c>
      <c r="I19" s="1440">
        <v>6068225</v>
      </c>
      <c r="J19" s="1492">
        <v>6833586</v>
      </c>
      <c r="K19" s="1439">
        <v>6833586</v>
      </c>
      <c r="L19" s="1492">
        <v>7434942</v>
      </c>
      <c r="N19" s="1498">
        <v>70000000</v>
      </c>
      <c r="O19" s="1484"/>
      <c r="P19" s="1481"/>
      <c r="Q19" s="1482"/>
      <c r="R19" s="1485">
        <v>6068225</v>
      </c>
    </row>
    <row r="20" spans="2:20">
      <c r="B20" s="1436">
        <v>75000000</v>
      </c>
      <c r="C20" s="1437">
        <v>3707801</v>
      </c>
      <c r="D20" s="1487">
        <v>4345079</v>
      </c>
      <c r="E20" s="1437">
        <v>4345079</v>
      </c>
      <c r="F20" s="1487">
        <v>5156161</v>
      </c>
      <c r="G20" s="1437">
        <v>5156161</v>
      </c>
      <c r="H20" s="1487">
        <v>6430717</v>
      </c>
      <c r="I20" s="1440">
        <v>6430717</v>
      </c>
      <c r="J20" s="1492">
        <v>7241799</v>
      </c>
      <c r="K20" s="1439">
        <v>7241799</v>
      </c>
      <c r="L20" s="1492">
        <v>7879077</v>
      </c>
      <c r="N20" s="1462"/>
      <c r="O20" s="1453"/>
      <c r="P20" s="1453"/>
      <c r="Q20" s="1453"/>
      <c r="R20" s="1456"/>
    </row>
    <row r="21" spans="2:20">
      <c r="B21" s="1436">
        <v>100000000</v>
      </c>
      <c r="C21" s="1437">
        <v>4705955</v>
      </c>
      <c r="D21" s="1487">
        <v>5514791</v>
      </c>
      <c r="E21" s="1437">
        <v>5514791</v>
      </c>
      <c r="F21" s="1487">
        <v>6544218</v>
      </c>
      <c r="G21" s="1437">
        <v>6544218</v>
      </c>
      <c r="H21" s="1487">
        <v>8161890</v>
      </c>
      <c r="I21" s="1440">
        <v>8161890</v>
      </c>
      <c r="J21" s="1492">
        <v>9191318</v>
      </c>
      <c r="K21" s="1439">
        <v>9191318</v>
      </c>
      <c r="L21" s="1492">
        <v>10000154</v>
      </c>
      <c r="N21" s="1455" t="s">
        <v>1051</v>
      </c>
      <c r="O21" s="1463" t="str">
        <f>P17</f>
        <v>"x"</v>
      </c>
      <c r="P21" s="1464">
        <f>P18+((R14-N18)/(N19-N18))*(P19-P18)</f>
        <v>0</v>
      </c>
      <c r="Q21" s="1464"/>
      <c r="R21" s="1456"/>
      <c r="S21" s="1465"/>
    </row>
    <row r="22" spans="2:20">
      <c r="B22" s="1436">
        <v>150000000</v>
      </c>
      <c r="C22" s="1437">
        <v>6499055</v>
      </c>
      <c r="D22" s="1487">
        <v>7616080</v>
      </c>
      <c r="E22" s="1437">
        <v>7616080</v>
      </c>
      <c r="F22" s="1487">
        <v>9037748</v>
      </c>
      <c r="G22" s="1437">
        <v>9037748</v>
      </c>
      <c r="H22" s="1487">
        <v>11271798</v>
      </c>
      <c r="I22" s="1440">
        <v>11271798</v>
      </c>
      <c r="J22" s="1492">
        <v>12693466</v>
      </c>
      <c r="K22" s="1439">
        <v>12693466</v>
      </c>
      <c r="L22" s="1492">
        <v>13810491</v>
      </c>
      <c r="N22" s="1455" t="s">
        <v>1051</v>
      </c>
      <c r="O22" s="1463">
        <f>R17</f>
        <v>4</v>
      </c>
      <c r="P22" s="1464">
        <f>R18+((R14-N18)/(N19-N18))*(R19-R18)</f>
        <v>5605210.5375046246</v>
      </c>
      <c r="Q22" s="1453"/>
      <c r="R22" s="1456"/>
      <c r="S22" s="1465"/>
    </row>
    <row r="23" spans="2:20">
      <c r="B23" s="1436">
        <v>200000000</v>
      </c>
      <c r="C23" s="1437">
        <v>8059095</v>
      </c>
      <c r="D23" s="1487">
        <v>9444252</v>
      </c>
      <c r="E23" s="1437">
        <v>9444252</v>
      </c>
      <c r="F23" s="1487">
        <v>11207179</v>
      </c>
      <c r="G23" s="1437">
        <v>11207179</v>
      </c>
      <c r="H23" s="1487">
        <v>13977493</v>
      </c>
      <c r="I23" s="1440">
        <v>13977493</v>
      </c>
      <c r="J23" s="1492">
        <v>15740421</v>
      </c>
      <c r="K23" s="1439">
        <v>15740421</v>
      </c>
      <c r="L23" s="1492">
        <v>17125578</v>
      </c>
      <c r="N23" s="1462"/>
      <c r="O23" s="1453"/>
      <c r="P23" s="1453"/>
      <c r="Q23" s="1453"/>
      <c r="R23" s="1456"/>
    </row>
    <row r="24" spans="2:20" ht="15" thickBot="1">
      <c r="B24" s="1436">
        <v>250000000</v>
      </c>
      <c r="C24" s="1437">
        <v>9411830</v>
      </c>
      <c r="D24" s="1487">
        <v>11029488</v>
      </c>
      <c r="E24" s="1437">
        <v>11029488</v>
      </c>
      <c r="F24" s="1487">
        <v>13088326</v>
      </c>
      <c r="G24" s="1437">
        <v>13088326</v>
      </c>
      <c r="H24" s="1487">
        <v>16323642</v>
      </c>
      <c r="I24" s="1440">
        <v>16323642</v>
      </c>
      <c r="J24" s="1492">
        <v>18382480</v>
      </c>
      <c r="K24" s="1439">
        <v>18382480</v>
      </c>
      <c r="L24" s="1492">
        <v>20000138</v>
      </c>
      <c r="N24" s="1445"/>
      <c r="O24" s="1447"/>
      <c r="P24" s="1447"/>
      <c r="Q24" s="1447"/>
      <c r="R24" s="1466"/>
    </row>
    <row r="25" spans="2:20">
      <c r="B25" s="1436">
        <v>300000000</v>
      </c>
      <c r="C25" s="1437">
        <v>10573175</v>
      </c>
      <c r="D25" s="1487">
        <v>12390440</v>
      </c>
      <c r="E25" s="1437">
        <v>12390440</v>
      </c>
      <c r="F25" s="1487">
        <v>14703322</v>
      </c>
      <c r="G25" s="1437">
        <v>14703322</v>
      </c>
      <c r="H25" s="1487">
        <v>18337851</v>
      </c>
      <c r="I25" s="1440">
        <v>18337851</v>
      </c>
      <c r="J25" s="1492">
        <v>20650733</v>
      </c>
      <c r="K25" s="1439">
        <v>20650733</v>
      </c>
      <c r="L25" s="1492">
        <v>22467997</v>
      </c>
      <c r="N25" s="1441"/>
      <c r="O25" s="1443"/>
      <c r="P25" s="1443"/>
      <c r="Q25" s="1443"/>
      <c r="R25" s="1467"/>
    </row>
    <row r="26" spans="2:20" ht="14.4" customHeight="1">
      <c r="B26" s="1468">
        <v>400000000</v>
      </c>
      <c r="C26" s="1469">
        <v>12364170</v>
      </c>
      <c r="D26" s="1488">
        <v>14489261</v>
      </c>
      <c r="E26" s="1469">
        <v>14489261</v>
      </c>
      <c r="F26" s="1488">
        <v>17193924</v>
      </c>
      <c r="G26" s="1469">
        <v>17193924</v>
      </c>
      <c r="H26" s="1488">
        <v>21444107</v>
      </c>
      <c r="I26" s="1470">
        <v>21444107</v>
      </c>
      <c r="J26" s="1492">
        <v>24148769</v>
      </c>
      <c r="K26" s="1439">
        <v>24148769</v>
      </c>
      <c r="L26" s="1492">
        <v>26273861</v>
      </c>
      <c r="N26" s="1836" t="s">
        <v>1054</v>
      </c>
      <c r="O26" s="1837"/>
      <c r="P26" s="1837"/>
      <c r="Q26" s="1453"/>
      <c r="R26" s="1471">
        <f>((P21*Q12)+(P22*R12))/R14</f>
        <v>5605210.5375046246</v>
      </c>
    </row>
    <row r="27" spans="2:20" ht="14.4" customHeight="1" thickBot="1">
      <c r="B27" s="1472">
        <v>500000000</v>
      </c>
      <c r="C27" s="1473">
        <v>13497417</v>
      </c>
      <c r="D27" s="1489">
        <v>15817285</v>
      </c>
      <c r="E27" s="1473">
        <v>15817285</v>
      </c>
      <c r="F27" s="1489">
        <v>18769845</v>
      </c>
      <c r="G27" s="1473">
        <v>18769845</v>
      </c>
      <c r="H27" s="1489">
        <v>23409582</v>
      </c>
      <c r="I27" s="1474">
        <v>23409582</v>
      </c>
      <c r="J27" s="1492">
        <v>26362142</v>
      </c>
      <c r="K27" s="1439">
        <v>26362142</v>
      </c>
      <c r="L27" s="1492">
        <v>28682011</v>
      </c>
      <c r="N27" s="1475"/>
      <c r="O27" s="1476"/>
      <c r="P27" s="1447"/>
      <c r="Q27" s="1447"/>
      <c r="R27" s="1477"/>
    </row>
    <row r="28" spans="2:20">
      <c r="B28" s="1478"/>
      <c r="C28" s="1479"/>
      <c r="D28" s="1479"/>
      <c r="E28" s="1479"/>
      <c r="F28" s="1479"/>
      <c r="G28" s="1479"/>
      <c r="H28" s="1479"/>
      <c r="I28" s="1479"/>
      <c r="J28" s="1479"/>
      <c r="K28" s="1479"/>
      <c r="L28" s="1479"/>
      <c r="N28" s="1453"/>
      <c r="O28" s="1453"/>
      <c r="P28" s="1464"/>
      <c r="Q28" s="1464"/>
      <c r="R28" s="1453"/>
    </row>
    <row r="29" spans="2:20">
      <c r="B29" s="1478"/>
      <c r="C29" s="1479"/>
      <c r="D29" s="1479"/>
      <c r="E29" s="1479"/>
      <c r="F29" s="1479"/>
      <c r="G29" s="1479"/>
      <c r="H29" s="1479"/>
      <c r="I29" s="1479"/>
      <c r="J29" s="1479"/>
      <c r="K29" s="1479"/>
      <c r="L29" s="1479"/>
    </row>
    <row r="30" spans="2:20">
      <c r="B30" s="1478"/>
      <c r="C30" s="1479"/>
      <c r="D30" s="1479"/>
      <c r="E30" s="1479"/>
      <c r="F30" s="1479"/>
      <c r="G30" s="1479"/>
      <c r="H30" s="1479"/>
      <c r="I30" s="1479"/>
      <c r="J30" s="1479"/>
      <c r="K30" s="1479"/>
      <c r="L30" s="1479"/>
    </row>
    <row r="31" spans="2:20">
      <c r="B31" s="1478"/>
      <c r="C31" s="1479"/>
      <c r="D31" s="1479"/>
      <c r="E31" s="1479"/>
      <c r="F31" s="1479"/>
      <c r="G31" s="1479"/>
      <c r="H31" s="1479"/>
      <c r="I31" s="1479"/>
      <c r="J31" s="1479"/>
      <c r="K31" s="1479"/>
      <c r="L31" s="1479"/>
    </row>
    <row r="32" spans="2:20">
      <c r="B32" s="1478"/>
      <c r="C32" s="1479"/>
      <c r="D32" s="1479"/>
      <c r="E32" s="1479"/>
      <c r="F32" s="1479"/>
      <c r="G32" s="1479"/>
      <c r="H32" s="1479"/>
      <c r="I32" s="1479"/>
      <c r="J32" s="1479"/>
      <c r="K32" s="1479"/>
      <c r="L32" s="1479"/>
    </row>
    <row r="33" spans="2:12">
      <c r="B33" s="1478"/>
      <c r="C33" s="1479"/>
      <c r="D33" s="1479"/>
      <c r="E33" s="1479"/>
      <c r="F33" s="1479"/>
      <c r="G33" s="1479"/>
      <c r="H33" s="1479"/>
      <c r="I33" s="1479"/>
      <c r="J33" s="1479"/>
      <c r="K33" s="1479"/>
      <c r="L33" s="1479"/>
    </row>
    <row r="34" spans="2:12">
      <c r="B34" s="1478"/>
      <c r="C34" s="1479"/>
      <c r="D34" s="1479"/>
      <c r="E34" s="1479"/>
      <c r="F34" s="1479"/>
      <c r="G34" s="1479"/>
      <c r="H34" s="1479"/>
      <c r="I34" s="1479"/>
      <c r="J34" s="1479"/>
      <c r="K34" s="1479"/>
      <c r="L34" s="1479"/>
    </row>
    <row r="35" spans="2:12">
      <c r="B35" s="1478"/>
      <c r="C35" s="1479"/>
      <c r="D35" s="1479"/>
      <c r="E35" s="1479"/>
      <c r="F35" s="1479"/>
      <c r="G35" s="1479"/>
      <c r="H35" s="1479"/>
      <c r="I35" s="1479"/>
      <c r="J35" s="1479"/>
      <c r="K35" s="1479"/>
      <c r="L35" s="1479"/>
    </row>
    <row r="36" spans="2:12">
      <c r="B36" s="1478"/>
      <c r="C36" s="1479"/>
      <c r="D36" s="1479"/>
      <c r="E36" s="1479"/>
      <c r="F36" s="1479"/>
      <c r="G36" s="1479"/>
      <c r="H36" s="1479"/>
      <c r="I36" s="1479"/>
      <c r="J36" s="1479"/>
      <c r="K36" s="1479"/>
      <c r="L36" s="1479"/>
    </row>
    <row r="37" spans="2:12">
      <c r="B37" s="1478"/>
      <c r="C37" s="1479"/>
      <c r="D37" s="1479"/>
      <c r="E37" s="1479"/>
      <c r="F37" s="1479"/>
      <c r="G37" s="1479"/>
      <c r="H37" s="1479"/>
      <c r="I37" s="1479"/>
      <c r="J37" s="1479"/>
      <c r="K37" s="1479"/>
      <c r="L37" s="1479"/>
    </row>
  </sheetData>
  <mergeCells count="12">
    <mergeCell ref="B4:R4"/>
    <mergeCell ref="B2:R2"/>
    <mergeCell ref="B3:R3"/>
    <mergeCell ref="B6:L6"/>
    <mergeCell ref="N6:R6"/>
    <mergeCell ref="C8:D8"/>
    <mergeCell ref="E8:F8"/>
    <mergeCell ref="G8:H8"/>
    <mergeCell ref="N26:P26"/>
    <mergeCell ref="I8:J8"/>
    <mergeCell ref="K8:L8"/>
    <mergeCell ref="N9:R10"/>
  </mergeCells>
  <conditionalFormatting sqref="B10">
    <cfRule type="expression" dxfId="43" priority="52">
      <formula>IF($R$12&gt;30000000,1,0)</formula>
    </cfRule>
  </conditionalFormatting>
  <conditionalFormatting sqref="B10:L10">
    <cfRule type="expression" dxfId="42" priority="43">
      <formula>IF($R$12&gt;=30000000,1,0)</formula>
    </cfRule>
  </conditionalFormatting>
  <conditionalFormatting sqref="B10:L13">
    <cfRule type="expression" dxfId="41" priority="35">
      <formula>IF($R$12&gt;40000000,1,0)</formula>
    </cfRule>
  </conditionalFormatting>
  <conditionalFormatting sqref="B10:L14">
    <cfRule type="expression" dxfId="40" priority="32">
      <formula>IF($R$12&gt;50000000,1,0)</formula>
    </cfRule>
  </conditionalFormatting>
  <conditionalFormatting sqref="B10:L15">
    <cfRule type="expression" dxfId="39" priority="30">
      <formula>IF($R$12&gt;55000000,1,0)</formula>
    </cfRule>
  </conditionalFormatting>
  <conditionalFormatting sqref="B10:L16">
    <cfRule type="expression" dxfId="38" priority="26">
      <formula>IF($R$12&gt;=60000000,1,0)</formula>
    </cfRule>
    <cfRule type="expression" dxfId="37" priority="28">
      <formula>IF($R$12=60000000,1,0)</formula>
    </cfRule>
  </conditionalFormatting>
  <conditionalFormatting sqref="B10:L17">
    <cfRule type="expression" dxfId="36" priority="24">
      <formula>IF($R$12&gt;=65000000,1,0)</formula>
    </cfRule>
  </conditionalFormatting>
  <conditionalFormatting sqref="B10:L18">
    <cfRule type="expression" dxfId="35" priority="21">
      <formula>IF($R$12&gt;=70000000,1,0)</formula>
    </cfRule>
  </conditionalFormatting>
  <conditionalFormatting sqref="B10:L19">
    <cfRule type="expression" dxfId="34" priority="19">
      <formula>IF($R$12&gt;=75000000,1,0)</formula>
    </cfRule>
  </conditionalFormatting>
  <conditionalFormatting sqref="B10:L20">
    <cfRule type="expression" dxfId="33" priority="17">
      <formula>IF($R$12&gt;=100000000,1,0)</formula>
    </cfRule>
  </conditionalFormatting>
  <conditionalFormatting sqref="B10:L21">
    <cfRule type="expression" dxfId="32" priority="15">
      <formula>IF($R$12&gt;=150000000,1,0)</formula>
    </cfRule>
  </conditionalFormatting>
  <conditionalFormatting sqref="B10:L22">
    <cfRule type="expression" dxfId="31" priority="13">
      <formula>IF($R$12&gt;=200000000,1,0)</formula>
    </cfRule>
  </conditionalFormatting>
  <conditionalFormatting sqref="B10:L23">
    <cfRule type="expression" dxfId="30" priority="11">
      <formula>IF($R$12&gt;=250000000,1,0)</formula>
    </cfRule>
  </conditionalFormatting>
  <conditionalFormatting sqref="B10:L24">
    <cfRule type="expression" dxfId="29" priority="9">
      <formula>IF($R$12&gt;=300000000,1,0)</formula>
    </cfRule>
  </conditionalFormatting>
  <conditionalFormatting sqref="B10:L25">
    <cfRule type="expression" dxfId="28" priority="7">
      <formula>IF($R$12&gt;=400000000,1,0)</formula>
    </cfRule>
  </conditionalFormatting>
  <conditionalFormatting sqref="B10:L26">
    <cfRule type="expression" dxfId="27" priority="6">
      <formula>IF($R$12=500000000,1,0)</formula>
    </cfRule>
  </conditionalFormatting>
  <conditionalFormatting sqref="B10:L27">
    <cfRule type="expression" dxfId="26" priority="3">
      <formula>IF($R$12&lt;25000000,1,0)</formula>
    </cfRule>
    <cfRule type="expression" dxfId="25" priority="4">
      <formula>NOT($R$12)</formula>
    </cfRule>
    <cfRule type="expression" dxfId="24" priority="1">
      <formula>IF($R$11=0,1,0)</formula>
    </cfRule>
  </conditionalFormatting>
  <conditionalFormatting sqref="B11:L11">
    <cfRule type="expression" dxfId="23" priority="46">
      <formula>IF($R$12&gt;=35000000,1,0)</formula>
    </cfRule>
  </conditionalFormatting>
  <conditionalFormatting sqref="B12:L12">
    <cfRule type="expression" dxfId="22" priority="36">
      <formula>IF($R$12&lt;30000000,1,0)</formula>
    </cfRule>
    <cfRule type="expression" dxfId="21" priority="40">
      <formula>IF($R$12&gt;=40000000,1,0)</formula>
    </cfRule>
  </conditionalFormatting>
  <conditionalFormatting sqref="B13:L13">
    <cfRule type="expression" dxfId="20" priority="37">
      <formula>IF($R$12&lt;35000000,1,0)</formula>
    </cfRule>
  </conditionalFormatting>
  <conditionalFormatting sqref="B14:L14">
    <cfRule type="expression" dxfId="19" priority="38">
      <formula>IF($R$12&lt;40000000,1,0)</formula>
    </cfRule>
  </conditionalFormatting>
  <conditionalFormatting sqref="B15:L27">
    <cfRule type="expression" dxfId="18" priority="39">
      <formula>IF($R$12&lt;=45000000,1,0)</formula>
    </cfRule>
  </conditionalFormatting>
  <conditionalFormatting sqref="B16:L27">
    <cfRule type="expression" dxfId="17" priority="33">
      <formula>IF($R$12&lt;50000000,1,0)</formula>
    </cfRule>
  </conditionalFormatting>
  <conditionalFormatting sqref="B17:L27">
    <cfRule type="expression" dxfId="16" priority="31">
      <formula>IF($R$12&lt;=55000000,1,0)</formula>
    </cfRule>
  </conditionalFormatting>
  <conditionalFormatting sqref="B18:L27">
    <cfRule type="expression" dxfId="15" priority="27">
      <formula>IF($R$12=60000000,1,0)</formula>
    </cfRule>
    <cfRule type="expression" dxfId="14" priority="29">
      <formula>IF($R$12&lt;60000000,1,0)</formula>
    </cfRule>
  </conditionalFormatting>
  <conditionalFormatting sqref="B19:L27">
    <cfRule type="expression" dxfId="13" priority="25">
      <formula>IF($R$12&lt;65000000,1,0)</formula>
    </cfRule>
  </conditionalFormatting>
  <conditionalFormatting sqref="B20:L27">
    <cfRule type="expression" dxfId="12" priority="22">
      <formula>IF($R$12&lt;70000000,1,0)</formula>
    </cfRule>
  </conditionalFormatting>
  <conditionalFormatting sqref="B21:L27">
    <cfRule type="expression" dxfId="11" priority="20">
      <formula>IF($R$12&lt;75000000,1,0)</formula>
    </cfRule>
  </conditionalFormatting>
  <conditionalFormatting sqref="B22:L27">
    <cfRule type="expression" dxfId="10" priority="18">
      <formula>IF($R$12&lt;100000000,1,0)</formula>
    </cfRule>
  </conditionalFormatting>
  <conditionalFormatting sqref="B23:L27">
    <cfRule type="expression" dxfId="9" priority="16">
      <formula>IF($R$12&lt;150000000,1,0)</formula>
    </cfRule>
  </conditionalFormatting>
  <conditionalFormatting sqref="B24:L27">
    <cfRule type="expression" dxfId="8" priority="14">
      <formula>IF($R$12&lt;200000000,1,0)</formula>
    </cfRule>
  </conditionalFormatting>
  <conditionalFormatting sqref="B25:L27">
    <cfRule type="expression" dxfId="7" priority="12">
      <formula>IF($R$12&lt;250000000,1,0)</formula>
    </cfRule>
  </conditionalFormatting>
  <conditionalFormatting sqref="B26:L27">
    <cfRule type="expression" dxfId="6" priority="10">
      <formula>IF($R$12&lt;300000000,1,0)</formula>
    </cfRule>
  </conditionalFormatting>
  <conditionalFormatting sqref="B27:L27">
    <cfRule type="expression" dxfId="5" priority="8">
      <formula>IF($R$12&lt;400000000,1,0)</formula>
    </cfRule>
  </conditionalFormatting>
  <conditionalFormatting sqref="C8:D27 G8:L27">
    <cfRule type="expression" dxfId="4" priority="47">
      <formula>IF($R$11=2,1,0)</formula>
    </cfRule>
  </conditionalFormatting>
  <conditionalFormatting sqref="C8:F27 I8:L27">
    <cfRule type="expression" dxfId="3" priority="50">
      <formula>IF($R$11=3,1,0)</formula>
    </cfRule>
  </conditionalFormatting>
  <conditionalFormatting sqref="C8:H27 K8:L27">
    <cfRule type="expression" dxfId="2" priority="53">
      <formula>IF($R$11=4,1,0)</formula>
    </cfRule>
  </conditionalFormatting>
  <conditionalFormatting sqref="C8:J27">
    <cfRule type="expression" dxfId="1" priority="49">
      <formula>IF($R$11=5,1,0)</formula>
    </cfRule>
  </conditionalFormatting>
  <conditionalFormatting sqref="E8:L27">
    <cfRule type="expression" dxfId="0" priority="48">
      <formula>IF($R$11=1,1,0)</formula>
    </cfRule>
  </conditionalFormatting>
  <pageMargins left="0.7" right="0.7" top="0.78740157499999996" bottom="0.78740157499999996" header="0.3" footer="0.3"/>
  <pageSetup paperSize="9" orientation="portrait"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4">
    <tabColor rgb="FFC00000"/>
  </sheetPr>
  <dimension ref="B2:J271"/>
  <sheetViews>
    <sheetView topLeftCell="A7" workbookViewId="0">
      <selection activeCell="C15" sqref="C15"/>
    </sheetView>
  </sheetViews>
  <sheetFormatPr baseColWidth="10" defaultRowHeight="13.2"/>
  <cols>
    <col min="2" max="2" width="47.33203125" customWidth="1"/>
    <col min="3" max="3" width="27.33203125" customWidth="1"/>
    <col min="4" max="4" width="10" customWidth="1"/>
    <col min="6" max="6" width="10" customWidth="1"/>
    <col min="7" max="7" width="11.88671875" bestFit="1" customWidth="1"/>
  </cols>
  <sheetData>
    <row r="2" spans="2:7">
      <c r="B2" t="s">
        <v>139</v>
      </c>
      <c r="C2" t="s">
        <v>862</v>
      </c>
      <c r="D2" t="s">
        <v>863</v>
      </c>
      <c r="E2" t="s">
        <v>864</v>
      </c>
      <c r="F2" t="s">
        <v>865</v>
      </c>
      <c r="G2" t="s">
        <v>280</v>
      </c>
    </row>
    <row r="3" spans="2:7">
      <c r="B3" t="str">
        <f>Projektgrundlagen!F2&amp;" "&amp;Projektgrundlagen!B2</f>
        <v>VII.10.4 Objektplanung Gebäude und Innenräume</v>
      </c>
      <c r="C3" t="str">
        <f>Projektgrundlagen!E5</f>
        <v>B14HA150700001</v>
      </c>
      <c r="D3" t="str">
        <f>Projektgrundlagen!E6&amp;" "&amp;Projektgrundlagen!E7</f>
        <v xml:space="preserve">Neubau ASG TUM Campus Taufkirchen / Ottobrunn </v>
      </c>
      <c r="E3" t="str">
        <f>Projektgrundlagen!G5</f>
        <v>26-004187</v>
      </c>
      <c r="F3">
        <f>Projektgrundlagen!E8</f>
        <v>0</v>
      </c>
      <c r="G3" s="1128">
        <f>'E Honorarberechnung'!J144</f>
        <v>3468504.2806078619</v>
      </c>
    </row>
    <row r="7" spans="2:7">
      <c r="B7" t="s">
        <v>264</v>
      </c>
      <c r="C7" t="s">
        <v>866</v>
      </c>
      <c r="D7" t="s">
        <v>867</v>
      </c>
    </row>
    <row r="8" spans="2:7">
      <c r="B8" s="1141" t="s">
        <v>908</v>
      </c>
      <c r="C8" s="1129">
        <f>'E Honorarberechnung'!I14</f>
        <v>63715924.375</v>
      </c>
      <c r="D8">
        <v>1</v>
      </c>
    </row>
    <row r="9" spans="2:7">
      <c r="B9" s="1141" t="s">
        <v>871</v>
      </c>
      <c r="C9" s="1130">
        <f>'E Honorarberechnung'!I15</f>
        <v>4</v>
      </c>
      <c r="D9">
        <v>2</v>
      </c>
    </row>
    <row r="10" spans="2:7">
      <c r="B10" s="1141" t="s">
        <v>872</v>
      </c>
      <c r="C10" s="1129">
        <f>'E Honorarberechnung'!J36</f>
        <v>5605210.5375046246</v>
      </c>
      <c r="D10">
        <v>3</v>
      </c>
    </row>
    <row r="11" spans="2:7">
      <c r="B11" s="1141" t="s">
        <v>873</v>
      </c>
      <c r="C11" s="1129">
        <f>'E Honorarberechnung'!I40</f>
        <v>0</v>
      </c>
      <c r="D11">
        <v>4</v>
      </c>
    </row>
    <row r="12" spans="2:7">
      <c r="B12" s="1141" t="s">
        <v>874</v>
      </c>
      <c r="C12" s="1129">
        <f>'E Honorarberechnung'!I41</f>
        <v>0</v>
      </c>
      <c r="D12">
        <v>5</v>
      </c>
    </row>
    <row r="13" spans="2:7">
      <c r="B13" t="s">
        <v>909</v>
      </c>
      <c r="C13" s="1129">
        <f>'E Honorarberechnung'!J43</f>
        <v>5605210.5375046246</v>
      </c>
      <c r="D13">
        <v>6</v>
      </c>
    </row>
    <row r="14" spans="2:7">
      <c r="B14" t="s">
        <v>875</v>
      </c>
      <c r="C14" s="1129">
        <f>'E Honorarberechnung'!I53</f>
        <v>0</v>
      </c>
      <c r="D14">
        <v>7</v>
      </c>
    </row>
    <row r="15" spans="2:7">
      <c r="B15" t="s">
        <v>876</v>
      </c>
      <c r="C15" s="1129">
        <f>'E Honorarberechnung'!I56</f>
        <v>0</v>
      </c>
      <c r="D15">
        <v>8</v>
      </c>
    </row>
    <row r="16" spans="2:7">
      <c r="B16" t="s">
        <v>877</v>
      </c>
      <c r="C16" s="1129">
        <f>'E Honorarberechnung'!I63</f>
        <v>0</v>
      </c>
      <c r="D16">
        <v>9</v>
      </c>
    </row>
    <row r="17" spans="2:4">
      <c r="B17" t="s">
        <v>878</v>
      </c>
      <c r="C17" s="1129">
        <f>'F Honorarübersicht'!E17</f>
        <v>2</v>
      </c>
      <c r="D17">
        <v>10</v>
      </c>
    </row>
    <row r="18" spans="2:4">
      <c r="B18" t="s">
        <v>879</v>
      </c>
      <c r="C18" s="1129">
        <f>'F Honorarübersicht'!I17</f>
        <v>112104.21075009249</v>
      </c>
      <c r="D18">
        <v>11</v>
      </c>
    </row>
    <row r="19" spans="2:4">
      <c r="B19" t="s">
        <v>880</v>
      </c>
      <c r="C19" s="1129">
        <f>'F Honorarübersicht'!E18</f>
        <v>7</v>
      </c>
      <c r="D19">
        <v>12</v>
      </c>
    </row>
    <row r="20" spans="2:4">
      <c r="B20" t="s">
        <v>881</v>
      </c>
      <c r="C20" s="1129">
        <f>'F Honorarübersicht'!I18</f>
        <v>392364.7376253237</v>
      </c>
      <c r="D20">
        <v>13</v>
      </c>
    </row>
    <row r="21" spans="2:4">
      <c r="B21" t="s">
        <v>882</v>
      </c>
      <c r="C21" s="1129">
        <f>'F Honorarübersicht'!E19</f>
        <v>15</v>
      </c>
      <c r="D21">
        <v>14</v>
      </c>
    </row>
    <row r="22" spans="2:4">
      <c r="B22" t="s">
        <v>883</v>
      </c>
      <c r="C22" s="1129">
        <f>'F Honorarübersicht'!I19</f>
        <v>840781.58062569366</v>
      </c>
      <c r="D22">
        <v>15</v>
      </c>
    </row>
    <row r="23" spans="2:4">
      <c r="B23" t="s">
        <v>884</v>
      </c>
      <c r="C23" s="1129">
        <f>'F Honorarübersicht'!E20</f>
        <v>3</v>
      </c>
      <c r="D23">
        <v>16</v>
      </c>
    </row>
    <row r="24" spans="2:4">
      <c r="B24" t="s">
        <v>885</v>
      </c>
      <c r="C24" s="1129">
        <f>'F Honorarübersicht'!I20</f>
        <v>168156.31612513875</v>
      </c>
      <c r="D24">
        <v>17</v>
      </c>
    </row>
    <row r="25" spans="2:4">
      <c r="B25" t="s">
        <v>886</v>
      </c>
      <c r="C25" s="1129">
        <f>'F Honorarübersicht'!E22</f>
        <v>25</v>
      </c>
      <c r="D25">
        <v>18</v>
      </c>
    </row>
    <row r="26" spans="2:4">
      <c r="B26" t="s">
        <v>887</v>
      </c>
      <c r="C26" s="1129">
        <f>'F Honorarübersicht'!I22</f>
        <v>1401302.6343761561</v>
      </c>
      <c r="D26">
        <v>19</v>
      </c>
    </row>
    <row r="27" spans="2:4">
      <c r="B27" t="s">
        <v>888</v>
      </c>
      <c r="C27" s="1129">
        <f>'F Honorarübersicht'!E23</f>
        <v>0</v>
      </c>
      <c r="D27">
        <v>20</v>
      </c>
    </row>
    <row r="28" spans="2:4">
      <c r="B28" t="s">
        <v>889</v>
      </c>
      <c r="C28" s="1129">
        <f>'F Honorarübersicht'!I23</f>
        <v>0</v>
      </c>
      <c r="D28">
        <v>21</v>
      </c>
    </row>
    <row r="29" spans="2:4">
      <c r="B29" t="s">
        <v>890</v>
      </c>
      <c r="C29" s="1129">
        <f>'F Honorarübersicht'!E24</f>
        <v>0</v>
      </c>
      <c r="D29">
        <v>22</v>
      </c>
    </row>
    <row r="30" spans="2:4">
      <c r="B30" t="s">
        <v>891</v>
      </c>
      <c r="C30" s="1129">
        <f>'F Honorarübersicht'!I24</f>
        <v>0</v>
      </c>
      <c r="D30">
        <v>23</v>
      </c>
    </row>
    <row r="31" spans="2:4">
      <c r="B31" t="s">
        <v>892</v>
      </c>
      <c r="C31" s="1129">
        <f>'F Honorarübersicht'!E26</f>
        <v>0</v>
      </c>
      <c r="D31">
        <v>24</v>
      </c>
    </row>
    <row r="32" spans="2:4">
      <c r="B32" t="s">
        <v>893</v>
      </c>
      <c r="C32" s="1129">
        <f>'F Honorarübersicht'!I26</f>
        <v>0</v>
      </c>
      <c r="D32">
        <v>25</v>
      </c>
    </row>
    <row r="33" spans="2:10">
      <c r="B33" t="s">
        <v>894</v>
      </c>
      <c r="C33" s="1129">
        <f>'F Honorarübersicht'!E27</f>
        <v>0</v>
      </c>
      <c r="D33">
        <v>26</v>
      </c>
    </row>
    <row r="34" spans="2:10">
      <c r="B34" t="s">
        <v>895</v>
      </c>
      <c r="C34" s="1129">
        <f>'F Honorarübersicht'!I27</f>
        <v>0</v>
      </c>
      <c r="D34">
        <v>27</v>
      </c>
    </row>
    <row r="35" spans="2:10">
      <c r="B35" s="1131" t="s">
        <v>896</v>
      </c>
      <c r="C35" s="1132">
        <f>'F Honorarübersicht'!I29</f>
        <v>2914709.4795024046</v>
      </c>
      <c r="D35">
        <v>28</v>
      </c>
    </row>
    <row r="36" spans="2:10">
      <c r="B36" s="1131" t="s">
        <v>897</v>
      </c>
      <c r="C36" s="1132">
        <f>'F Honorarübersicht'!J29</f>
        <v>0</v>
      </c>
      <c r="D36">
        <v>29</v>
      </c>
    </row>
    <row r="37" spans="2:10">
      <c r="B37" t="s">
        <v>898</v>
      </c>
      <c r="C37" s="1129">
        <f>'F Honorarübersicht'!K29</f>
        <v>2914709.4795024046</v>
      </c>
      <c r="D37">
        <v>30</v>
      </c>
    </row>
    <row r="38" spans="2:10">
      <c r="B38" t="s">
        <v>899</v>
      </c>
      <c r="C38" s="1129">
        <f>IF('E Honorarberechnung'!L74,'E Honorarberechnung'!I74*100,"")</f>
        <v>0</v>
      </c>
      <c r="D38">
        <v>31</v>
      </c>
    </row>
    <row r="39" spans="2:10">
      <c r="B39" t="s">
        <v>900</v>
      </c>
      <c r="C39" s="1129">
        <f>'F Honorarübersicht'!L29</f>
        <v>0</v>
      </c>
      <c r="D39">
        <v>32</v>
      </c>
      <c r="J39" s="1129"/>
    </row>
    <row r="40" spans="2:10">
      <c r="B40" t="s">
        <v>901</v>
      </c>
      <c r="C40" s="1129">
        <f>'F Honorarübersicht'!M29</f>
        <v>2914709.4795024046</v>
      </c>
      <c r="D40">
        <v>33</v>
      </c>
      <c r="J40" s="1129"/>
    </row>
    <row r="41" spans="2:10">
      <c r="B41" t="s">
        <v>902</v>
      </c>
      <c r="C41" s="1129">
        <f>'E Honorarberechnung'!I96*100</f>
        <v>19</v>
      </c>
      <c r="D41">
        <v>34</v>
      </c>
      <c r="J41" s="1129"/>
    </row>
    <row r="42" spans="2:10">
      <c r="B42" t="s">
        <v>903</v>
      </c>
      <c r="C42" s="1129">
        <f>'F Honorarübersicht'!N29</f>
        <v>553794.80110545689</v>
      </c>
      <c r="D42">
        <v>35</v>
      </c>
      <c r="J42" s="1129"/>
    </row>
    <row r="43" spans="2:10">
      <c r="B43" s="1131" t="s">
        <v>904</v>
      </c>
      <c r="C43" s="1132">
        <f>'F Honorarübersicht'!O29</f>
        <v>3468504.2806078619</v>
      </c>
      <c r="D43">
        <v>36</v>
      </c>
      <c r="J43" s="1129"/>
    </row>
    <row r="44" spans="2:10">
      <c r="B44" s="1133" t="str">
        <f>"15.1 "&amp;'E Honorarberechnung'!D102</f>
        <v>15.1 Auftragnehmer</v>
      </c>
      <c r="C44" s="1129">
        <f>'E Honorarberechnung'!I102</f>
        <v>0</v>
      </c>
      <c r="D44">
        <v>37</v>
      </c>
      <c r="I44" s="1133"/>
      <c r="J44" s="1129"/>
    </row>
    <row r="45" spans="2:10">
      <c r="B45" s="1133" t="str">
        <f>"17.1 "&amp;'E Honorarberechnung'!D102&amp;"  mit "&amp;'E Honorarberechnung'!I132&amp;" Std."</f>
        <v>17.1 Auftragnehmer  mit 500 Std.</v>
      </c>
      <c r="C45" s="1129">
        <f>'E Honorarberechnung'!J132</f>
        <v>0</v>
      </c>
      <c r="D45">
        <v>38</v>
      </c>
      <c r="I45" s="1133"/>
      <c r="J45" s="1129"/>
    </row>
    <row r="46" spans="2:10">
      <c r="B46" s="1133" t="str">
        <f>"15.2 "&amp;'E Honorarberechnung'!D103</f>
        <v>15.2 Mitarbeiter (Ingenieur)</v>
      </c>
      <c r="C46" s="1129">
        <f>'E Honorarberechnung'!I103</f>
        <v>0</v>
      </c>
      <c r="D46">
        <v>39</v>
      </c>
      <c r="I46" s="1133"/>
      <c r="J46" s="1129"/>
    </row>
    <row r="47" spans="2:10">
      <c r="B47" s="1133" t="str">
        <f>"17.2 "&amp;'E Honorarberechnung'!D103&amp;"  mit "&amp;'E Honorarberechnung'!I133&amp;" Std."</f>
        <v>17.2 Mitarbeiter (Ingenieur)  mit 500 Std.</v>
      </c>
      <c r="C47" s="1129">
        <f>'E Honorarberechnung'!J133</f>
        <v>0</v>
      </c>
      <c r="D47">
        <v>40</v>
      </c>
      <c r="I47" s="1133"/>
      <c r="J47" s="1129"/>
    </row>
    <row r="48" spans="2:10">
      <c r="B48" s="1133" t="str">
        <f>"15.3 "&amp;'E Honorarberechnung'!D104</f>
        <v xml:space="preserve">15.3 Technische Zeichner, sonst. Mitarbeiter </v>
      </c>
      <c r="C48" s="1129">
        <f>'E Honorarberechnung'!I104</f>
        <v>0</v>
      </c>
      <c r="D48">
        <v>41</v>
      </c>
      <c r="I48" s="1133"/>
      <c r="J48" s="1129"/>
    </row>
    <row r="49" spans="2:10">
      <c r="B49" s="1133" t="str">
        <f>"17.3 "&amp;'E Honorarberechnung'!D104&amp;"  mit "&amp;'E Honorarberechnung'!I134&amp;" Std."</f>
        <v>17.3 Technische Zeichner, sonst. Mitarbeiter   mit 500 Std.</v>
      </c>
      <c r="C49" s="1129">
        <f>'E Honorarberechnung'!J134</f>
        <v>0</v>
      </c>
      <c r="D49">
        <v>42</v>
      </c>
      <c r="I49" s="1133"/>
      <c r="J49" s="1129"/>
    </row>
    <row r="50" spans="2:10">
      <c r="B50" s="1133" t="str">
        <f>"18 "&amp;'E Honorarberechnung'!C135</f>
        <v xml:space="preserve">18 Sonstige Vereinbarungen: </v>
      </c>
      <c r="C50" s="1129" t="str">
        <f>IFERROR('E Honorarberechnung'!J136+'E Honorarberechnung'!J137,"")</f>
        <v/>
      </c>
      <c r="D50">
        <v>43</v>
      </c>
      <c r="I50" s="1133"/>
      <c r="J50" s="1129"/>
    </row>
    <row r="51" spans="2:10">
      <c r="B51" t="s">
        <v>905</v>
      </c>
      <c r="C51" s="1129">
        <f>'E Honorarberechnung'!J141</f>
        <v>2914709.479502405</v>
      </c>
      <c r="D51">
        <v>44</v>
      </c>
      <c r="J51" s="1129"/>
    </row>
    <row r="52" spans="2:10">
      <c r="B52" t="s">
        <v>906</v>
      </c>
      <c r="C52" s="1129">
        <f>'E Honorarberechnung'!J142</f>
        <v>553794.80110545701</v>
      </c>
      <c r="D52">
        <v>45</v>
      </c>
      <c r="J52" s="1129"/>
    </row>
    <row r="53" spans="2:10">
      <c r="B53" s="1131" t="s">
        <v>907</v>
      </c>
      <c r="C53" s="1132">
        <f>'E Honorarberechnung'!J144</f>
        <v>3468504.2806078619</v>
      </c>
      <c r="D53">
        <v>46</v>
      </c>
      <c r="J53" s="1129"/>
    </row>
    <row r="54" spans="2:10">
      <c r="C54" s="1129"/>
      <c r="E54" s="1129"/>
    </row>
    <row r="55" spans="2:10">
      <c r="B55" s="1131"/>
      <c r="C55" s="1132"/>
    </row>
    <row r="56" spans="2:10">
      <c r="B56" s="1131"/>
      <c r="C56" s="1132"/>
    </row>
    <row r="57" spans="2:10">
      <c r="B57" s="1131"/>
      <c r="C57" s="1132"/>
    </row>
    <row r="58" spans="2:10">
      <c r="B58" s="1136" t="s">
        <v>868</v>
      </c>
      <c r="C58" s="1142" t="s">
        <v>49</v>
      </c>
      <c r="D58" s="1142" t="s">
        <v>48</v>
      </c>
      <c r="E58" s="1142" t="s">
        <v>869</v>
      </c>
      <c r="F58" s="1137" t="s">
        <v>870</v>
      </c>
    </row>
    <row r="59" spans="2:10">
      <c r="B59" t="str">
        <f>IF(AND(Projektgrundlagen!$I$25,'HB-D1 Besondere Lstg Land'!M13=TRUE),'HB-D1 Besondere Lstg Land'!C13&amp;" "&amp;'HB-D1 Besondere Lstg Land'!F13&amp;" "&amp;'HB-D1 Besondere Lstg Land'!F14,IF(AND(Projektgrundlagen!$I$26,'HB-D2 Besondere Lstg Bund'!M13=TRUE),'HB-D2 Besondere Lstg Bund'!C13&amp;" "&amp;'HB-D2 Besondere Lstg Bund'!F13&amp;" "&amp;'HB-D2 Besondere Lstg Bund'!F14,""))</f>
        <v/>
      </c>
      <c r="C59" s="1129"/>
      <c r="D59" s="1129" t="str">
        <f>IF(AND(Projektgrundlagen!$I$25,'HB-D1 Besondere Lstg Land'!M13=TRUE),(IF('HB-D1 Besondere Lstg Land'!H13&gt;0,"v.H.","pauschal")),IF(AND(Projektgrundlagen!$I$26,'HB-D2 Besondere Lstg Bund'!M13=TRUE),(IF('HB-D2 Besondere Lstg Bund'!H13&gt;0,"v.H.","pauschal")),""))</f>
        <v/>
      </c>
      <c r="E59" s="1129" t="str">
        <f>IF(AND(Projektgrundlagen!$I$25,'HB-D1 Besondere Lstg Land'!M13=TRUE),'HB-D1 Besondere Lstg Land'!H13+'HB-D1 Besondere Lstg Land'!J13,IF(AND(Projektgrundlagen!$I$26,'HB-D2 Besondere Lstg Bund'!M13=TRUE),'HB-D2 Besondere Lstg Bund'!H13+'HB-D2 Besondere Lstg Bund'!J13,""))</f>
        <v/>
      </c>
      <c r="F59" s="1129" t="str">
        <f>IF(AND(Projektgrundlagen!$I$25,'HB-D1 Besondere Lstg Land'!M13=TRUE),'HB-D1 Besondere Lstg Land'!K13,IF(AND(Projektgrundlagen!$I$26,'HB-D2 Besondere Lstg Bund'!M13=TRUE),'HB-D2 Besondere Lstg Bund'!K13,""))</f>
        <v/>
      </c>
    </row>
    <row r="60" spans="2:10">
      <c r="B60" t="str">
        <f>IF(AND(Projektgrundlagen!$I$25,'HB-D1 Besondere Lstg Land'!M14=TRUE),'HB-D1 Besondere Lstg Land'!C14&amp;" "&amp;'HB-D1 Besondere Lstg Land'!F14&amp;" "&amp;'HB-D1 Besondere Lstg Land'!F15,IF(AND(Projektgrundlagen!$I$26,'HB-D2 Besondere Lstg Bund'!M14=TRUE),'HB-D2 Besondere Lstg Bund'!C14&amp;" "&amp;'HB-D2 Besondere Lstg Bund'!F14&amp;" "&amp;'HB-D2 Besondere Lstg Bund'!F15,""))</f>
        <v xml:space="preserve">1.01 Bestandsaufnahme </v>
      </c>
      <c r="C60" s="1129"/>
      <c r="D60" s="1129" t="str">
        <f>IF(AND(Projektgrundlagen!$I$25,'HB-D1 Besondere Lstg Land'!M14=TRUE),(IF('HB-D1 Besondere Lstg Land'!H14&gt;0,"v.H.","pauschal")),IF(AND(Projektgrundlagen!$I$26,'HB-D2 Besondere Lstg Bund'!M14=TRUE),(IF('HB-D2 Besondere Lstg Bund'!H14&gt;0,"v.H.","pauschal")),""))</f>
        <v>pauschal</v>
      </c>
      <c r="E60" s="1129">
        <f>IF(AND(Projektgrundlagen!$I$25,'HB-D1 Besondere Lstg Land'!M14=TRUE),'HB-D1 Besondere Lstg Land'!H14+'HB-D1 Besondere Lstg Land'!J14,IF(AND(Projektgrundlagen!$I$26,'HB-D2 Besondere Lstg Bund'!M14=TRUE),'HB-D2 Besondere Lstg Bund'!H14+'HB-D2 Besondere Lstg Bund'!J14,""))</f>
        <v>0</v>
      </c>
      <c r="F60" s="1129">
        <f>IF(AND(Projektgrundlagen!$I$25,'HB-D1 Besondere Lstg Land'!M14=TRUE),'HB-D1 Besondere Lstg Land'!K14,IF(AND(Projektgrundlagen!$I$26,'HB-D2 Besondere Lstg Bund'!M14=TRUE),'HB-D2 Besondere Lstg Bund'!K14,""))</f>
        <v>0</v>
      </c>
    </row>
    <row r="61" spans="2:10">
      <c r="B61" t="str">
        <f>IF(AND(Projektgrundlagen!$I$25,'HB-D1 Besondere Lstg Land'!M15=TRUE),'HB-D1 Besondere Lstg Land'!C15&amp;" "&amp;'HB-D1 Besondere Lstg Land'!F15&amp;" "&amp;'HB-D1 Besondere Lstg Land'!F44,IF(AND(Projektgrundlagen!$I$26,'HB-D2 Besondere Lstg Bund'!M15=TRUE),'HB-D2 Besondere Lstg Bund'!C15&amp;" "&amp;'HB-D2 Besondere Lstg Bund'!F15&amp;" "&amp;'HB-D2 Besondere Lstg Bund'!F16,""))</f>
        <v/>
      </c>
      <c r="C61" s="1129"/>
      <c r="D61" s="1129" t="str">
        <f>IF(AND(Projektgrundlagen!$I$25,'HB-D1 Besondere Lstg Land'!M15=TRUE),(IF('HB-D1 Besondere Lstg Land'!H15&gt;0,"v.H.","pauschal")),IF(AND(Projektgrundlagen!$I$26,'HB-D2 Besondere Lstg Bund'!M15=TRUE),(IF('HB-D2 Besondere Lstg Bund'!H15&gt;0,"v.H.","pauschal")),""))</f>
        <v/>
      </c>
      <c r="E61" s="1129" t="str">
        <f>IF(AND(Projektgrundlagen!$I$25,'HB-D1 Besondere Lstg Land'!M15=TRUE),'HB-D1 Besondere Lstg Land'!H15+'HB-D1 Besondere Lstg Land'!J15,IF(AND(Projektgrundlagen!$I$26,'HB-D2 Besondere Lstg Bund'!M15=TRUE),'HB-D2 Besondere Lstg Bund'!H15+'HB-D2 Besondere Lstg Bund'!J15,""))</f>
        <v/>
      </c>
      <c r="F61" s="1129" t="str">
        <f>IF(AND(Projektgrundlagen!$I$25,'HB-D1 Besondere Lstg Land'!M15=TRUE),'HB-D1 Besondere Lstg Land'!K15,IF(AND(Projektgrundlagen!$I$26,'HB-D2 Besondere Lstg Bund'!M15=TRUE),'HB-D2 Besondere Lstg Bund'!K15,""))</f>
        <v/>
      </c>
    </row>
    <row r="62" spans="2:10">
      <c r="B62" t="str">
        <f>IF(AND(Projektgrundlagen!$I$25,'HB-D1 Besondere Lstg Land'!M44=TRUE),'HB-D1 Besondere Lstg Land'!C44&amp;" "&amp;'HB-D1 Besondere Lstg Land'!F44&amp;" "&amp;'HB-D1 Besondere Lstg Land'!F45,IF(AND(Projektgrundlagen!$I$26,'HB-D2 Besondere Lstg Bund'!M16=TRUE),'HB-D2 Besondere Lstg Bund'!C16&amp;" "&amp;'HB-D2 Besondere Lstg Bund'!F16&amp;" "&amp;'HB-D2 Besondere Lstg Bund'!F17,""))</f>
        <v/>
      </c>
      <c r="C62" s="1129"/>
      <c r="D62" s="1129" t="str">
        <f>IF(AND(Projektgrundlagen!$I$25,'HB-D1 Besondere Lstg Land'!M44=TRUE),(IF('HB-D1 Besondere Lstg Land'!H44&gt;0,"v.H.","pauschal")),IF(AND(Projektgrundlagen!$I$26,'HB-D2 Besondere Lstg Bund'!M16=TRUE),(IF('HB-D2 Besondere Lstg Bund'!H16&gt;0,"v.H.","pauschal")),""))</f>
        <v/>
      </c>
      <c r="E62" s="1129" t="str">
        <f>IF(AND(Projektgrundlagen!$I$25,'HB-D1 Besondere Lstg Land'!M44=TRUE),'HB-D1 Besondere Lstg Land'!H44+'HB-D1 Besondere Lstg Land'!J44,IF(AND(Projektgrundlagen!$I$26,'HB-D2 Besondere Lstg Bund'!M16=TRUE),'HB-D2 Besondere Lstg Bund'!H16+'HB-D2 Besondere Lstg Bund'!J16,""))</f>
        <v/>
      </c>
      <c r="F62" s="1129" t="str">
        <f>IF(AND(Projektgrundlagen!$I$25,'HB-D1 Besondere Lstg Land'!M44=TRUE),'HB-D1 Besondere Lstg Land'!K44,IF(AND(Projektgrundlagen!$I$26,'HB-D2 Besondere Lstg Bund'!M16=TRUE),'HB-D2 Besondere Lstg Bund'!K16,""))</f>
        <v/>
      </c>
    </row>
    <row r="63" spans="2:10">
      <c r="B63" t="str">
        <f>IF(AND(Projektgrundlagen!$I$25,'HB-D1 Besondere Lstg Land'!M45=TRUE),'HB-D1 Besondere Lstg Land'!C45&amp;" "&amp;'HB-D1 Besondere Lstg Land'!F45&amp;" "&amp;'HB-D1 Besondere Lstg Land'!F50,IF(AND(Projektgrundlagen!$I$26,'HB-D2 Besondere Lstg Bund'!M17=TRUE),'HB-D2 Besondere Lstg Bund'!C17&amp;" "&amp;'HB-D2 Besondere Lstg Bund'!F17&amp;" "&amp;'HB-D2 Besondere Lstg Bund'!F18,""))</f>
        <v/>
      </c>
      <c r="C63" s="1129"/>
      <c r="D63" s="1129" t="str">
        <f>IF(AND(Projektgrundlagen!$I$25,'HB-D1 Besondere Lstg Land'!M45=TRUE),(IF('HB-D1 Besondere Lstg Land'!H45&gt;0,"v.H.","pauschal")),IF(AND(Projektgrundlagen!$I$26,'HB-D2 Besondere Lstg Bund'!M17=TRUE),(IF('HB-D2 Besondere Lstg Bund'!H17&gt;0,"v.H.","pauschal")),""))</f>
        <v/>
      </c>
      <c r="E63" s="1129" t="str">
        <f>IF(AND(Projektgrundlagen!$I$25,'HB-D1 Besondere Lstg Land'!M45=TRUE),'HB-D1 Besondere Lstg Land'!H45+'HB-D1 Besondere Lstg Land'!J45,IF(AND(Projektgrundlagen!$I$26,'HB-D2 Besondere Lstg Bund'!M17=TRUE),'HB-D2 Besondere Lstg Bund'!H17+'HB-D2 Besondere Lstg Bund'!J17,""))</f>
        <v/>
      </c>
      <c r="F63" s="1129" t="str">
        <f>IF(AND(Projektgrundlagen!$I$25,'HB-D1 Besondere Lstg Land'!M45=TRUE),'HB-D1 Besondere Lstg Land'!K45,IF(AND(Projektgrundlagen!$I$26,'HB-D2 Besondere Lstg Bund'!M17=TRUE),'HB-D2 Besondere Lstg Bund'!K17,""))</f>
        <v/>
      </c>
    </row>
    <row r="64" spans="2:10" ht="15">
      <c r="B64" t="str">
        <f>IF(AND(Projektgrundlagen!$I$25,'HB-D1 Besondere Lstg Land'!M50=TRUE),'HB-D1 Besondere Lstg Land'!C50&amp;" "&amp;'HB-D1 Besondere Lstg Land'!F50&amp;" "&amp;'HB-D1 Besondere Lstg Land'!F51,IF(AND(Projektgrundlagen!$I$26,'HB-D2 Besondere Lstg Bund'!M18=TRUE),'HB-D2 Besondere Lstg Bund'!C18&amp;" "&amp;'HB-D2 Besondere Lstg Bund'!F18&amp;" "&amp;'HB-D2 Besondere Lstg Bund'!F19,""))</f>
        <v/>
      </c>
      <c r="C64" s="1129"/>
      <c r="D64" s="1129" t="str">
        <f>IF(AND(Projektgrundlagen!$I$25,'HB-D1 Besondere Lstg Land'!M50=TRUE),(IF('HB-D1 Besondere Lstg Land'!H50&gt;0,"v.H.","pauschal")),IF(AND(Projektgrundlagen!$I$26,'HB-D2 Besondere Lstg Bund'!M18=TRUE),(IF('HB-D2 Besondere Lstg Bund'!H18&gt;0,"v.H.","pauschal")),""))</f>
        <v/>
      </c>
      <c r="E64" s="1129" t="str">
        <f>IF(AND(Projektgrundlagen!$I$25,'HB-D1 Besondere Lstg Land'!M50=TRUE),'HB-D1 Besondere Lstg Land'!H50+'HB-D1 Besondere Lstg Land'!J50,IF(AND(Projektgrundlagen!$I$26,'HB-D2 Besondere Lstg Bund'!M18=TRUE),'HB-D2 Besondere Lstg Bund'!H18+'HB-D2 Besondere Lstg Bund'!J18,""))</f>
        <v/>
      </c>
      <c r="F64" s="1129" t="str">
        <f>IF(AND(Projektgrundlagen!$I$25,'HB-D1 Besondere Lstg Land'!M50=TRUE),'HB-D1 Besondere Lstg Land'!K50,IF(AND(Projektgrundlagen!$I$26,'HB-D2 Besondere Lstg Bund'!M18=TRUE),'HB-D2 Besondere Lstg Bund'!K18,""))</f>
        <v/>
      </c>
      <c r="G64" s="1134"/>
      <c r="H64" s="1135"/>
    </row>
    <row r="65" spans="2:8" ht="15">
      <c r="B65" t="str">
        <f>IF(AND(Projektgrundlagen!$I$25,'HB-D1 Besondere Lstg Land'!M51=TRUE),'HB-D1 Besondere Lstg Land'!C51&amp;" "&amp;'HB-D1 Besondere Lstg Land'!F51&amp;" "&amp;'HB-D1 Besondere Lstg Land'!F52,IF(AND(Projektgrundlagen!$I$26,'HB-D2 Besondere Lstg Bund'!M19=TRUE),'HB-D2 Besondere Lstg Bund'!C19&amp;" "&amp;'HB-D2 Besondere Lstg Bund'!F19&amp;" "&amp;'HB-D2 Besondere Lstg Bund'!F20,""))</f>
        <v/>
      </c>
      <c r="C65" s="1129"/>
      <c r="D65" s="1129" t="str">
        <f>IF(AND(Projektgrundlagen!$I$25,'HB-D1 Besondere Lstg Land'!M51=TRUE),(IF('HB-D1 Besondere Lstg Land'!H51&gt;0,"v.H.","pauschal")),IF(AND(Projektgrundlagen!$I$26,'HB-D2 Besondere Lstg Bund'!M19=TRUE),(IF('HB-D2 Besondere Lstg Bund'!H19&gt;0,"v.H.","pauschal")),""))</f>
        <v/>
      </c>
      <c r="E65" s="1129" t="str">
        <f>IF(AND(Projektgrundlagen!$I$25,'HB-D1 Besondere Lstg Land'!M51=TRUE),'HB-D1 Besondere Lstg Land'!H51+'HB-D1 Besondere Lstg Land'!J51,IF(AND(Projektgrundlagen!$I$26,'HB-D2 Besondere Lstg Bund'!M19=TRUE),'HB-D2 Besondere Lstg Bund'!H19+'HB-D2 Besondere Lstg Bund'!J19,""))</f>
        <v/>
      </c>
      <c r="F65" s="1129" t="str">
        <f>IF(AND(Projektgrundlagen!$I$25,'HB-D1 Besondere Lstg Land'!M51=TRUE),'HB-D1 Besondere Lstg Land'!K51,IF(AND(Projektgrundlagen!$I$26,'HB-D2 Besondere Lstg Bund'!M19=TRUE),'HB-D2 Besondere Lstg Bund'!K19,""))</f>
        <v/>
      </c>
      <c r="G65" s="1134"/>
      <c r="H65" s="1135"/>
    </row>
    <row r="66" spans="2:8" ht="15">
      <c r="B66" t="str">
        <f>IF(AND(Projektgrundlagen!$I$25,'HB-D1 Besondere Lstg Land'!M52=TRUE),'HB-D1 Besondere Lstg Land'!C52&amp;" "&amp;'HB-D1 Besondere Lstg Land'!F52&amp;" "&amp;'HB-D1 Besondere Lstg Land'!F53,IF(AND(Projektgrundlagen!$I$26,'HB-D2 Besondere Lstg Bund'!M20=TRUE),'HB-D2 Besondere Lstg Bund'!C20&amp;" "&amp;'HB-D2 Besondere Lstg Bund'!F20&amp;" "&amp;'HB-D2 Besondere Lstg Bund'!F21,""))</f>
        <v/>
      </c>
      <c r="C66" s="1129"/>
      <c r="D66" s="1129" t="str">
        <f>IF(AND(Projektgrundlagen!$I$25,'HB-D1 Besondere Lstg Land'!M52=TRUE),(IF('HB-D1 Besondere Lstg Land'!H52&gt;0,"v.H.","pauschal")),IF(AND(Projektgrundlagen!$I$26,'HB-D2 Besondere Lstg Bund'!M20=TRUE),(IF('HB-D2 Besondere Lstg Bund'!H20&gt;0,"v.H.","pauschal")),""))</f>
        <v/>
      </c>
      <c r="E66" s="1129" t="str">
        <f>IF(AND(Projektgrundlagen!$I$25,'HB-D1 Besondere Lstg Land'!M52=TRUE),'HB-D1 Besondere Lstg Land'!H52+'HB-D1 Besondere Lstg Land'!J52,IF(AND(Projektgrundlagen!$I$26,'HB-D2 Besondere Lstg Bund'!M20=TRUE),'HB-D2 Besondere Lstg Bund'!H20+'HB-D2 Besondere Lstg Bund'!J20,""))</f>
        <v/>
      </c>
      <c r="F66" s="1129" t="str">
        <f>IF(AND(Projektgrundlagen!$I$25,'HB-D1 Besondere Lstg Land'!M52=TRUE),'HB-D1 Besondere Lstg Land'!K52,IF(AND(Projektgrundlagen!$I$26,'HB-D2 Besondere Lstg Bund'!M20=TRUE),'HB-D2 Besondere Lstg Bund'!K20,""))</f>
        <v/>
      </c>
      <c r="G66" s="1134"/>
      <c r="H66" s="1135"/>
    </row>
    <row r="67" spans="2:8" ht="15">
      <c r="B67" t="str">
        <f>IF(AND(Projektgrundlagen!$I$25,'HB-D1 Besondere Lstg Land'!M53=TRUE),'HB-D1 Besondere Lstg Land'!C53&amp;" "&amp;'HB-D1 Besondere Lstg Land'!F53&amp;" "&amp;'HB-D1 Besondere Lstg Land'!F54,IF(AND(Projektgrundlagen!$I$26,'HB-D2 Besondere Lstg Bund'!M21=TRUE),'HB-D2 Besondere Lstg Bund'!C21&amp;" "&amp;'HB-D2 Besondere Lstg Bund'!F21&amp;" "&amp;'HB-D2 Besondere Lstg Bund'!F22,""))</f>
        <v/>
      </c>
      <c r="C67" s="1129"/>
      <c r="D67" s="1129" t="str">
        <f>IF(AND(Projektgrundlagen!$I$25,'HB-D1 Besondere Lstg Land'!M53=TRUE),(IF('HB-D1 Besondere Lstg Land'!H53&gt;0,"v.H.","pauschal")),IF(AND(Projektgrundlagen!$I$26,'HB-D2 Besondere Lstg Bund'!M21=TRUE),(IF('HB-D2 Besondere Lstg Bund'!H21&gt;0,"v.H.","pauschal")),""))</f>
        <v/>
      </c>
      <c r="E67" s="1129" t="str">
        <f>IF(AND(Projektgrundlagen!$I$25,'HB-D1 Besondere Lstg Land'!M53=TRUE),'HB-D1 Besondere Lstg Land'!H53+'HB-D1 Besondere Lstg Land'!J53,IF(AND(Projektgrundlagen!$I$26,'HB-D2 Besondere Lstg Bund'!M21=TRUE),'HB-D2 Besondere Lstg Bund'!H21+'HB-D2 Besondere Lstg Bund'!J21,""))</f>
        <v/>
      </c>
      <c r="F67" s="1129" t="str">
        <f>IF(AND(Projektgrundlagen!$I$25,'HB-D1 Besondere Lstg Land'!M53=TRUE),'HB-D1 Besondere Lstg Land'!K53,IF(AND(Projektgrundlagen!$I$26,'HB-D2 Besondere Lstg Bund'!M21=TRUE),'HB-D2 Besondere Lstg Bund'!K21,""))</f>
        <v/>
      </c>
      <c r="G67" s="1134"/>
      <c r="H67" s="1135"/>
    </row>
    <row r="68" spans="2:8" ht="15">
      <c r="B68" t="str">
        <f>IF(AND(Projektgrundlagen!$I$25,'HB-D1 Besondere Lstg Land'!M54=TRUE),'HB-D1 Besondere Lstg Land'!C54&amp;" "&amp;'HB-D1 Besondere Lstg Land'!F54&amp;" "&amp;'HB-D1 Besondere Lstg Land'!F55,IF(AND(Projektgrundlagen!$I$26,'HB-D2 Besondere Lstg Bund'!M22=TRUE),'HB-D2 Besondere Lstg Bund'!C22&amp;" "&amp;'HB-D2 Besondere Lstg Bund'!F22&amp;" "&amp;'HB-D2 Besondere Lstg Bund'!F23,""))</f>
        <v/>
      </c>
      <c r="C68" s="1129"/>
      <c r="D68" s="1129" t="str">
        <f>IF(AND(Projektgrundlagen!$I$25,'HB-D1 Besondere Lstg Land'!M54=TRUE),(IF('HB-D1 Besondere Lstg Land'!H54&gt;0,"v.H.","pauschal")),IF(AND(Projektgrundlagen!$I$26,'HB-D2 Besondere Lstg Bund'!M22=TRUE),(IF('HB-D2 Besondere Lstg Bund'!H22&gt;0,"v.H.","pauschal")),""))</f>
        <v/>
      </c>
      <c r="E68" s="1129" t="str">
        <f>IF(AND(Projektgrundlagen!$I$25,'HB-D1 Besondere Lstg Land'!M54=TRUE),'HB-D1 Besondere Lstg Land'!H54+'HB-D1 Besondere Lstg Land'!J54,IF(AND(Projektgrundlagen!$I$26,'HB-D2 Besondere Lstg Bund'!M22=TRUE),'HB-D2 Besondere Lstg Bund'!H22+'HB-D2 Besondere Lstg Bund'!J22,""))</f>
        <v/>
      </c>
      <c r="F68" s="1129" t="str">
        <f>IF(AND(Projektgrundlagen!$I$25,'HB-D1 Besondere Lstg Land'!M54=TRUE),'HB-D1 Besondere Lstg Land'!K54,IF(AND(Projektgrundlagen!$I$26,'HB-D2 Besondere Lstg Bund'!M22=TRUE),'HB-D2 Besondere Lstg Bund'!K22,""))</f>
        <v/>
      </c>
      <c r="G68" s="1134"/>
      <c r="H68" s="1135"/>
    </row>
    <row r="69" spans="2:8" ht="15">
      <c r="B69" t="str">
        <f>IF(AND(Projektgrundlagen!$I$25,'HB-D1 Besondere Lstg Land'!M55=TRUE),'HB-D1 Besondere Lstg Land'!C55&amp;" "&amp;'HB-D1 Besondere Lstg Land'!F55&amp;" "&amp;'HB-D1 Besondere Lstg Land'!F56,IF(AND(Projektgrundlagen!$I$26,'HB-D2 Besondere Lstg Bund'!M23=TRUE),'HB-D2 Besondere Lstg Bund'!C23&amp;" "&amp;'HB-D2 Besondere Lstg Bund'!F23&amp;" "&amp;'HB-D2 Besondere Lstg Bund'!F24,""))</f>
        <v/>
      </c>
      <c r="C69" s="1129"/>
      <c r="D69" s="1129" t="str">
        <f>IF(AND(Projektgrundlagen!$I$25,'HB-D1 Besondere Lstg Land'!M55=TRUE),(IF('HB-D1 Besondere Lstg Land'!H55&gt;0,"v.H.","pauschal")),IF(AND(Projektgrundlagen!$I$26,'HB-D2 Besondere Lstg Bund'!M23=TRUE),(IF('HB-D2 Besondere Lstg Bund'!H23&gt;0,"v.H.","pauschal")),""))</f>
        <v/>
      </c>
      <c r="E69" s="1129" t="str">
        <f>IF(AND(Projektgrundlagen!$I$25,'HB-D1 Besondere Lstg Land'!M55=TRUE),'HB-D1 Besondere Lstg Land'!H55+'HB-D1 Besondere Lstg Land'!J55,IF(AND(Projektgrundlagen!$I$26,'HB-D2 Besondere Lstg Bund'!M23=TRUE),'HB-D2 Besondere Lstg Bund'!H23+'HB-D2 Besondere Lstg Bund'!J23,""))</f>
        <v/>
      </c>
      <c r="F69" s="1129" t="str">
        <f>IF(AND(Projektgrundlagen!$I$25,'HB-D1 Besondere Lstg Land'!M55=TRUE),'HB-D1 Besondere Lstg Land'!K55,IF(AND(Projektgrundlagen!$I$26,'HB-D2 Besondere Lstg Bund'!M23=TRUE),'HB-D2 Besondere Lstg Bund'!K23,""))</f>
        <v/>
      </c>
      <c r="G69" s="1134"/>
      <c r="H69" s="1135"/>
    </row>
    <row r="70" spans="2:8" ht="15">
      <c r="B70" t="str">
        <f>IF(AND(Projektgrundlagen!$I$25,'HB-D1 Besondere Lstg Land'!M56=TRUE),'HB-D1 Besondere Lstg Land'!C56&amp;" "&amp;'HB-D1 Besondere Lstg Land'!F56&amp;" "&amp;'HB-D1 Besondere Lstg Land'!F57,IF(AND(Projektgrundlagen!$I$26,'HB-D2 Besondere Lstg Bund'!M24=TRUE),'HB-D2 Besondere Lstg Bund'!C24&amp;" "&amp;'HB-D2 Besondere Lstg Bund'!F24&amp;" "&amp;'HB-D2 Besondere Lstg Bund'!F25,""))</f>
        <v/>
      </c>
      <c r="C70" s="1129"/>
      <c r="D70" s="1129" t="str">
        <f>IF(AND(Projektgrundlagen!$I$25,'HB-D1 Besondere Lstg Land'!M56=TRUE),(IF('HB-D1 Besondere Lstg Land'!H56&gt;0,"v.H.","pauschal")),IF(AND(Projektgrundlagen!$I$26,'HB-D2 Besondere Lstg Bund'!M24=TRUE),(IF('HB-D2 Besondere Lstg Bund'!H24&gt;0,"v.H.","pauschal")),""))</f>
        <v/>
      </c>
      <c r="E70" s="1129" t="str">
        <f>IF(AND(Projektgrundlagen!$I$25,'HB-D1 Besondere Lstg Land'!M56=TRUE),'HB-D1 Besondere Lstg Land'!H56+'HB-D1 Besondere Lstg Land'!J56,IF(AND(Projektgrundlagen!$I$26,'HB-D2 Besondere Lstg Bund'!M24=TRUE),'HB-D2 Besondere Lstg Bund'!H24+'HB-D2 Besondere Lstg Bund'!J24,""))</f>
        <v/>
      </c>
      <c r="F70" s="1129" t="str">
        <f>IF(AND(Projektgrundlagen!$I$25,'HB-D1 Besondere Lstg Land'!M56=TRUE),'HB-D1 Besondere Lstg Land'!K56,IF(AND(Projektgrundlagen!$I$26,'HB-D2 Besondere Lstg Bund'!M24=TRUE),'HB-D2 Besondere Lstg Bund'!K24,""))</f>
        <v/>
      </c>
      <c r="G70" s="1134"/>
      <c r="H70" s="1135"/>
    </row>
    <row r="71" spans="2:8" ht="15">
      <c r="B71" t="str">
        <f>IF(AND(Projektgrundlagen!$I$25,'HB-D1 Besondere Lstg Land'!M57=TRUE),'HB-D1 Besondere Lstg Land'!C57&amp;" "&amp;'HB-D1 Besondere Lstg Land'!F57&amp;" "&amp;'HB-D1 Besondere Lstg Land'!F58,IF(AND(Projektgrundlagen!$I$26,'HB-D2 Besondere Lstg Bund'!M25=TRUE),'HB-D2 Besondere Lstg Bund'!C25&amp;" "&amp;'HB-D2 Besondere Lstg Bund'!F25&amp;" "&amp;'HB-D2 Besondere Lstg Bund'!F26,""))</f>
        <v xml:space="preserve">2.02 Erarbeiten und Erstellen von besonderen bauordnungsrechtlichen Nachweisen für den vorbeugenden und organisatorischen Brandschutz bei baulichen Anlagen besonderer Art und Nutzung, Bestandsbauten oder im Falle von Abweichungen von der Bauordnung. </v>
      </c>
      <c r="C71" s="1129"/>
      <c r="D71" s="1129" t="str">
        <f>IF(AND(Projektgrundlagen!$I$25,'HB-D1 Besondere Lstg Land'!M57=TRUE),(IF('HB-D1 Besondere Lstg Land'!H57&gt;0,"v.H.","pauschal")),IF(AND(Projektgrundlagen!$I$26,'HB-D2 Besondere Lstg Bund'!M25=TRUE),(IF('HB-D2 Besondere Lstg Bund'!H25&gt;0,"v.H.","pauschal")),""))</f>
        <v>pauschal</v>
      </c>
      <c r="E71" s="1129">
        <f>IF(AND(Projektgrundlagen!$I$25,'HB-D1 Besondere Lstg Land'!M57=TRUE),'HB-D1 Besondere Lstg Land'!H57+'HB-D1 Besondere Lstg Land'!J57,IF(AND(Projektgrundlagen!$I$26,'HB-D2 Besondere Lstg Bund'!M25=TRUE),'HB-D2 Besondere Lstg Bund'!H25+'HB-D2 Besondere Lstg Bund'!J25,""))</f>
        <v>0</v>
      </c>
      <c r="F71" s="1129">
        <f>IF(AND(Projektgrundlagen!$I$25,'HB-D1 Besondere Lstg Land'!M57=TRUE),'HB-D1 Besondere Lstg Land'!K57,IF(AND(Projektgrundlagen!$I$26,'HB-D2 Besondere Lstg Bund'!M25=TRUE),'HB-D2 Besondere Lstg Bund'!K25,""))</f>
        <v>0</v>
      </c>
      <c r="G71" s="1134"/>
      <c r="H71" s="1135"/>
    </row>
    <row r="72" spans="2:8" ht="15">
      <c r="B72" t="str">
        <f>IF(AND(Projektgrundlagen!$I$25,'HB-D1 Besondere Lstg Land'!M58=TRUE),'HB-D1 Besondere Lstg Land'!C58&amp;" "&amp;'HB-D1 Besondere Lstg Land'!F58&amp;" "&amp;'HB-D1 Besondere Lstg Land'!F59,IF(AND(Projektgrundlagen!$I$26,'HB-D2 Besondere Lstg Bund'!M26=TRUE),'HB-D2 Besondere Lstg Bund'!C26&amp;" "&amp;'HB-D2 Besondere Lstg Bund'!F26&amp;" "&amp;'HB-D2 Besondere Lstg Bund'!F27,""))</f>
        <v/>
      </c>
      <c r="C72" s="1129"/>
      <c r="D72" s="1129" t="str">
        <f>IF(AND(Projektgrundlagen!$I$25,'HB-D1 Besondere Lstg Land'!M58=TRUE),(IF('HB-D1 Besondere Lstg Land'!H58&gt;0,"v.H.","pauschal")),IF(AND(Projektgrundlagen!$I$26,'HB-D2 Besondere Lstg Bund'!M26=TRUE),(IF('HB-D2 Besondere Lstg Bund'!H26&gt;0,"v.H.","pauschal")),""))</f>
        <v/>
      </c>
      <c r="E72" s="1129" t="str">
        <f>IF(AND(Projektgrundlagen!$I$25,'HB-D1 Besondere Lstg Land'!M58=TRUE),'HB-D1 Besondere Lstg Land'!H58+'HB-D1 Besondere Lstg Land'!J58,IF(AND(Projektgrundlagen!$I$26,'HB-D2 Besondere Lstg Bund'!M26=TRUE),'HB-D2 Besondere Lstg Bund'!H26+'HB-D2 Besondere Lstg Bund'!J26,""))</f>
        <v/>
      </c>
      <c r="F72" s="1129" t="str">
        <f>IF(AND(Projektgrundlagen!$I$25,'HB-D1 Besondere Lstg Land'!M58=TRUE),'HB-D1 Besondere Lstg Land'!K58,IF(AND(Projektgrundlagen!$I$26,'HB-D2 Besondere Lstg Bund'!M26=TRUE),'HB-D2 Besondere Lstg Bund'!K26,""))</f>
        <v/>
      </c>
      <c r="G72" s="1134"/>
      <c r="H72" s="1135"/>
    </row>
    <row r="73" spans="2:8" ht="15">
      <c r="B73" t="str">
        <f>IF(AND(Projektgrundlagen!$I$25,'HB-D1 Besondere Lstg Land'!M59=TRUE),'HB-D1 Besondere Lstg Land'!C59&amp;" "&amp;'HB-D1 Besondere Lstg Land'!F59&amp;" "&amp;'HB-D1 Besondere Lstg Land'!F60,IF(AND(Projektgrundlagen!$I$26,'HB-D2 Besondere Lstg Bund'!M27=TRUE),'HB-D2 Besondere Lstg Bund'!C27&amp;" "&amp;'HB-D2 Besondere Lstg Bund'!F27&amp;" "&amp;'HB-D2 Besondere Lstg Bund'!F28,""))</f>
        <v/>
      </c>
      <c r="C73" s="1129"/>
      <c r="D73" s="1129" t="str">
        <f>IF(AND(Projektgrundlagen!$I$25,'HB-D1 Besondere Lstg Land'!M59=TRUE),(IF('HB-D1 Besondere Lstg Land'!H59&gt;0,"v.H.","pauschal")),IF(AND(Projektgrundlagen!$I$26,'HB-D2 Besondere Lstg Bund'!M27=TRUE),(IF('HB-D2 Besondere Lstg Bund'!H27&gt;0,"v.H.","pauschal")),""))</f>
        <v/>
      </c>
      <c r="E73" s="1129" t="str">
        <f>IF(AND(Projektgrundlagen!$I$25,'HB-D1 Besondere Lstg Land'!M59=TRUE),'HB-D1 Besondere Lstg Land'!H59+'HB-D1 Besondere Lstg Land'!J59,IF(AND(Projektgrundlagen!$I$26,'HB-D2 Besondere Lstg Bund'!M27=TRUE),'HB-D2 Besondere Lstg Bund'!H27+'HB-D2 Besondere Lstg Bund'!J27,""))</f>
        <v/>
      </c>
      <c r="F73" s="1129" t="str">
        <f>IF(AND(Projektgrundlagen!$I$25,'HB-D1 Besondere Lstg Land'!M59=TRUE),'HB-D1 Besondere Lstg Land'!K59,IF(AND(Projektgrundlagen!$I$26,'HB-D2 Besondere Lstg Bund'!M27=TRUE),'HB-D2 Besondere Lstg Bund'!K27,""))</f>
        <v/>
      </c>
      <c r="G73" s="1134"/>
      <c r="H73" s="1135"/>
    </row>
    <row r="74" spans="2:8" ht="15">
      <c r="B74" t="str">
        <f>IF(AND(Projektgrundlagen!$I$25,'HB-D1 Besondere Lstg Land'!M60=TRUE),'HB-D1 Besondere Lstg Land'!C60&amp;" "&amp;'HB-D1 Besondere Lstg Land'!F60&amp;" "&amp;'HB-D1 Besondere Lstg Land'!F61,IF(AND(Projektgrundlagen!$I$26,'HB-D2 Besondere Lstg Bund'!M28=TRUE),'HB-D2 Besondere Lstg Bund'!C28&amp;" "&amp;'HB-D2 Besondere Lstg Bund'!F28&amp;" "&amp;'HB-D2 Besondere Lstg Bund'!F29,""))</f>
        <v/>
      </c>
      <c r="C74" s="1129"/>
      <c r="D74" s="1129" t="str">
        <f>IF(AND(Projektgrundlagen!$I$25,'HB-D1 Besondere Lstg Land'!M60=TRUE),(IF('HB-D1 Besondere Lstg Land'!H60&gt;0,"v.H.","pauschal")),IF(AND(Projektgrundlagen!$I$26,'HB-D2 Besondere Lstg Bund'!M28=TRUE),(IF('HB-D2 Besondere Lstg Bund'!H28&gt;0,"v.H.","pauschal")),""))</f>
        <v/>
      </c>
      <c r="E74" s="1129" t="str">
        <f>IF(AND(Projektgrundlagen!$I$25,'HB-D1 Besondere Lstg Land'!M60=TRUE),'HB-D1 Besondere Lstg Land'!H60+'HB-D1 Besondere Lstg Land'!J60,IF(AND(Projektgrundlagen!$I$26,'HB-D2 Besondere Lstg Bund'!M28=TRUE),'HB-D2 Besondere Lstg Bund'!H28+'HB-D2 Besondere Lstg Bund'!J28,""))</f>
        <v/>
      </c>
      <c r="F74" s="1129" t="str">
        <f>IF(AND(Projektgrundlagen!$I$25,'HB-D1 Besondere Lstg Land'!M60=TRUE),'HB-D1 Besondere Lstg Land'!K60,IF(AND(Projektgrundlagen!$I$26,'HB-D2 Besondere Lstg Bund'!M28=TRUE),'HB-D2 Besondere Lstg Bund'!K28,""))</f>
        <v/>
      </c>
      <c r="G74" s="1134"/>
      <c r="H74" s="1135"/>
    </row>
    <row r="75" spans="2:8" ht="15">
      <c r="B75" t="str">
        <f>IF(AND(Projektgrundlagen!$I$25,'HB-D1 Besondere Lstg Land'!M61=TRUE),'HB-D1 Besondere Lstg Land'!C61&amp;" "&amp;'HB-D1 Besondere Lstg Land'!F61&amp;" "&amp;'HB-D1 Besondere Lstg Land'!F62,IF(AND(Projektgrundlagen!$I$26,'HB-D2 Besondere Lstg Bund'!M29=TRUE),'HB-D2 Besondere Lstg Bund'!C29&amp;" "&amp;'HB-D2 Besondere Lstg Bund'!F29&amp;" "&amp;'HB-D2 Besondere Lstg Bund'!F30,""))</f>
        <v/>
      </c>
      <c r="C75" s="1129"/>
      <c r="D75" s="1129" t="str">
        <f>IF(AND(Projektgrundlagen!$I$25,'HB-D1 Besondere Lstg Land'!M61=TRUE),(IF('HB-D1 Besondere Lstg Land'!H61&gt;0,"v.H.","pauschal")),IF(AND(Projektgrundlagen!$I$26,'HB-D2 Besondere Lstg Bund'!M29=TRUE),(IF('HB-D2 Besondere Lstg Bund'!H29&gt;0,"v.H.","pauschal")),""))</f>
        <v/>
      </c>
      <c r="E75" s="1129" t="str">
        <f>IF(AND(Projektgrundlagen!$I$25,'HB-D1 Besondere Lstg Land'!M61=TRUE),'HB-D1 Besondere Lstg Land'!H61+'HB-D1 Besondere Lstg Land'!J61,IF(AND(Projektgrundlagen!$I$26,'HB-D2 Besondere Lstg Bund'!M29=TRUE),'HB-D2 Besondere Lstg Bund'!H29+'HB-D2 Besondere Lstg Bund'!J29,""))</f>
        <v/>
      </c>
      <c r="F75" s="1129" t="str">
        <f>IF(AND(Projektgrundlagen!$I$25,'HB-D1 Besondere Lstg Land'!M61=TRUE),'HB-D1 Besondere Lstg Land'!K61,IF(AND(Projektgrundlagen!$I$26,'HB-D2 Besondere Lstg Bund'!M29=TRUE),'HB-D2 Besondere Lstg Bund'!K29,""))</f>
        <v/>
      </c>
      <c r="G75" s="1134"/>
      <c r="H75" s="1135"/>
    </row>
    <row r="76" spans="2:8" ht="15">
      <c r="B76" t="str">
        <f>IF(AND(Projektgrundlagen!$I$25,'HB-D1 Besondere Lstg Land'!M62=TRUE),'HB-D1 Besondere Lstg Land'!C62&amp;" "&amp;'HB-D1 Besondere Lstg Land'!F62&amp;" "&amp;'HB-D1 Besondere Lstg Land'!F63,IF(AND(Projektgrundlagen!$I$26,'HB-D2 Besondere Lstg Bund'!M30=TRUE),'HB-D2 Besondere Lstg Bund'!C30&amp;" "&amp;'HB-D2 Besondere Lstg Bund'!F30&amp;" "&amp;'HB-D2 Besondere Lstg Bund'!F31,""))</f>
        <v/>
      </c>
      <c r="C76" s="1129"/>
      <c r="D76" s="1129" t="str">
        <f>IF(AND(Projektgrundlagen!$I$25,'HB-D1 Besondere Lstg Land'!M62=TRUE),(IF('HB-D1 Besondere Lstg Land'!H62&gt;0,"v.H.","pauschal")),IF(AND(Projektgrundlagen!$I$26,'HB-D2 Besondere Lstg Bund'!M30=TRUE),(IF('HB-D2 Besondere Lstg Bund'!H30&gt;0,"v.H.","pauschal")),""))</f>
        <v/>
      </c>
      <c r="E76" s="1129" t="str">
        <f>IF(AND(Projektgrundlagen!$I$25,'HB-D1 Besondere Lstg Land'!M62=TRUE),'HB-D1 Besondere Lstg Land'!H62+'HB-D1 Besondere Lstg Land'!J62,IF(AND(Projektgrundlagen!$I$26,'HB-D2 Besondere Lstg Bund'!M30=TRUE),'HB-D2 Besondere Lstg Bund'!H30+'HB-D2 Besondere Lstg Bund'!J30,""))</f>
        <v/>
      </c>
      <c r="F76" s="1129" t="str">
        <f>IF(AND(Projektgrundlagen!$I$25,'HB-D1 Besondere Lstg Land'!M62=TRUE),'HB-D1 Besondere Lstg Land'!K62,IF(AND(Projektgrundlagen!$I$26,'HB-D2 Besondere Lstg Bund'!M30=TRUE),'HB-D2 Besondere Lstg Bund'!K30,""))</f>
        <v/>
      </c>
      <c r="G76" s="1134"/>
      <c r="H76" s="1135"/>
    </row>
    <row r="77" spans="2:8" ht="15">
      <c r="B77" t="str">
        <f>IF(AND(Projektgrundlagen!$I$25,'HB-D1 Besondere Lstg Land'!M63=TRUE),'HB-D1 Besondere Lstg Land'!C63&amp;" "&amp;'HB-D1 Besondere Lstg Land'!F63&amp;" "&amp;'HB-D1 Besondere Lstg Land'!F64,IF(AND(Projektgrundlagen!$I$26,'HB-D2 Besondere Lstg Bund'!M31=TRUE),'HB-D2 Besondere Lstg Bund'!C31&amp;" "&amp;'HB-D2 Besondere Lstg Bund'!F31&amp;" "&amp;'HB-D2 Besondere Lstg Bund'!F32,""))</f>
        <v xml:space="preserve">2.05 Untersuchung alternativer Lösungsmöglichkeiten </v>
      </c>
      <c r="C77" s="1129"/>
      <c r="D77" s="1129" t="str">
        <f>IF(AND(Projektgrundlagen!$I$25,'HB-D1 Besondere Lstg Land'!M63=TRUE),(IF('HB-D1 Besondere Lstg Land'!H63&gt;0,"v.H.","pauschal")),IF(AND(Projektgrundlagen!$I$26,'HB-D2 Besondere Lstg Bund'!M31=TRUE),(IF('HB-D2 Besondere Lstg Bund'!H31&gt;0,"v.H.","pauschal")),""))</f>
        <v>pauschal</v>
      </c>
      <c r="E77" s="1129">
        <f>IF(AND(Projektgrundlagen!$I$25,'HB-D1 Besondere Lstg Land'!M63=TRUE),'HB-D1 Besondere Lstg Land'!H63+'HB-D1 Besondere Lstg Land'!J63,IF(AND(Projektgrundlagen!$I$26,'HB-D2 Besondere Lstg Bund'!M31=TRUE),'HB-D2 Besondere Lstg Bund'!H31+'HB-D2 Besondere Lstg Bund'!J31,""))</f>
        <v>0</v>
      </c>
      <c r="F77" s="1129">
        <f>IF(AND(Projektgrundlagen!$I$25,'HB-D1 Besondere Lstg Land'!M63=TRUE),'HB-D1 Besondere Lstg Land'!K63,IF(AND(Projektgrundlagen!$I$26,'HB-D2 Besondere Lstg Bund'!M31=TRUE),'HB-D2 Besondere Lstg Bund'!K31,""))</f>
        <v>0</v>
      </c>
      <c r="G77" s="1134"/>
      <c r="H77" s="1135"/>
    </row>
    <row r="78" spans="2:8" ht="15">
      <c r="B78" t="str">
        <f>IF(AND(Projektgrundlagen!$I$25,'HB-D1 Besondere Lstg Land'!M64=TRUE),'HB-D1 Besondere Lstg Land'!C64&amp;" "&amp;'HB-D1 Besondere Lstg Land'!F64&amp;" "&amp;'HB-D1 Besondere Lstg Land'!F65,IF(AND(Projektgrundlagen!$I$26,'HB-D2 Besondere Lstg Bund'!M32=TRUE),'HB-D2 Besondere Lstg Bund'!C32&amp;" "&amp;'HB-D2 Besondere Lstg Bund'!F32&amp;" "&amp;'HB-D2 Besondere Lstg Bund'!F33,""))</f>
        <v/>
      </c>
      <c r="C78" s="1129"/>
      <c r="D78" s="1129" t="str">
        <f>IF(AND(Projektgrundlagen!$I$25,'HB-D1 Besondere Lstg Land'!M64=TRUE),(IF('HB-D1 Besondere Lstg Land'!H64&gt;0,"v.H.","pauschal")),IF(AND(Projektgrundlagen!$I$26,'HB-D2 Besondere Lstg Bund'!M32=TRUE),(IF('HB-D2 Besondere Lstg Bund'!H32&gt;0,"v.H.","pauschal")),""))</f>
        <v/>
      </c>
      <c r="E78" s="1129" t="str">
        <f>IF(AND(Projektgrundlagen!$I$25,'HB-D1 Besondere Lstg Land'!M64=TRUE),'HB-D1 Besondere Lstg Land'!H64+'HB-D1 Besondere Lstg Land'!J64,IF(AND(Projektgrundlagen!$I$26,'HB-D2 Besondere Lstg Bund'!M32=TRUE),'HB-D2 Besondere Lstg Bund'!H32+'HB-D2 Besondere Lstg Bund'!J32,""))</f>
        <v/>
      </c>
      <c r="F78" s="1129" t="str">
        <f>IF(AND(Projektgrundlagen!$I$25,'HB-D1 Besondere Lstg Land'!M64=TRUE),'HB-D1 Besondere Lstg Land'!K64,IF(AND(Projektgrundlagen!$I$26,'HB-D2 Besondere Lstg Bund'!M32=TRUE),'HB-D2 Besondere Lstg Bund'!K32,""))</f>
        <v/>
      </c>
      <c r="G78" s="1134"/>
      <c r="H78" s="1135"/>
    </row>
    <row r="79" spans="2:8" ht="15">
      <c r="B79" t="str">
        <f>IF(AND(Projektgrundlagen!$I$25,'HB-D1 Besondere Lstg Land'!M65=TRUE),'HB-D1 Besondere Lstg Land'!C65&amp;" "&amp;'HB-D1 Besondere Lstg Land'!F65&amp;" "&amp;'HB-D1 Besondere Lstg Land'!F66,IF(AND(Projektgrundlagen!$I$26,'HB-D2 Besondere Lstg Bund'!M33=TRUE),'HB-D2 Besondere Lstg Bund'!C33&amp;" "&amp;'HB-D2 Besondere Lstg Bund'!F33&amp;" "&amp;'HB-D2 Besondere Lstg Bund'!F34,""))</f>
        <v/>
      </c>
      <c r="C79" s="1129"/>
      <c r="D79" s="1129" t="str">
        <f>IF(AND(Projektgrundlagen!$I$25,'HB-D1 Besondere Lstg Land'!M65=TRUE),(IF('HB-D1 Besondere Lstg Land'!H65&gt;0,"v.H.","pauschal")),IF(AND(Projektgrundlagen!$I$26,'HB-D2 Besondere Lstg Bund'!M33=TRUE),(IF('HB-D2 Besondere Lstg Bund'!H33&gt;0,"v.H.","pauschal")),""))</f>
        <v/>
      </c>
      <c r="E79" s="1129" t="str">
        <f>IF(AND(Projektgrundlagen!$I$25,'HB-D1 Besondere Lstg Land'!M65=TRUE),'HB-D1 Besondere Lstg Land'!H65+'HB-D1 Besondere Lstg Land'!J65,IF(AND(Projektgrundlagen!$I$26,'HB-D2 Besondere Lstg Bund'!M33=TRUE),'HB-D2 Besondere Lstg Bund'!H33+'HB-D2 Besondere Lstg Bund'!J33,""))</f>
        <v/>
      </c>
      <c r="F79" s="1129" t="str">
        <f>IF(AND(Projektgrundlagen!$I$25,'HB-D1 Besondere Lstg Land'!M65=TRUE),'HB-D1 Besondere Lstg Land'!K65,IF(AND(Projektgrundlagen!$I$26,'HB-D2 Besondere Lstg Bund'!M33=TRUE),'HB-D2 Besondere Lstg Bund'!K33,""))</f>
        <v/>
      </c>
      <c r="G79" s="1134"/>
      <c r="H79" s="1135"/>
    </row>
    <row r="80" spans="2:8" ht="15">
      <c r="B80" t="str">
        <f>IF(AND(Projektgrundlagen!$I$25,'HB-D1 Besondere Lstg Land'!M66=TRUE),'HB-D1 Besondere Lstg Land'!C66&amp;" "&amp;'HB-D1 Besondere Lstg Land'!F66&amp;" "&amp;'HB-D1 Besondere Lstg Land'!F67,IF(AND(Projektgrundlagen!$I$26,'HB-D2 Besondere Lstg Bund'!M34=TRUE),'HB-D2 Besondere Lstg Bund'!C34&amp;" "&amp;'HB-D2 Besondere Lstg Bund'!F34&amp;" "&amp;'HB-D2 Besondere Lstg Bund'!F35,""))</f>
        <v/>
      </c>
      <c r="C80" s="1129"/>
      <c r="D80" s="1129" t="str">
        <f>IF(AND(Projektgrundlagen!$I$25,'HB-D1 Besondere Lstg Land'!M66=TRUE),(IF('HB-D1 Besondere Lstg Land'!H66&gt;0,"v.H.","pauschal")),IF(AND(Projektgrundlagen!$I$26,'HB-D2 Besondere Lstg Bund'!M34=TRUE),(IF('HB-D2 Besondere Lstg Bund'!H34&gt;0,"v.H.","pauschal")),""))</f>
        <v/>
      </c>
      <c r="E80" s="1129" t="str">
        <f>IF(AND(Projektgrundlagen!$I$25,'HB-D1 Besondere Lstg Land'!M66=TRUE),'HB-D1 Besondere Lstg Land'!H66+'HB-D1 Besondere Lstg Land'!J66,IF(AND(Projektgrundlagen!$I$26,'HB-D2 Besondere Lstg Bund'!M34=TRUE),'HB-D2 Besondere Lstg Bund'!H34+'HB-D2 Besondere Lstg Bund'!J34,""))</f>
        <v/>
      </c>
      <c r="F80" s="1129" t="str">
        <f>IF(AND(Projektgrundlagen!$I$25,'HB-D1 Besondere Lstg Land'!M66=TRUE),'HB-D1 Besondere Lstg Land'!K66,IF(AND(Projektgrundlagen!$I$26,'HB-D2 Besondere Lstg Bund'!M34=TRUE),'HB-D2 Besondere Lstg Bund'!K34,""))</f>
        <v/>
      </c>
      <c r="G80" s="1134"/>
      <c r="H80" s="1135"/>
    </row>
    <row r="81" spans="2:8" ht="15">
      <c r="B81" t="str">
        <f>IF(AND(Projektgrundlagen!$I$25,'HB-D1 Besondere Lstg Land'!M67=TRUE),'HB-D1 Besondere Lstg Land'!C67&amp;" "&amp;'HB-D1 Besondere Lstg Land'!F67&amp;" "&amp;'HB-D1 Besondere Lstg Land'!F68,IF(AND(Projektgrundlagen!$I$26,'HB-D2 Besondere Lstg Bund'!M35=TRUE),'HB-D2 Besondere Lstg Bund'!C35&amp;" "&amp;'HB-D2 Besondere Lstg Bund'!F35&amp;" "&amp;'HB-D2 Besondere Lstg Bund'!F36,""))</f>
        <v/>
      </c>
      <c r="C81" s="1129"/>
      <c r="D81" s="1129" t="str">
        <f>IF(AND(Projektgrundlagen!$I$25,'HB-D1 Besondere Lstg Land'!M67=TRUE),(IF('HB-D1 Besondere Lstg Land'!H67&gt;0,"v.H.","pauschal")),IF(AND(Projektgrundlagen!$I$26,'HB-D2 Besondere Lstg Bund'!M35=TRUE),(IF('HB-D2 Besondere Lstg Bund'!H35&gt;0,"v.H.","pauschal")),""))</f>
        <v/>
      </c>
      <c r="E81" s="1129" t="str">
        <f>IF(AND(Projektgrundlagen!$I$25,'HB-D1 Besondere Lstg Land'!M67=TRUE),'HB-D1 Besondere Lstg Land'!H67+'HB-D1 Besondere Lstg Land'!J67,IF(AND(Projektgrundlagen!$I$26,'HB-D2 Besondere Lstg Bund'!M35=TRUE),'HB-D2 Besondere Lstg Bund'!H35+'HB-D2 Besondere Lstg Bund'!J35,""))</f>
        <v/>
      </c>
      <c r="F81" s="1129" t="str">
        <f>IF(AND(Projektgrundlagen!$I$25,'HB-D1 Besondere Lstg Land'!M67=TRUE),'HB-D1 Besondere Lstg Land'!K67,IF(AND(Projektgrundlagen!$I$26,'HB-D2 Besondere Lstg Bund'!M35=TRUE),'HB-D2 Besondere Lstg Bund'!K35,""))</f>
        <v/>
      </c>
      <c r="G81" s="1134"/>
      <c r="H81" s="1135"/>
    </row>
    <row r="82" spans="2:8" ht="15">
      <c r="B82" t="str">
        <f>IF(AND(Projektgrundlagen!$I$25,'HB-D1 Besondere Lstg Land'!M68=TRUE),'HB-D1 Besondere Lstg Land'!C68&amp;" "&amp;'HB-D1 Besondere Lstg Land'!F68&amp;" "&amp;'HB-D1 Besondere Lstg Land'!F69,IF(AND(Projektgrundlagen!$I$26,'HB-D2 Besondere Lstg Bund'!M36=TRUE),'HB-D2 Besondere Lstg Bund'!C36&amp;" "&amp;'HB-D2 Besondere Lstg Bund'!F36&amp;" "&amp;'HB-D2 Besondere Lstg Bund'!F37,""))</f>
        <v/>
      </c>
      <c r="C82" s="1129"/>
      <c r="D82" s="1129" t="str">
        <f>IF(AND(Projektgrundlagen!$I$25,'HB-D1 Besondere Lstg Land'!M68=TRUE),(IF('HB-D1 Besondere Lstg Land'!H68&gt;0,"v.H.","pauschal")),IF(AND(Projektgrundlagen!$I$26,'HB-D2 Besondere Lstg Bund'!M36=TRUE),(IF('HB-D2 Besondere Lstg Bund'!H36&gt;0,"v.H.","pauschal")),""))</f>
        <v/>
      </c>
      <c r="E82" s="1129" t="str">
        <f>IF(AND(Projektgrundlagen!$I$25,'HB-D1 Besondere Lstg Land'!M68=TRUE),'HB-D1 Besondere Lstg Land'!H68+'HB-D1 Besondere Lstg Land'!J68,IF(AND(Projektgrundlagen!$I$26,'HB-D2 Besondere Lstg Bund'!M36=TRUE),'HB-D2 Besondere Lstg Bund'!H36+'HB-D2 Besondere Lstg Bund'!J36,""))</f>
        <v/>
      </c>
      <c r="F82" s="1129" t="str">
        <f>IF(AND(Projektgrundlagen!$I$25,'HB-D1 Besondere Lstg Land'!M68=TRUE),'HB-D1 Besondere Lstg Land'!K68,IF(AND(Projektgrundlagen!$I$26,'HB-D2 Besondere Lstg Bund'!M36=TRUE),'HB-D2 Besondere Lstg Bund'!K36,""))</f>
        <v/>
      </c>
      <c r="G82" s="1134"/>
      <c r="H82" s="1135"/>
    </row>
    <row r="83" spans="2:8" ht="15">
      <c r="B83" t="str">
        <f>IF(AND(Projektgrundlagen!$I$25,'HB-D1 Besondere Lstg Land'!M69=TRUE),'HB-D1 Besondere Lstg Land'!C69&amp;" "&amp;'HB-D1 Besondere Lstg Land'!F69&amp;" "&amp;'HB-D1 Besondere Lstg Land'!F70,IF(AND(Projektgrundlagen!$I$26,'HB-D2 Besondere Lstg Bund'!M37=TRUE),'HB-D2 Besondere Lstg Bund'!C37&amp;" "&amp;'HB-D2 Besondere Lstg Bund'!F37&amp;" "&amp;'HB-D2 Besondere Lstg Bund'!F38,""))</f>
        <v/>
      </c>
      <c r="C83" s="1129"/>
      <c r="D83" s="1129" t="str">
        <f>IF(AND(Projektgrundlagen!$I$25,'HB-D1 Besondere Lstg Land'!M69=TRUE),(IF('HB-D1 Besondere Lstg Land'!H69&gt;0,"v.H.","pauschal")),IF(AND(Projektgrundlagen!$I$26,'HB-D2 Besondere Lstg Bund'!M37=TRUE),(IF('HB-D2 Besondere Lstg Bund'!H37&gt;0,"v.H.","pauschal")),""))</f>
        <v/>
      </c>
      <c r="E83" s="1129" t="str">
        <f>IF(AND(Projektgrundlagen!$I$25,'HB-D1 Besondere Lstg Land'!M69=TRUE),'HB-D1 Besondere Lstg Land'!H69+'HB-D1 Besondere Lstg Land'!J69,IF(AND(Projektgrundlagen!$I$26,'HB-D2 Besondere Lstg Bund'!M37=TRUE),'HB-D2 Besondere Lstg Bund'!H37+'HB-D2 Besondere Lstg Bund'!J37,""))</f>
        <v/>
      </c>
      <c r="F83" s="1129" t="str">
        <f>IF(AND(Projektgrundlagen!$I$25,'HB-D1 Besondere Lstg Land'!M69=TRUE),'HB-D1 Besondere Lstg Land'!K69,IF(AND(Projektgrundlagen!$I$26,'HB-D2 Besondere Lstg Bund'!M37=TRUE),'HB-D2 Besondere Lstg Bund'!K37,""))</f>
        <v/>
      </c>
      <c r="G83" s="1134"/>
      <c r="H83" s="1135"/>
    </row>
    <row r="84" spans="2:8" ht="15">
      <c r="B84" t="str">
        <f>IF(AND(Projektgrundlagen!$I$25,'HB-D1 Besondere Lstg Land'!M70=TRUE),'HB-D1 Besondere Lstg Land'!C70&amp;" "&amp;'HB-D1 Besondere Lstg Land'!F70&amp;" "&amp;'HB-D1 Besondere Lstg Land'!F71,IF(AND(Projektgrundlagen!$I$26,'HB-D2 Besondere Lstg Bund'!M38=TRUE),'HB-D2 Besondere Lstg Bund'!C38&amp;" "&amp;'HB-D2 Besondere Lstg Bund'!F38&amp;" "&amp;'HB-D2 Besondere Lstg Bund'!F39,""))</f>
        <v/>
      </c>
      <c r="C84" s="1129"/>
      <c r="D84" s="1129" t="str">
        <f>IF(AND(Projektgrundlagen!$I$25,'HB-D1 Besondere Lstg Land'!M70=TRUE),(IF('HB-D1 Besondere Lstg Land'!H70&gt;0,"v.H.","pauschal")),IF(AND(Projektgrundlagen!$I$26,'HB-D2 Besondere Lstg Bund'!M38=TRUE),(IF('HB-D2 Besondere Lstg Bund'!H38&gt;0,"v.H.","pauschal")),""))</f>
        <v/>
      </c>
      <c r="E84" s="1129" t="str">
        <f>IF(AND(Projektgrundlagen!$I$25,'HB-D1 Besondere Lstg Land'!M70=TRUE),'HB-D1 Besondere Lstg Land'!H70+'HB-D1 Besondere Lstg Land'!J70,IF(AND(Projektgrundlagen!$I$26,'HB-D2 Besondere Lstg Bund'!M38=TRUE),'HB-D2 Besondere Lstg Bund'!H38+'HB-D2 Besondere Lstg Bund'!J38,""))</f>
        <v/>
      </c>
      <c r="F84" s="1129" t="str">
        <f>IF(AND(Projektgrundlagen!$I$25,'HB-D1 Besondere Lstg Land'!M70=TRUE),'HB-D1 Besondere Lstg Land'!K70,IF(AND(Projektgrundlagen!$I$26,'HB-D2 Besondere Lstg Bund'!M38=TRUE),'HB-D2 Besondere Lstg Bund'!K38,""))</f>
        <v/>
      </c>
      <c r="G84" s="1134"/>
      <c r="H84" s="1135"/>
    </row>
    <row r="85" spans="2:8" ht="15">
      <c r="B85" t="str">
        <f>IF(AND(Projektgrundlagen!$I$25,'HB-D1 Besondere Lstg Land'!M71=TRUE),'HB-D1 Besondere Lstg Land'!C71&amp;" "&amp;'HB-D1 Besondere Lstg Land'!F71&amp;" "&amp;'HB-D1 Besondere Lstg Land'!F72,IF(AND(Projektgrundlagen!$I$26,'HB-D2 Besondere Lstg Bund'!M39=TRUE),'HB-D2 Besondere Lstg Bund'!C39&amp;" "&amp;'HB-D2 Besondere Lstg Bund'!F39&amp;" "&amp;'HB-D2 Besondere Lstg Bund'!F40,""))</f>
        <v/>
      </c>
      <c r="C85" s="1129"/>
      <c r="D85" s="1129" t="str">
        <f>IF(AND(Projektgrundlagen!$I$25,'HB-D1 Besondere Lstg Land'!M71=TRUE),(IF('HB-D1 Besondere Lstg Land'!H71&gt;0,"v.H.","pauschal")),IF(AND(Projektgrundlagen!$I$26,'HB-D2 Besondere Lstg Bund'!M39=TRUE),(IF('HB-D2 Besondere Lstg Bund'!H39&gt;0,"v.H.","pauschal")),""))</f>
        <v/>
      </c>
      <c r="E85" s="1129" t="str">
        <f>IF(AND(Projektgrundlagen!$I$25,'HB-D1 Besondere Lstg Land'!M71=TRUE),'HB-D1 Besondere Lstg Land'!H71+'HB-D1 Besondere Lstg Land'!J71,IF(AND(Projektgrundlagen!$I$26,'HB-D2 Besondere Lstg Bund'!M39=TRUE),'HB-D2 Besondere Lstg Bund'!H39+'HB-D2 Besondere Lstg Bund'!J39,""))</f>
        <v/>
      </c>
      <c r="F85" s="1129" t="str">
        <f>IF(AND(Projektgrundlagen!$I$25,'HB-D1 Besondere Lstg Land'!M71=TRUE),'HB-D1 Besondere Lstg Land'!K71,IF(AND(Projektgrundlagen!$I$26,'HB-D2 Besondere Lstg Bund'!M39=TRUE),'HB-D2 Besondere Lstg Bund'!K39,""))</f>
        <v/>
      </c>
      <c r="G85" s="1134"/>
      <c r="H85" s="1135"/>
    </row>
    <row r="86" spans="2:8" ht="15">
      <c r="B86" t="str">
        <f>IF(AND(Projektgrundlagen!$I$25,'HB-D1 Besondere Lstg Land'!M72=TRUE),'HB-D1 Besondere Lstg Land'!C72&amp;" "&amp;'HB-D1 Besondere Lstg Land'!F72&amp;" "&amp;'HB-D1 Besondere Lstg Land'!F73,IF(AND(Projektgrundlagen!$I$26,'HB-D2 Besondere Lstg Bund'!M40=TRUE),'HB-D2 Besondere Lstg Bund'!C40&amp;" "&amp;'HB-D2 Besondere Lstg Bund'!F40&amp;" "&amp;'HB-D2 Besondere Lstg Bund'!F41,""))</f>
        <v/>
      </c>
      <c r="C86" s="1129"/>
      <c r="D86" s="1129" t="str">
        <f>IF(AND(Projektgrundlagen!$I$25,'HB-D1 Besondere Lstg Land'!M72=TRUE),(IF('HB-D1 Besondere Lstg Land'!H72&gt;0,"v.H.","pauschal")),IF(AND(Projektgrundlagen!$I$26,'HB-D2 Besondere Lstg Bund'!M40=TRUE),(IF('HB-D2 Besondere Lstg Bund'!H40&gt;0,"v.H.","pauschal")),""))</f>
        <v/>
      </c>
      <c r="E86" s="1129" t="str">
        <f>IF(AND(Projektgrundlagen!$I$25,'HB-D1 Besondere Lstg Land'!M72=TRUE),'HB-D1 Besondere Lstg Land'!H72+'HB-D1 Besondere Lstg Land'!J72,IF(AND(Projektgrundlagen!$I$26,'HB-D2 Besondere Lstg Bund'!M40=TRUE),'HB-D2 Besondere Lstg Bund'!H40+'HB-D2 Besondere Lstg Bund'!J40,""))</f>
        <v/>
      </c>
      <c r="F86" s="1129" t="str">
        <f>IF(AND(Projektgrundlagen!$I$25,'HB-D1 Besondere Lstg Land'!M72=TRUE),'HB-D1 Besondere Lstg Land'!K72,IF(AND(Projektgrundlagen!$I$26,'HB-D2 Besondere Lstg Bund'!M40=TRUE),'HB-D2 Besondere Lstg Bund'!K40,""))</f>
        <v/>
      </c>
      <c r="G86" s="1134"/>
      <c r="H86" s="1135"/>
    </row>
    <row r="87" spans="2:8" ht="15">
      <c r="B87" t="str">
        <f>IF(AND(Projektgrundlagen!$I$25,'HB-D1 Besondere Lstg Land'!M73=TRUE),'HB-D1 Besondere Lstg Land'!C73&amp;" "&amp;'HB-D1 Besondere Lstg Land'!F73&amp;" "&amp;'HB-D1 Besondere Lstg Land'!F74,IF(AND(Projektgrundlagen!$I$26,'HB-D2 Besondere Lstg Bund'!M41=TRUE),'HB-D2 Besondere Lstg Bund'!C41&amp;" "&amp;'HB-D2 Besondere Lstg Bund'!F41&amp;" "&amp;'HB-D2 Besondere Lstg Bund'!F42,""))</f>
        <v/>
      </c>
      <c r="C87" s="1129"/>
      <c r="D87" s="1129" t="str">
        <f>IF(AND(Projektgrundlagen!$I$25,'HB-D1 Besondere Lstg Land'!M73=TRUE),(IF('HB-D1 Besondere Lstg Land'!H73&gt;0,"v.H.","pauschal")),IF(AND(Projektgrundlagen!$I$26,'HB-D2 Besondere Lstg Bund'!M41=TRUE),(IF('HB-D2 Besondere Lstg Bund'!H41&gt;0,"v.H.","pauschal")),""))</f>
        <v/>
      </c>
      <c r="E87" s="1129" t="str">
        <f>IF(AND(Projektgrundlagen!$I$25,'HB-D1 Besondere Lstg Land'!M73=TRUE),'HB-D1 Besondere Lstg Land'!H73+'HB-D1 Besondere Lstg Land'!J73,IF(AND(Projektgrundlagen!$I$26,'HB-D2 Besondere Lstg Bund'!M41=TRUE),'HB-D2 Besondere Lstg Bund'!H41+'HB-D2 Besondere Lstg Bund'!J41,""))</f>
        <v/>
      </c>
      <c r="F87" s="1129" t="str">
        <f>IF(AND(Projektgrundlagen!$I$25,'HB-D1 Besondere Lstg Land'!M73=TRUE),'HB-D1 Besondere Lstg Land'!K73,IF(AND(Projektgrundlagen!$I$26,'HB-D2 Besondere Lstg Bund'!M41=TRUE),'HB-D2 Besondere Lstg Bund'!K41,""))</f>
        <v/>
      </c>
      <c r="G87" s="1134"/>
      <c r="H87" s="1135"/>
    </row>
    <row r="88" spans="2:8" ht="15">
      <c r="B88" t="str">
        <f>IF(AND(Projektgrundlagen!$I$25,'HB-D1 Besondere Lstg Land'!M74=TRUE),'HB-D1 Besondere Lstg Land'!C74&amp;" "&amp;'HB-D1 Besondere Lstg Land'!F74&amp;" "&amp;'HB-D1 Besondere Lstg Land'!F75,IF(AND(Projektgrundlagen!$I$26,'HB-D2 Besondere Lstg Bund'!M42=TRUE),'HB-D2 Besondere Lstg Bund'!C42&amp;" "&amp;'HB-D2 Besondere Lstg Bund'!F42&amp;" "&amp;'HB-D2 Besondere Lstg Bund'!F43,""))</f>
        <v>3.04 Wirtschaftlichkeitsberechnungen Berechnungen zum Vorentwurf und/oder Entwurf, optionale Leistung</v>
      </c>
      <c r="C88" s="1129"/>
      <c r="D88" s="1129" t="str">
        <f>IF(AND(Projektgrundlagen!$I$25,'HB-D1 Besondere Lstg Land'!M74=TRUE),(IF('HB-D1 Besondere Lstg Land'!H74&gt;0,"v.H.","pauschal")),IF(AND(Projektgrundlagen!$I$26,'HB-D2 Besondere Lstg Bund'!M42=TRUE),(IF('HB-D2 Besondere Lstg Bund'!H42&gt;0,"v.H.","pauschal")),""))</f>
        <v>pauschal</v>
      </c>
      <c r="E88" s="1129">
        <f>IF(AND(Projektgrundlagen!$I$25,'HB-D1 Besondere Lstg Land'!M74=TRUE),'HB-D1 Besondere Lstg Land'!H74+'HB-D1 Besondere Lstg Land'!J74,IF(AND(Projektgrundlagen!$I$26,'HB-D2 Besondere Lstg Bund'!M42=TRUE),'HB-D2 Besondere Lstg Bund'!H42+'HB-D2 Besondere Lstg Bund'!J42,""))</f>
        <v>0</v>
      </c>
      <c r="F88" s="1129">
        <f>IF(AND(Projektgrundlagen!$I$25,'HB-D1 Besondere Lstg Land'!M74=TRUE),'HB-D1 Besondere Lstg Land'!K74,IF(AND(Projektgrundlagen!$I$26,'HB-D2 Besondere Lstg Bund'!M42=TRUE),'HB-D2 Besondere Lstg Bund'!K42,""))</f>
        <v>0</v>
      </c>
      <c r="G88" s="1134"/>
      <c r="H88" s="1135"/>
    </row>
    <row r="89" spans="2:8" ht="15">
      <c r="B89" t="str">
        <f>IF(AND(Projektgrundlagen!$I$25,'HB-D1 Besondere Lstg Land'!M75=TRUE),'HB-D1 Besondere Lstg Land'!C75&amp;" "&amp;'HB-D1 Besondere Lstg Land'!F75&amp;" "&amp;'HB-D1 Besondere Lstg Land'!F76,IF(AND(Projektgrundlagen!$I$26,'HB-D2 Besondere Lstg Bund'!M43=TRUE),'HB-D2 Besondere Lstg Bund'!C43&amp;" "&amp;'HB-D2 Besondere Lstg Bund'!F43&amp;" "&amp;'HB-D2 Besondere Lstg Bund'!F44,""))</f>
        <v/>
      </c>
      <c r="C89" s="1129"/>
      <c r="D89" s="1129" t="str">
        <f>IF(AND(Projektgrundlagen!$I$25,'HB-D1 Besondere Lstg Land'!M75=TRUE),(IF('HB-D1 Besondere Lstg Land'!H75&gt;0,"v.H.","pauschal")),IF(AND(Projektgrundlagen!$I$26,'HB-D2 Besondere Lstg Bund'!M43=TRUE),(IF('HB-D2 Besondere Lstg Bund'!H43&gt;0,"v.H.","pauschal")),""))</f>
        <v/>
      </c>
      <c r="E89" s="1129" t="str">
        <f>IF(AND(Projektgrundlagen!$I$25,'HB-D1 Besondere Lstg Land'!M75=TRUE),'HB-D1 Besondere Lstg Land'!H75+'HB-D1 Besondere Lstg Land'!J75,IF(AND(Projektgrundlagen!$I$26,'HB-D2 Besondere Lstg Bund'!M43=TRUE),'HB-D2 Besondere Lstg Bund'!H43+'HB-D2 Besondere Lstg Bund'!J43,""))</f>
        <v/>
      </c>
      <c r="F89" s="1129" t="str">
        <f>IF(AND(Projektgrundlagen!$I$25,'HB-D1 Besondere Lstg Land'!M75=TRUE),'HB-D1 Besondere Lstg Land'!K75,IF(AND(Projektgrundlagen!$I$26,'HB-D2 Besondere Lstg Bund'!M43=TRUE),'HB-D2 Besondere Lstg Bund'!K43,""))</f>
        <v/>
      </c>
      <c r="G89" s="1134"/>
      <c r="H89" s="1135"/>
    </row>
    <row r="90" spans="2:8" ht="15">
      <c r="B90" t="str">
        <f>IF(AND(Projektgrundlagen!$I$25,'HB-D1 Besondere Lstg Land'!M76=TRUE),'HB-D1 Besondere Lstg Land'!C76&amp;" "&amp;'HB-D1 Besondere Lstg Land'!F76&amp;" "&amp;'HB-D1 Besondere Lstg Land'!F77,IF(AND(Projektgrundlagen!$I$26,'HB-D2 Besondere Lstg Bund'!M44=TRUE),'HB-D2 Besondere Lstg Bund'!C44&amp;" "&amp;'HB-D2 Besondere Lstg Bund'!F44&amp;" "&amp;'HB-D2 Besondere Lstg Bund'!F45,""))</f>
        <v>3.05 Visualisierungen Darstellungen (Renderings), die den Vorentwurf und/oder Entwurf realistisch darstellen, 3 Stk.</v>
      </c>
      <c r="C90" s="1129"/>
      <c r="D90" s="1129" t="str">
        <f>IF(AND(Projektgrundlagen!$I$25,'HB-D1 Besondere Lstg Land'!M76=TRUE),(IF('HB-D1 Besondere Lstg Land'!H76&gt;0,"v.H.","pauschal")),IF(AND(Projektgrundlagen!$I$26,'HB-D2 Besondere Lstg Bund'!M44=TRUE),(IF('HB-D2 Besondere Lstg Bund'!H44&gt;0,"v.H.","pauschal")),""))</f>
        <v>pauschal</v>
      </c>
      <c r="E90" s="1129">
        <f>IF(AND(Projektgrundlagen!$I$25,'HB-D1 Besondere Lstg Land'!M76=TRUE),'HB-D1 Besondere Lstg Land'!H76+'HB-D1 Besondere Lstg Land'!J76,IF(AND(Projektgrundlagen!$I$26,'HB-D2 Besondere Lstg Bund'!M44=TRUE),'HB-D2 Besondere Lstg Bund'!H44+'HB-D2 Besondere Lstg Bund'!J44,""))</f>
        <v>0</v>
      </c>
      <c r="F90" s="1129">
        <f>IF(AND(Projektgrundlagen!$I$25,'HB-D1 Besondere Lstg Land'!M76=TRUE),'HB-D1 Besondere Lstg Land'!K76,IF(AND(Projektgrundlagen!$I$26,'HB-D2 Besondere Lstg Bund'!M44=TRUE),'HB-D2 Besondere Lstg Bund'!K44,""))</f>
        <v>0</v>
      </c>
      <c r="G90" s="1134"/>
      <c r="H90" s="1135"/>
    </row>
    <row r="91" spans="2:8" ht="15">
      <c r="B91" t="str">
        <f>IF(AND(Projektgrundlagen!$I$25,'HB-D1 Besondere Lstg Land'!M77=TRUE),'HB-D1 Besondere Lstg Land'!C77&amp;" "&amp;'HB-D1 Besondere Lstg Land'!F77&amp;" "&amp;'HB-D1 Besondere Lstg Land'!F78,IF(AND(Projektgrundlagen!$I$26,'HB-D2 Besondere Lstg Bund'!M45=TRUE),'HB-D2 Besondere Lstg Bund'!C45&amp;" "&amp;'HB-D2 Besondere Lstg Bund'!F45&amp;" "&amp;'HB-D2 Besondere Lstg Bund'!F46,""))</f>
        <v/>
      </c>
      <c r="C91" s="1129"/>
      <c r="D91" s="1129" t="str">
        <f>IF(AND(Projektgrundlagen!$I$25,'HB-D1 Besondere Lstg Land'!M77=TRUE),(IF('HB-D1 Besondere Lstg Land'!H77&gt;0,"v.H.","pauschal")),IF(AND(Projektgrundlagen!$I$26,'HB-D2 Besondere Lstg Bund'!M45=TRUE),(IF('HB-D2 Besondere Lstg Bund'!H45&gt;0,"v.H.","pauschal")),""))</f>
        <v/>
      </c>
      <c r="E91" s="1129" t="str">
        <f>IF(AND(Projektgrundlagen!$I$25,'HB-D1 Besondere Lstg Land'!M77=TRUE),'HB-D1 Besondere Lstg Land'!H77+'HB-D1 Besondere Lstg Land'!J77,IF(AND(Projektgrundlagen!$I$26,'HB-D2 Besondere Lstg Bund'!M45=TRUE),'HB-D2 Besondere Lstg Bund'!H45+'HB-D2 Besondere Lstg Bund'!J45,""))</f>
        <v/>
      </c>
      <c r="F91" s="1129" t="str">
        <f>IF(AND(Projektgrundlagen!$I$25,'HB-D1 Besondere Lstg Land'!M77=TRUE),'HB-D1 Besondere Lstg Land'!K77,IF(AND(Projektgrundlagen!$I$26,'HB-D2 Besondere Lstg Bund'!M45=TRUE),'HB-D2 Besondere Lstg Bund'!K45,""))</f>
        <v/>
      </c>
      <c r="G91" s="1134"/>
      <c r="H91" s="1135"/>
    </row>
    <row r="92" spans="2:8" ht="15">
      <c r="B92" t="str">
        <f>IF(AND(Projektgrundlagen!$I$25,'HB-D1 Besondere Lstg Land'!M78=TRUE),'HB-D1 Besondere Lstg Land'!C78&amp;" "&amp;'HB-D1 Besondere Lstg Land'!F78&amp;" "&amp;'HB-D1 Besondere Lstg Land'!F79,IF(AND(Projektgrundlagen!$I$26,'HB-D2 Besondere Lstg Bund'!M46=TRUE),'HB-D2 Besondere Lstg Bund'!C46&amp;" "&amp;'HB-D2 Besondere Lstg Bund'!F46&amp;" "&amp;'HB-D2 Besondere Lstg Bund'!F47,""))</f>
        <v/>
      </c>
      <c r="C92" s="1129"/>
      <c r="D92" s="1129" t="str">
        <f>IF(AND(Projektgrundlagen!$I$25,'HB-D1 Besondere Lstg Land'!M78=TRUE),(IF('HB-D1 Besondere Lstg Land'!H78&gt;0,"v.H.","pauschal")),IF(AND(Projektgrundlagen!$I$26,'HB-D2 Besondere Lstg Bund'!M46=TRUE),(IF('HB-D2 Besondere Lstg Bund'!H46&gt;0,"v.H.","pauschal")),""))</f>
        <v/>
      </c>
      <c r="E92" s="1129" t="str">
        <f>IF(AND(Projektgrundlagen!$I$25,'HB-D1 Besondere Lstg Land'!M78=TRUE),'HB-D1 Besondere Lstg Land'!H78+'HB-D1 Besondere Lstg Land'!J78,IF(AND(Projektgrundlagen!$I$26,'HB-D2 Besondere Lstg Bund'!M46=TRUE),'HB-D2 Besondere Lstg Bund'!H46+'HB-D2 Besondere Lstg Bund'!J46,""))</f>
        <v/>
      </c>
      <c r="F92" s="1129" t="str">
        <f>IF(AND(Projektgrundlagen!$I$25,'HB-D1 Besondere Lstg Land'!M78=TRUE),'HB-D1 Besondere Lstg Land'!K78,IF(AND(Projektgrundlagen!$I$26,'HB-D2 Besondere Lstg Bund'!M46=TRUE),'HB-D2 Besondere Lstg Bund'!K46,""))</f>
        <v/>
      </c>
      <c r="G92" s="1134"/>
      <c r="H92" s="1135"/>
    </row>
    <row r="93" spans="2:8" ht="15">
      <c r="B93" t="str">
        <f>IF(AND(Projektgrundlagen!$I$25,'HB-D1 Besondere Lstg Land'!M79=TRUE),'HB-D1 Besondere Lstg Land'!C79&amp;" "&amp;'HB-D1 Besondere Lstg Land'!F79&amp;" "&amp;'HB-D1 Besondere Lstg Land'!F80,IF(AND(Projektgrundlagen!$I$26,'HB-D2 Besondere Lstg Bund'!M47=TRUE),'HB-D2 Besondere Lstg Bund'!C47&amp;" "&amp;'HB-D2 Besondere Lstg Bund'!F47&amp;" "&amp;'HB-D2 Besondere Lstg Bund'!F48,""))</f>
        <v/>
      </c>
      <c r="C93" s="1129"/>
      <c r="D93" s="1129" t="str">
        <f>IF(AND(Projektgrundlagen!$I$25,'HB-D1 Besondere Lstg Land'!M79=TRUE),(IF('HB-D1 Besondere Lstg Land'!H79&gt;0,"v.H.","pauschal")),IF(AND(Projektgrundlagen!$I$26,'HB-D2 Besondere Lstg Bund'!M47=TRUE),(IF('HB-D2 Besondere Lstg Bund'!H47&gt;0,"v.H.","pauschal")),""))</f>
        <v/>
      </c>
      <c r="E93" s="1129" t="str">
        <f>IF(AND(Projektgrundlagen!$I$25,'HB-D1 Besondere Lstg Land'!M79=TRUE),'HB-D1 Besondere Lstg Land'!H79+'HB-D1 Besondere Lstg Land'!J79,IF(AND(Projektgrundlagen!$I$26,'HB-D2 Besondere Lstg Bund'!M47=TRUE),'HB-D2 Besondere Lstg Bund'!H47+'HB-D2 Besondere Lstg Bund'!J47,""))</f>
        <v/>
      </c>
      <c r="F93" s="1129" t="str">
        <f>IF(AND(Projektgrundlagen!$I$25,'HB-D1 Besondere Lstg Land'!M79=TRUE),'HB-D1 Besondere Lstg Land'!K79,IF(AND(Projektgrundlagen!$I$26,'HB-D2 Besondere Lstg Bund'!M47=TRUE),'HB-D2 Besondere Lstg Bund'!K47,""))</f>
        <v/>
      </c>
      <c r="G93" s="1134"/>
      <c r="H93" s="1135"/>
    </row>
    <row r="94" spans="2:8" ht="15">
      <c r="B94" t="str">
        <f>IF(AND(Projektgrundlagen!$I$25,'HB-D1 Besondere Lstg Land'!M80=TRUE),'HB-D1 Besondere Lstg Land'!C80&amp;" "&amp;'HB-D1 Besondere Lstg Land'!F80&amp;" "&amp;'HB-D1 Besondere Lstg Land'!F81,IF(AND(Projektgrundlagen!$I$26,'HB-D2 Besondere Lstg Bund'!M48=TRUE),'HB-D2 Besondere Lstg Bund'!C48&amp;" "&amp;'HB-D2 Besondere Lstg Bund'!F48&amp;" "&amp;'HB-D2 Besondere Lstg Bund'!F49,""))</f>
        <v/>
      </c>
      <c r="C94" s="1129"/>
      <c r="D94" s="1129" t="str">
        <f>IF(AND(Projektgrundlagen!$I$25,'HB-D1 Besondere Lstg Land'!M80=TRUE),(IF('HB-D1 Besondere Lstg Land'!H80&gt;0,"v.H.","pauschal")),IF(AND(Projektgrundlagen!$I$26,'HB-D2 Besondere Lstg Bund'!M48=TRUE),(IF('HB-D2 Besondere Lstg Bund'!H48&gt;0,"v.H.","pauschal")),""))</f>
        <v/>
      </c>
      <c r="E94" s="1129" t="str">
        <f>IF(AND(Projektgrundlagen!$I$25,'HB-D1 Besondere Lstg Land'!M80=TRUE),'HB-D1 Besondere Lstg Land'!H80+'HB-D1 Besondere Lstg Land'!J80,IF(AND(Projektgrundlagen!$I$26,'HB-D2 Besondere Lstg Bund'!M48=TRUE),'HB-D2 Besondere Lstg Bund'!H48+'HB-D2 Besondere Lstg Bund'!J48,""))</f>
        <v/>
      </c>
      <c r="F94" s="1129" t="str">
        <f>IF(AND(Projektgrundlagen!$I$25,'HB-D1 Besondere Lstg Land'!M80=TRUE),'HB-D1 Besondere Lstg Land'!K80,IF(AND(Projektgrundlagen!$I$26,'HB-D2 Besondere Lstg Bund'!M48=TRUE),'HB-D2 Besondere Lstg Bund'!K48,""))</f>
        <v/>
      </c>
      <c r="G94" s="1134"/>
      <c r="H94" s="1135"/>
    </row>
    <row r="95" spans="2:8" ht="15">
      <c r="B95" t="str">
        <f>IF(AND(Projektgrundlagen!$I$25,'HB-D1 Besondere Lstg Land'!M81=TRUE),'HB-D1 Besondere Lstg Land'!C81&amp;" "&amp;'HB-D1 Besondere Lstg Land'!F81&amp;" "&amp;'HB-D1 Besondere Lstg Land'!F82,IF(AND(Projektgrundlagen!$I$26,'HB-D2 Besondere Lstg Bund'!M49=TRUE),'HB-D2 Besondere Lstg Bund'!C49&amp;" "&amp;'HB-D2 Besondere Lstg Bund'!F49&amp;" "&amp;'HB-D2 Besondere Lstg Bund'!F50,""))</f>
        <v/>
      </c>
      <c r="C95" s="1129"/>
      <c r="D95" s="1129" t="str">
        <f>IF(AND(Projektgrundlagen!$I$25,'HB-D1 Besondere Lstg Land'!M81=TRUE),(IF('HB-D1 Besondere Lstg Land'!H81&gt;0,"v.H.","pauschal")),IF(AND(Projektgrundlagen!$I$26,'HB-D2 Besondere Lstg Bund'!M49=TRUE),(IF('HB-D2 Besondere Lstg Bund'!H49&gt;0,"v.H.","pauschal")),""))</f>
        <v/>
      </c>
      <c r="E95" s="1129" t="str">
        <f>IF(AND(Projektgrundlagen!$I$25,'HB-D1 Besondere Lstg Land'!M81=TRUE),'HB-D1 Besondere Lstg Land'!H81+'HB-D1 Besondere Lstg Land'!J81,IF(AND(Projektgrundlagen!$I$26,'HB-D2 Besondere Lstg Bund'!M49=TRUE),'HB-D2 Besondere Lstg Bund'!H49+'HB-D2 Besondere Lstg Bund'!J49,""))</f>
        <v/>
      </c>
      <c r="F95" s="1129" t="str">
        <f>IF(AND(Projektgrundlagen!$I$25,'HB-D1 Besondere Lstg Land'!M81=TRUE),'HB-D1 Besondere Lstg Land'!K81,IF(AND(Projektgrundlagen!$I$26,'HB-D2 Besondere Lstg Bund'!M49=TRUE),'HB-D2 Besondere Lstg Bund'!K49,""))</f>
        <v/>
      </c>
      <c r="G95" s="1134"/>
      <c r="H95" s="1135"/>
    </row>
    <row r="96" spans="2:8" ht="15">
      <c r="B96" t="str">
        <f>IF(AND(Projektgrundlagen!$I$25,'HB-D1 Besondere Lstg Land'!M82=TRUE),'HB-D1 Besondere Lstg Land'!C82&amp;" "&amp;'HB-D1 Besondere Lstg Land'!F82&amp;" "&amp;'HB-D1 Besondere Lstg Land'!F83,IF(AND(Projektgrundlagen!$I$26,'HB-D2 Besondere Lstg Bund'!M50=TRUE),'HB-D2 Besondere Lstg Bund'!C50&amp;" "&amp;'HB-D2 Besondere Lstg Bund'!F50&amp;" "&amp;'HB-D2 Besondere Lstg Bund'!F51,""))</f>
        <v/>
      </c>
      <c r="C96" s="1129"/>
      <c r="D96" s="1129" t="str">
        <f>IF(AND(Projektgrundlagen!$I$25,'HB-D1 Besondere Lstg Land'!M82=TRUE),(IF('HB-D1 Besondere Lstg Land'!H82&gt;0,"v.H.","pauschal")),IF(AND(Projektgrundlagen!$I$26,'HB-D2 Besondere Lstg Bund'!M50=TRUE),(IF('HB-D2 Besondere Lstg Bund'!H50&gt;0,"v.H.","pauschal")),""))</f>
        <v/>
      </c>
      <c r="E96" s="1129" t="str">
        <f>IF(AND(Projektgrundlagen!$I$25,'HB-D1 Besondere Lstg Land'!M82=TRUE),'HB-D1 Besondere Lstg Land'!H82+'HB-D1 Besondere Lstg Land'!J82,IF(AND(Projektgrundlagen!$I$26,'HB-D2 Besondere Lstg Bund'!M50=TRUE),'HB-D2 Besondere Lstg Bund'!H50+'HB-D2 Besondere Lstg Bund'!J50,""))</f>
        <v/>
      </c>
      <c r="F96" s="1129" t="str">
        <f>IF(AND(Projektgrundlagen!$I$25,'HB-D1 Besondere Lstg Land'!M82=TRUE),'HB-D1 Besondere Lstg Land'!K82,IF(AND(Projektgrundlagen!$I$26,'HB-D2 Besondere Lstg Bund'!M50=TRUE),'HB-D2 Besondere Lstg Bund'!K50,""))</f>
        <v/>
      </c>
      <c r="G96" s="1134"/>
      <c r="H96" s="1135"/>
    </row>
    <row r="97" spans="2:8" ht="15">
      <c r="B97" t="str">
        <f>IF(AND(Projektgrundlagen!$I$25,'HB-D1 Besondere Lstg Land'!M83=TRUE),'HB-D1 Besondere Lstg Land'!C83&amp;" "&amp;'HB-D1 Besondere Lstg Land'!F83&amp;" "&amp;'HB-D1 Besondere Lstg Land'!F84,IF(AND(Projektgrundlagen!$I$26,'HB-D2 Besondere Lstg Bund'!M51=TRUE),'HB-D2 Besondere Lstg Bund'!C51&amp;" "&amp;'HB-D2 Besondere Lstg Bund'!F51&amp;" "&amp;'HB-D2 Besondere Lstg Bund'!F52,""))</f>
        <v/>
      </c>
      <c r="C97" s="1129"/>
      <c r="D97" s="1129" t="str">
        <f>IF(AND(Projektgrundlagen!$I$25,'HB-D1 Besondere Lstg Land'!M83=TRUE),(IF('HB-D1 Besondere Lstg Land'!H83&gt;0,"v.H.","pauschal")),IF(AND(Projektgrundlagen!$I$26,'HB-D2 Besondere Lstg Bund'!M51=TRUE),(IF('HB-D2 Besondere Lstg Bund'!H51&gt;0,"v.H.","pauschal")),""))</f>
        <v/>
      </c>
      <c r="E97" s="1129" t="str">
        <f>IF(AND(Projektgrundlagen!$I$25,'HB-D1 Besondere Lstg Land'!M83=TRUE),'HB-D1 Besondere Lstg Land'!H83+'HB-D1 Besondere Lstg Land'!J83,IF(AND(Projektgrundlagen!$I$26,'HB-D2 Besondere Lstg Bund'!M51=TRUE),'HB-D2 Besondere Lstg Bund'!H51+'HB-D2 Besondere Lstg Bund'!J51,""))</f>
        <v/>
      </c>
      <c r="F97" s="1129" t="str">
        <f>IF(AND(Projektgrundlagen!$I$25,'HB-D1 Besondere Lstg Land'!M83=TRUE),'HB-D1 Besondere Lstg Land'!K83,IF(AND(Projektgrundlagen!$I$26,'HB-D2 Besondere Lstg Bund'!M51=TRUE),'HB-D2 Besondere Lstg Bund'!K51,""))</f>
        <v/>
      </c>
      <c r="G97" s="1134"/>
      <c r="H97" s="1135"/>
    </row>
    <row r="98" spans="2:8" ht="15">
      <c r="B98" t="str">
        <f>IF(AND(Projektgrundlagen!$I$25,'HB-D1 Besondere Lstg Land'!M84=TRUE),'HB-D1 Besondere Lstg Land'!C84&amp;" "&amp;'HB-D1 Besondere Lstg Land'!F84&amp;" "&amp;'HB-D1 Besondere Lstg Land'!F85,IF(AND(Projektgrundlagen!$I$26,'HB-D2 Besondere Lstg Bund'!M52=TRUE),'HB-D2 Besondere Lstg Bund'!C52&amp;" "&amp;'HB-D2 Besondere Lstg Bund'!F52&amp;" "&amp;'HB-D2 Besondere Lstg Bund'!F53,""))</f>
        <v/>
      </c>
      <c r="C98" s="1129"/>
      <c r="D98" s="1129" t="str">
        <f>IF(AND(Projektgrundlagen!$I$25,'HB-D1 Besondere Lstg Land'!M84=TRUE),(IF('HB-D1 Besondere Lstg Land'!H84&gt;0,"v.H.","pauschal")),IF(AND(Projektgrundlagen!$I$26,'HB-D2 Besondere Lstg Bund'!M52=TRUE),(IF('HB-D2 Besondere Lstg Bund'!H52&gt;0,"v.H.","pauschal")),""))</f>
        <v/>
      </c>
      <c r="E98" s="1129" t="str">
        <f>IF(AND(Projektgrundlagen!$I$25,'HB-D1 Besondere Lstg Land'!M84=TRUE),'HB-D1 Besondere Lstg Land'!H84+'HB-D1 Besondere Lstg Land'!J84,IF(AND(Projektgrundlagen!$I$26,'HB-D2 Besondere Lstg Bund'!M52=TRUE),'HB-D2 Besondere Lstg Bund'!H52+'HB-D2 Besondere Lstg Bund'!J52,""))</f>
        <v/>
      </c>
      <c r="F98" s="1129" t="str">
        <f>IF(AND(Projektgrundlagen!$I$25,'HB-D1 Besondere Lstg Land'!M84=TRUE),'HB-D1 Besondere Lstg Land'!K84,IF(AND(Projektgrundlagen!$I$26,'HB-D2 Besondere Lstg Bund'!M52=TRUE),'HB-D2 Besondere Lstg Bund'!K52,""))</f>
        <v/>
      </c>
      <c r="G98" s="1134"/>
      <c r="H98" s="1135"/>
    </row>
    <row r="99" spans="2:8" ht="15">
      <c r="B99" t="str">
        <f>IF(AND(Projektgrundlagen!$I$25,'HB-D1 Besondere Lstg Land'!M85=TRUE),'HB-D1 Besondere Lstg Land'!C85&amp;" "&amp;'HB-D1 Besondere Lstg Land'!F85&amp;" "&amp;'HB-D1 Besondere Lstg Land'!F86,IF(AND(Projektgrundlagen!$I$26,'HB-D2 Besondere Lstg Bund'!M53=TRUE),'HB-D2 Besondere Lstg Bund'!C53&amp;" "&amp;'HB-D2 Besondere Lstg Bund'!F53&amp;" "&amp;'HB-D2 Besondere Lstg Bund'!F54,""))</f>
        <v/>
      </c>
      <c r="C99" s="1129"/>
      <c r="D99" s="1129" t="str">
        <f>IF(AND(Projektgrundlagen!$I$25,'HB-D1 Besondere Lstg Land'!M85=TRUE),(IF('HB-D1 Besondere Lstg Land'!H85&gt;0,"v.H.","pauschal")),IF(AND(Projektgrundlagen!$I$26,'HB-D2 Besondere Lstg Bund'!M53=TRUE),(IF('HB-D2 Besondere Lstg Bund'!H53&gt;0,"v.H.","pauschal")),""))</f>
        <v/>
      </c>
      <c r="E99" s="1129" t="str">
        <f>IF(AND(Projektgrundlagen!$I$25,'HB-D1 Besondere Lstg Land'!M85=TRUE),'HB-D1 Besondere Lstg Land'!H85+'HB-D1 Besondere Lstg Land'!J85,IF(AND(Projektgrundlagen!$I$26,'HB-D2 Besondere Lstg Bund'!M53=TRUE),'HB-D2 Besondere Lstg Bund'!H53+'HB-D2 Besondere Lstg Bund'!J53,""))</f>
        <v/>
      </c>
      <c r="F99" s="1129" t="str">
        <f>IF(AND(Projektgrundlagen!$I$25,'HB-D1 Besondere Lstg Land'!M85=TRUE),'HB-D1 Besondere Lstg Land'!K85,IF(AND(Projektgrundlagen!$I$26,'HB-D2 Besondere Lstg Bund'!M53=TRUE),'HB-D2 Besondere Lstg Bund'!K53,""))</f>
        <v/>
      </c>
      <c r="G99" s="1134"/>
      <c r="H99" s="1135"/>
    </row>
    <row r="100" spans="2:8" ht="15">
      <c r="B100" t="str">
        <f>IF(AND(Projektgrundlagen!$I$25,'HB-D1 Besondere Lstg Land'!M86=TRUE),'HB-D1 Besondere Lstg Land'!C86&amp;" "&amp;'HB-D1 Besondere Lstg Land'!F86&amp;" "&amp;'HB-D1 Besondere Lstg Land'!F87,IF(AND(Projektgrundlagen!$I$26,'HB-D2 Besondere Lstg Bund'!M54=TRUE),'HB-D2 Besondere Lstg Bund'!C54&amp;" "&amp;'HB-D2 Besondere Lstg Bund'!F54&amp;" "&amp;'HB-D2 Besondere Lstg Bund'!F55,""))</f>
        <v/>
      </c>
      <c r="C100" s="1129"/>
      <c r="D100" s="1129" t="str">
        <f>IF(AND(Projektgrundlagen!$I$25,'HB-D1 Besondere Lstg Land'!M86=TRUE),(IF('HB-D1 Besondere Lstg Land'!H86&gt;0,"v.H.","pauschal")),IF(AND(Projektgrundlagen!$I$26,'HB-D2 Besondere Lstg Bund'!M54=TRUE),(IF('HB-D2 Besondere Lstg Bund'!H54&gt;0,"v.H.","pauschal")),""))</f>
        <v/>
      </c>
      <c r="E100" s="1129" t="str">
        <f>IF(AND(Projektgrundlagen!$I$25,'HB-D1 Besondere Lstg Land'!M86=TRUE),'HB-D1 Besondere Lstg Land'!H86+'HB-D1 Besondere Lstg Land'!J86,IF(AND(Projektgrundlagen!$I$26,'HB-D2 Besondere Lstg Bund'!M54=TRUE),'HB-D2 Besondere Lstg Bund'!H54+'HB-D2 Besondere Lstg Bund'!J54,""))</f>
        <v/>
      </c>
      <c r="F100" s="1129" t="str">
        <f>IF(AND(Projektgrundlagen!$I$25,'HB-D1 Besondere Lstg Land'!M86=TRUE),'HB-D1 Besondere Lstg Land'!K86,IF(AND(Projektgrundlagen!$I$26,'HB-D2 Besondere Lstg Bund'!M54=TRUE),'HB-D2 Besondere Lstg Bund'!K54,""))</f>
        <v/>
      </c>
      <c r="G100" s="1134"/>
      <c r="H100" s="1135"/>
    </row>
    <row r="101" spans="2:8" ht="15">
      <c r="B101" t="str">
        <f>IF(AND(Projektgrundlagen!$I$25,'HB-D1 Besondere Lstg Land'!M87=TRUE),'HB-D1 Besondere Lstg Land'!C87&amp;" "&amp;'HB-D1 Besondere Lstg Land'!F87&amp;" "&amp;'HB-D1 Besondere Lstg Land'!F88,IF(AND(Projektgrundlagen!$I$26,'HB-D2 Besondere Lstg Bund'!M55=TRUE),'HB-D2 Besondere Lstg Bund'!C55&amp;" "&amp;'HB-D2 Besondere Lstg Bund'!F55&amp;" "&amp;'HB-D2 Besondere Lstg Bund'!F56,""))</f>
        <v/>
      </c>
      <c r="C101" s="1129"/>
      <c r="D101" s="1129" t="str">
        <f>IF(AND(Projektgrundlagen!$I$25,'HB-D1 Besondere Lstg Land'!M87=TRUE),(IF('HB-D1 Besondere Lstg Land'!H87&gt;0,"v.H.","pauschal")),IF(AND(Projektgrundlagen!$I$26,'HB-D2 Besondere Lstg Bund'!M55=TRUE),(IF('HB-D2 Besondere Lstg Bund'!H55&gt;0,"v.H.","pauschal")),""))</f>
        <v/>
      </c>
      <c r="E101" s="1129" t="str">
        <f>IF(AND(Projektgrundlagen!$I$25,'HB-D1 Besondere Lstg Land'!M87=TRUE),'HB-D1 Besondere Lstg Land'!H87+'HB-D1 Besondere Lstg Land'!J87,IF(AND(Projektgrundlagen!$I$26,'HB-D2 Besondere Lstg Bund'!M55=TRUE),'HB-D2 Besondere Lstg Bund'!H55+'HB-D2 Besondere Lstg Bund'!J55,""))</f>
        <v/>
      </c>
      <c r="F101" s="1129" t="str">
        <f>IF(AND(Projektgrundlagen!$I$25,'HB-D1 Besondere Lstg Land'!M87=TRUE),'HB-D1 Besondere Lstg Land'!K87,IF(AND(Projektgrundlagen!$I$26,'HB-D2 Besondere Lstg Bund'!M55=TRUE),'HB-D2 Besondere Lstg Bund'!K55,""))</f>
        <v/>
      </c>
      <c r="G101" s="1134"/>
      <c r="H101" s="1135"/>
    </row>
    <row r="102" spans="2:8" ht="15">
      <c r="B102" t="str">
        <f>IF(AND(Projektgrundlagen!$I$25,'HB-D1 Besondere Lstg Land'!M88=TRUE),'HB-D1 Besondere Lstg Land'!C88&amp;" "&amp;'HB-D1 Besondere Lstg Land'!F88&amp;" "&amp;'HB-D1 Besondere Lstg Land'!F89,IF(AND(Projektgrundlagen!$I$26,'HB-D2 Besondere Lstg Bund'!M56=TRUE),'HB-D2 Besondere Lstg Bund'!C56&amp;" "&amp;'HB-D2 Besondere Lstg Bund'!F56&amp;" "&amp;'HB-D2 Besondere Lstg Bund'!F57,""))</f>
        <v/>
      </c>
      <c r="C102" s="1129"/>
      <c r="D102" s="1129" t="str">
        <f>IF(AND(Projektgrundlagen!$I$25,'HB-D1 Besondere Lstg Land'!M88=TRUE),(IF('HB-D1 Besondere Lstg Land'!H88&gt;0,"v.H.","pauschal")),IF(AND(Projektgrundlagen!$I$26,'HB-D2 Besondere Lstg Bund'!M56=TRUE),(IF('HB-D2 Besondere Lstg Bund'!H56&gt;0,"v.H.","pauschal")),""))</f>
        <v/>
      </c>
      <c r="E102" s="1129" t="str">
        <f>IF(AND(Projektgrundlagen!$I$25,'HB-D1 Besondere Lstg Land'!M88=TRUE),'HB-D1 Besondere Lstg Land'!H88+'HB-D1 Besondere Lstg Land'!J88,IF(AND(Projektgrundlagen!$I$26,'HB-D2 Besondere Lstg Bund'!M56=TRUE),'HB-D2 Besondere Lstg Bund'!H56+'HB-D2 Besondere Lstg Bund'!J56,""))</f>
        <v/>
      </c>
      <c r="F102" s="1129" t="str">
        <f>IF(AND(Projektgrundlagen!$I$25,'HB-D1 Besondere Lstg Land'!M88=TRUE),'HB-D1 Besondere Lstg Land'!K88,IF(AND(Projektgrundlagen!$I$26,'HB-D2 Besondere Lstg Bund'!M56=TRUE),'HB-D2 Besondere Lstg Bund'!K56,""))</f>
        <v/>
      </c>
      <c r="G102" s="1134"/>
      <c r="H102" s="1135"/>
    </row>
    <row r="103" spans="2:8" ht="15">
      <c r="B103" t="str">
        <f>IF(AND(Projektgrundlagen!$I$25,'HB-D1 Besondere Lstg Land'!M89=TRUE),'HB-D1 Besondere Lstg Land'!C89&amp;" "&amp;'HB-D1 Besondere Lstg Land'!F89&amp;" "&amp;'HB-D1 Besondere Lstg Land'!F90,IF(AND(Projektgrundlagen!$I$26,'HB-D2 Besondere Lstg Bund'!M57=TRUE),'HB-D2 Besondere Lstg Bund'!C57&amp;" "&amp;'HB-D2 Besondere Lstg Bund'!F57&amp;" "&amp;'HB-D2 Besondere Lstg Bund'!F58,""))</f>
        <v/>
      </c>
      <c r="C103" s="1129"/>
      <c r="D103" s="1129" t="str">
        <f>IF(AND(Projektgrundlagen!$I$25,'HB-D1 Besondere Lstg Land'!M89=TRUE),(IF('HB-D1 Besondere Lstg Land'!H89&gt;0,"v.H.","pauschal")),IF(AND(Projektgrundlagen!$I$26,'HB-D2 Besondere Lstg Bund'!M57=TRUE),(IF('HB-D2 Besondere Lstg Bund'!H57&gt;0,"v.H.","pauschal")),""))</f>
        <v/>
      </c>
      <c r="E103" s="1129" t="str">
        <f>IF(AND(Projektgrundlagen!$I$25,'HB-D1 Besondere Lstg Land'!M89=TRUE),'HB-D1 Besondere Lstg Land'!H89+'HB-D1 Besondere Lstg Land'!J89,IF(AND(Projektgrundlagen!$I$26,'HB-D2 Besondere Lstg Bund'!M57=TRUE),'HB-D2 Besondere Lstg Bund'!H57+'HB-D2 Besondere Lstg Bund'!J57,""))</f>
        <v/>
      </c>
      <c r="F103" s="1129" t="str">
        <f>IF(AND(Projektgrundlagen!$I$25,'HB-D1 Besondere Lstg Land'!M89=TRUE),'HB-D1 Besondere Lstg Land'!K89,IF(AND(Projektgrundlagen!$I$26,'HB-D2 Besondere Lstg Bund'!M57=TRUE),'HB-D2 Besondere Lstg Bund'!K57,""))</f>
        <v/>
      </c>
      <c r="G103" s="1134"/>
      <c r="H103" s="1135"/>
    </row>
    <row r="104" spans="2:8" ht="15">
      <c r="B104" t="str">
        <f>IF(AND(Projektgrundlagen!$I$25,'HB-D1 Besondere Lstg Land'!M90=TRUE),'HB-D1 Besondere Lstg Land'!C90&amp;" "&amp;'HB-D1 Besondere Lstg Land'!F90&amp;" "&amp;'HB-D1 Besondere Lstg Land'!F91,IF(AND(Projektgrundlagen!$I$26,'HB-D2 Besondere Lstg Bund'!M58=TRUE),'HB-D2 Besondere Lstg Bund'!C58&amp;" "&amp;'HB-D2 Besondere Lstg Bund'!F58&amp;" "&amp;'HB-D2 Besondere Lstg Bund'!F59,""))</f>
        <v/>
      </c>
      <c r="C104" s="1129"/>
      <c r="D104" s="1129" t="str">
        <f>IF(AND(Projektgrundlagen!$I$25,'HB-D1 Besondere Lstg Land'!M90=TRUE),(IF('HB-D1 Besondere Lstg Land'!H90&gt;0,"v.H.","pauschal")),IF(AND(Projektgrundlagen!$I$26,'HB-D2 Besondere Lstg Bund'!M58=TRUE),(IF('HB-D2 Besondere Lstg Bund'!H58&gt;0,"v.H.","pauschal")),""))</f>
        <v/>
      </c>
      <c r="E104" s="1129" t="str">
        <f>IF(AND(Projektgrundlagen!$I$25,'HB-D1 Besondere Lstg Land'!M90=TRUE),'HB-D1 Besondere Lstg Land'!H90+'HB-D1 Besondere Lstg Land'!J90,IF(AND(Projektgrundlagen!$I$26,'HB-D2 Besondere Lstg Bund'!M58=TRUE),'HB-D2 Besondere Lstg Bund'!H58+'HB-D2 Besondere Lstg Bund'!J58,""))</f>
        <v/>
      </c>
      <c r="F104" s="1129" t="str">
        <f>IF(AND(Projektgrundlagen!$I$25,'HB-D1 Besondere Lstg Land'!M90=TRUE),'HB-D1 Besondere Lstg Land'!K90,IF(AND(Projektgrundlagen!$I$26,'HB-D2 Besondere Lstg Bund'!M58=TRUE),'HB-D2 Besondere Lstg Bund'!K58,""))</f>
        <v/>
      </c>
      <c r="G104" s="1134"/>
      <c r="H104" s="1135"/>
    </row>
    <row r="105" spans="2:8" ht="15">
      <c r="B105" t="str">
        <f>IF(AND(Projektgrundlagen!$I$25,'HB-D1 Besondere Lstg Land'!M91=TRUE),'HB-D1 Besondere Lstg Land'!C91&amp;" "&amp;'HB-D1 Besondere Lstg Land'!F91&amp;" "&amp;'HB-D1 Besondere Lstg Land'!F92,IF(AND(Projektgrundlagen!$I$26,'HB-D2 Besondere Lstg Bund'!M59=TRUE),'HB-D2 Besondere Lstg Bund'!C59&amp;" "&amp;'HB-D2 Besondere Lstg Bund'!F59&amp;" "&amp;'HB-D2 Besondere Lstg Bund'!F60,""))</f>
        <v/>
      </c>
      <c r="C105" s="1129"/>
      <c r="D105" s="1129" t="str">
        <f>IF(AND(Projektgrundlagen!$I$25,'HB-D1 Besondere Lstg Land'!M91=TRUE),(IF('HB-D1 Besondere Lstg Land'!H91&gt;0,"v.H.","pauschal")),IF(AND(Projektgrundlagen!$I$26,'HB-D2 Besondere Lstg Bund'!M59=TRUE),(IF('HB-D2 Besondere Lstg Bund'!H59&gt;0,"v.H.","pauschal")),""))</f>
        <v/>
      </c>
      <c r="E105" s="1129" t="str">
        <f>IF(AND(Projektgrundlagen!$I$25,'HB-D1 Besondere Lstg Land'!M91=TRUE),'HB-D1 Besondere Lstg Land'!H91+'HB-D1 Besondere Lstg Land'!J91,IF(AND(Projektgrundlagen!$I$26,'HB-D2 Besondere Lstg Bund'!M59=TRUE),'HB-D2 Besondere Lstg Bund'!H59+'HB-D2 Besondere Lstg Bund'!J59,""))</f>
        <v/>
      </c>
      <c r="F105" s="1129" t="str">
        <f>IF(AND(Projektgrundlagen!$I$25,'HB-D1 Besondere Lstg Land'!M91=TRUE),'HB-D1 Besondere Lstg Land'!K91,IF(AND(Projektgrundlagen!$I$26,'HB-D2 Besondere Lstg Bund'!M59=TRUE),'HB-D2 Besondere Lstg Bund'!K59,""))</f>
        <v/>
      </c>
      <c r="G105" s="1134"/>
      <c r="H105" s="1135"/>
    </row>
    <row r="106" spans="2:8" ht="15">
      <c r="B106" t="str">
        <f>IF(AND(Projektgrundlagen!$I$25,'HB-D1 Besondere Lstg Land'!M92=TRUE),'HB-D1 Besondere Lstg Land'!C92&amp;" "&amp;'HB-D1 Besondere Lstg Land'!F92&amp;" "&amp;'HB-D1 Besondere Lstg Land'!F93,IF(AND(Projektgrundlagen!$I$26,'HB-D2 Besondere Lstg Bund'!M60=TRUE),'HB-D2 Besondere Lstg Bund'!C60&amp;" "&amp;'HB-D2 Besondere Lstg Bund'!F60&amp;" "&amp;'HB-D2 Besondere Lstg Bund'!F61,""))</f>
        <v/>
      </c>
      <c r="C106" s="1129"/>
      <c r="D106" s="1129" t="str">
        <f>IF(AND(Projektgrundlagen!$I$25,'HB-D1 Besondere Lstg Land'!M92=TRUE),(IF('HB-D1 Besondere Lstg Land'!H92&gt;0,"v.H.","pauschal")),IF(AND(Projektgrundlagen!$I$26,'HB-D2 Besondere Lstg Bund'!M60=TRUE),(IF('HB-D2 Besondere Lstg Bund'!H60&gt;0,"v.H.","pauschal")),""))</f>
        <v/>
      </c>
      <c r="E106" s="1129" t="str">
        <f>IF(AND(Projektgrundlagen!$I$25,'HB-D1 Besondere Lstg Land'!M92=TRUE),'HB-D1 Besondere Lstg Land'!H92+'HB-D1 Besondere Lstg Land'!J92,IF(AND(Projektgrundlagen!$I$26,'HB-D2 Besondere Lstg Bund'!M60=TRUE),'HB-D2 Besondere Lstg Bund'!H60+'HB-D2 Besondere Lstg Bund'!J60,""))</f>
        <v/>
      </c>
      <c r="F106" s="1129" t="str">
        <f>IF(AND(Projektgrundlagen!$I$25,'HB-D1 Besondere Lstg Land'!M92=TRUE),'HB-D1 Besondere Lstg Land'!K92,IF(AND(Projektgrundlagen!$I$26,'HB-D2 Besondere Lstg Bund'!M60=TRUE),'HB-D2 Besondere Lstg Bund'!K60,""))</f>
        <v/>
      </c>
      <c r="G106" s="1134"/>
      <c r="H106" s="1135"/>
    </row>
    <row r="107" spans="2:8" ht="15">
      <c r="B107" t="str">
        <f>IF(AND(Projektgrundlagen!$I$25,'HB-D1 Besondere Lstg Land'!M93=TRUE),'HB-D1 Besondere Lstg Land'!C93&amp;" "&amp;'HB-D1 Besondere Lstg Land'!F93&amp;" "&amp;'HB-D1 Besondere Lstg Land'!F94,IF(AND(Projektgrundlagen!$I$26,'HB-D2 Besondere Lstg Bund'!M61=TRUE),'HB-D2 Besondere Lstg Bund'!C61&amp;" "&amp;'HB-D2 Besondere Lstg Bund'!F61&amp;" "&amp;'HB-D2 Besondere Lstg Bund'!F62,""))</f>
        <v/>
      </c>
      <c r="C107" s="1129"/>
      <c r="D107" s="1129" t="str">
        <f>IF(AND(Projektgrundlagen!$I$25,'HB-D1 Besondere Lstg Land'!M93=TRUE),(IF('HB-D1 Besondere Lstg Land'!H93&gt;0,"v.H.","pauschal")),IF(AND(Projektgrundlagen!$I$26,'HB-D2 Besondere Lstg Bund'!M61=TRUE),(IF('HB-D2 Besondere Lstg Bund'!H61&gt;0,"v.H.","pauschal")),""))</f>
        <v/>
      </c>
      <c r="E107" s="1129" t="str">
        <f>IF(AND(Projektgrundlagen!$I$25,'HB-D1 Besondere Lstg Land'!M93=TRUE),'HB-D1 Besondere Lstg Land'!H93+'HB-D1 Besondere Lstg Land'!J93,IF(AND(Projektgrundlagen!$I$26,'HB-D2 Besondere Lstg Bund'!M61=TRUE),'HB-D2 Besondere Lstg Bund'!H61+'HB-D2 Besondere Lstg Bund'!J61,""))</f>
        <v/>
      </c>
      <c r="F107" s="1129" t="str">
        <f>IF(AND(Projektgrundlagen!$I$25,'HB-D1 Besondere Lstg Land'!M93=TRUE),'HB-D1 Besondere Lstg Land'!K93,IF(AND(Projektgrundlagen!$I$26,'HB-D2 Besondere Lstg Bund'!M61=TRUE),'HB-D2 Besondere Lstg Bund'!K61,""))</f>
        <v/>
      </c>
      <c r="G107" s="1134"/>
      <c r="H107" s="1135"/>
    </row>
    <row r="108" spans="2:8" ht="15">
      <c r="B108" t="str">
        <f>IF(AND(Projektgrundlagen!$I$25,'HB-D1 Besondere Lstg Land'!M94=TRUE),'HB-D1 Besondere Lstg Land'!C94&amp;" "&amp;'HB-D1 Besondere Lstg Land'!F94&amp;" "&amp;'HB-D1 Besondere Lstg Land'!F95,IF(AND(Projektgrundlagen!$I$26,'HB-D2 Besondere Lstg Bund'!M62=TRUE),'HB-D2 Besondere Lstg Bund'!C62&amp;" "&amp;'HB-D2 Besondere Lstg Bund'!F62&amp;" "&amp;'HB-D2 Besondere Lstg Bund'!F63,""))</f>
        <v/>
      </c>
      <c r="C108" s="1129"/>
      <c r="D108" s="1129" t="str">
        <f>IF(AND(Projektgrundlagen!$I$25,'HB-D1 Besondere Lstg Land'!M94=TRUE),(IF('HB-D1 Besondere Lstg Land'!H94&gt;0,"v.H.","pauschal")),IF(AND(Projektgrundlagen!$I$26,'HB-D2 Besondere Lstg Bund'!M62=TRUE),(IF('HB-D2 Besondere Lstg Bund'!H62&gt;0,"v.H.","pauschal")),""))</f>
        <v/>
      </c>
      <c r="E108" s="1129" t="str">
        <f>IF(AND(Projektgrundlagen!$I$25,'HB-D1 Besondere Lstg Land'!M94=TRUE),'HB-D1 Besondere Lstg Land'!H94+'HB-D1 Besondere Lstg Land'!J94,IF(AND(Projektgrundlagen!$I$26,'HB-D2 Besondere Lstg Bund'!M62=TRUE),'HB-D2 Besondere Lstg Bund'!H62+'HB-D2 Besondere Lstg Bund'!J62,""))</f>
        <v/>
      </c>
      <c r="F108" s="1129" t="str">
        <f>IF(AND(Projektgrundlagen!$I$25,'HB-D1 Besondere Lstg Land'!M94=TRUE),'HB-D1 Besondere Lstg Land'!K94,IF(AND(Projektgrundlagen!$I$26,'HB-D2 Besondere Lstg Bund'!M62=TRUE),'HB-D2 Besondere Lstg Bund'!K62,""))</f>
        <v/>
      </c>
      <c r="G108" s="1134"/>
      <c r="H108" s="1135"/>
    </row>
    <row r="109" spans="2:8" ht="15">
      <c r="B109" t="str">
        <f>IF(AND(Projektgrundlagen!$I$25,'HB-D1 Besondere Lstg Land'!M95=TRUE),'HB-D1 Besondere Lstg Land'!C95&amp;" "&amp;'HB-D1 Besondere Lstg Land'!F95&amp;" "&amp;'HB-D1 Besondere Lstg Land'!F96,IF(AND(Projektgrundlagen!$I$26,'HB-D2 Besondere Lstg Bund'!M63=TRUE),'HB-D2 Besondere Lstg Bund'!C63&amp;" "&amp;'HB-D2 Besondere Lstg Bund'!F63&amp;" "&amp;'HB-D2 Besondere Lstg Bund'!F64,""))</f>
        <v/>
      </c>
      <c r="C109" s="1129"/>
      <c r="D109" s="1129" t="str">
        <f>IF(AND(Projektgrundlagen!$I$25,'HB-D1 Besondere Lstg Land'!M95=TRUE),(IF('HB-D1 Besondere Lstg Land'!H95&gt;0,"v.H.","pauschal")),IF(AND(Projektgrundlagen!$I$26,'HB-D2 Besondere Lstg Bund'!M63=TRUE),(IF('HB-D2 Besondere Lstg Bund'!H63&gt;0,"v.H.","pauschal")),""))</f>
        <v/>
      </c>
      <c r="E109" s="1129" t="str">
        <f>IF(AND(Projektgrundlagen!$I$25,'HB-D1 Besondere Lstg Land'!M95=TRUE),'HB-D1 Besondere Lstg Land'!H95+'HB-D1 Besondere Lstg Land'!J95,IF(AND(Projektgrundlagen!$I$26,'HB-D2 Besondere Lstg Bund'!M63=TRUE),'HB-D2 Besondere Lstg Bund'!H63+'HB-D2 Besondere Lstg Bund'!J63,""))</f>
        <v/>
      </c>
      <c r="F109" s="1129" t="str">
        <f>IF(AND(Projektgrundlagen!$I$25,'HB-D1 Besondere Lstg Land'!M95=TRUE),'HB-D1 Besondere Lstg Land'!K95,IF(AND(Projektgrundlagen!$I$26,'HB-D2 Besondere Lstg Bund'!M63=TRUE),'HB-D2 Besondere Lstg Bund'!K63,""))</f>
        <v/>
      </c>
      <c r="G109" s="1134"/>
      <c r="H109" s="1135"/>
    </row>
    <row r="110" spans="2:8" ht="15">
      <c r="B110" t="str">
        <f>IF(AND(Projektgrundlagen!$I$25,'HB-D1 Besondere Lstg Land'!M96=TRUE),'HB-D1 Besondere Lstg Land'!C96&amp;" "&amp;'HB-D1 Besondere Lstg Land'!F96&amp;" "&amp;'HB-D1 Besondere Lstg Land'!F97,IF(AND(Projektgrundlagen!$I$26,'HB-D2 Besondere Lstg Bund'!M64=TRUE),'HB-D2 Besondere Lstg Bund'!C64&amp;" "&amp;'HB-D2 Besondere Lstg Bund'!F64&amp;" "&amp;'HB-D2 Besondere Lstg Bund'!F65,""))</f>
        <v/>
      </c>
      <c r="C110" s="1129"/>
      <c r="D110" s="1129" t="str">
        <f>IF(AND(Projektgrundlagen!$I$25,'HB-D1 Besondere Lstg Land'!M96=TRUE),(IF('HB-D1 Besondere Lstg Land'!H96&gt;0,"v.H.","pauschal")),IF(AND(Projektgrundlagen!$I$26,'HB-D2 Besondere Lstg Bund'!M64=TRUE),(IF('HB-D2 Besondere Lstg Bund'!H64&gt;0,"v.H.","pauschal")),""))</f>
        <v/>
      </c>
      <c r="E110" s="1129" t="str">
        <f>IF(AND(Projektgrundlagen!$I$25,'HB-D1 Besondere Lstg Land'!M96=TRUE),'HB-D1 Besondere Lstg Land'!H96+'HB-D1 Besondere Lstg Land'!J96,IF(AND(Projektgrundlagen!$I$26,'HB-D2 Besondere Lstg Bund'!M64=TRUE),'HB-D2 Besondere Lstg Bund'!H64+'HB-D2 Besondere Lstg Bund'!J64,""))</f>
        <v/>
      </c>
      <c r="F110" s="1129" t="str">
        <f>IF(AND(Projektgrundlagen!$I$25,'HB-D1 Besondere Lstg Land'!M96=TRUE),'HB-D1 Besondere Lstg Land'!K96,IF(AND(Projektgrundlagen!$I$26,'HB-D2 Besondere Lstg Bund'!M64=TRUE),'HB-D2 Besondere Lstg Bund'!K64,""))</f>
        <v/>
      </c>
      <c r="G110" s="1134"/>
      <c r="H110" s="1135"/>
    </row>
    <row r="111" spans="2:8" ht="15">
      <c r="B111" t="str">
        <f>IF(AND(Projektgrundlagen!$I$25,'HB-D1 Besondere Lstg Land'!M97=TRUE),'HB-D1 Besondere Lstg Land'!C97&amp;" "&amp;'HB-D1 Besondere Lstg Land'!F97&amp;" "&amp;'HB-D1 Besondere Lstg Land'!F98,IF(AND(Projektgrundlagen!$I$26,'HB-D2 Besondere Lstg Bund'!M65=TRUE),'HB-D2 Besondere Lstg Bund'!C65&amp;" "&amp;'HB-D2 Besondere Lstg Bund'!F65&amp;" "&amp;'HB-D2 Besondere Lstg Bund'!F66,""))</f>
        <v/>
      </c>
      <c r="C111" s="1129"/>
      <c r="D111" s="1129" t="str">
        <f>IF(AND(Projektgrundlagen!$I$25,'HB-D1 Besondere Lstg Land'!M97=TRUE),(IF('HB-D1 Besondere Lstg Land'!H97&gt;0,"v.H.","pauschal")),IF(AND(Projektgrundlagen!$I$26,'HB-D2 Besondere Lstg Bund'!M65=TRUE),(IF('HB-D2 Besondere Lstg Bund'!H65&gt;0,"v.H.","pauschal")),""))</f>
        <v/>
      </c>
      <c r="E111" s="1129" t="str">
        <f>IF(AND(Projektgrundlagen!$I$25,'HB-D1 Besondere Lstg Land'!M97=TRUE),'HB-D1 Besondere Lstg Land'!H97+'HB-D1 Besondere Lstg Land'!J97,IF(AND(Projektgrundlagen!$I$26,'HB-D2 Besondere Lstg Bund'!M65=TRUE),'HB-D2 Besondere Lstg Bund'!H65+'HB-D2 Besondere Lstg Bund'!J65,""))</f>
        <v/>
      </c>
      <c r="F111" s="1129" t="str">
        <f>IF(AND(Projektgrundlagen!$I$25,'HB-D1 Besondere Lstg Land'!M97=TRUE),'HB-D1 Besondere Lstg Land'!K97,IF(AND(Projektgrundlagen!$I$26,'HB-D2 Besondere Lstg Bund'!M65=TRUE),'HB-D2 Besondere Lstg Bund'!K65,""))</f>
        <v/>
      </c>
      <c r="G111" s="1134"/>
      <c r="H111" s="1135"/>
    </row>
    <row r="112" spans="2:8" ht="15">
      <c r="B112" t="str">
        <f>IF(AND(Projektgrundlagen!$I$25,'HB-D1 Besondere Lstg Land'!M98=TRUE),'HB-D1 Besondere Lstg Land'!C98&amp;" "&amp;'HB-D1 Besondere Lstg Land'!F98&amp;" "&amp;'HB-D1 Besondere Lstg Land'!F99,IF(AND(Projektgrundlagen!$I$26,'HB-D2 Besondere Lstg Bund'!M66=TRUE),'HB-D2 Besondere Lstg Bund'!C66&amp;" "&amp;'HB-D2 Besondere Lstg Bund'!F66&amp;" "&amp;'HB-D2 Besondere Lstg Bund'!F67,""))</f>
        <v/>
      </c>
      <c r="C112" s="1129"/>
      <c r="D112" s="1129" t="str">
        <f>IF(AND(Projektgrundlagen!$I$25,'HB-D1 Besondere Lstg Land'!M98=TRUE),(IF('HB-D1 Besondere Lstg Land'!H98&gt;0,"v.H.","pauschal")),IF(AND(Projektgrundlagen!$I$26,'HB-D2 Besondere Lstg Bund'!M66=TRUE),(IF('HB-D2 Besondere Lstg Bund'!H66&gt;0,"v.H.","pauschal")),""))</f>
        <v/>
      </c>
      <c r="E112" s="1129" t="str">
        <f>IF(AND(Projektgrundlagen!$I$25,'HB-D1 Besondere Lstg Land'!M98=TRUE),'HB-D1 Besondere Lstg Land'!H98+'HB-D1 Besondere Lstg Land'!J98,IF(AND(Projektgrundlagen!$I$26,'HB-D2 Besondere Lstg Bund'!M66=TRUE),'HB-D2 Besondere Lstg Bund'!H66+'HB-D2 Besondere Lstg Bund'!J66,""))</f>
        <v/>
      </c>
      <c r="F112" s="1129" t="str">
        <f>IF(AND(Projektgrundlagen!$I$25,'HB-D1 Besondere Lstg Land'!M98=TRUE),'HB-D1 Besondere Lstg Land'!K98,IF(AND(Projektgrundlagen!$I$26,'HB-D2 Besondere Lstg Bund'!M66=TRUE),'HB-D2 Besondere Lstg Bund'!K66,""))</f>
        <v/>
      </c>
      <c r="G112" s="1134"/>
      <c r="H112" s="1135"/>
    </row>
    <row r="113" spans="2:8" ht="15">
      <c r="B113" t="str">
        <f>IF(AND(Projektgrundlagen!$I$25,'HB-D1 Besondere Lstg Land'!M99=TRUE),'HB-D1 Besondere Lstg Land'!C99&amp;" "&amp;'HB-D1 Besondere Lstg Land'!F99&amp;" "&amp;'HB-D1 Besondere Lstg Land'!F100,IF(AND(Projektgrundlagen!$I$26,'HB-D2 Besondere Lstg Bund'!M67=TRUE),'HB-D2 Besondere Lstg Bund'!C67&amp;" "&amp;'HB-D2 Besondere Lstg Bund'!F67&amp;" "&amp;'HB-D2 Besondere Lstg Bund'!F68,""))</f>
        <v/>
      </c>
      <c r="C113" s="1129"/>
      <c r="D113" s="1129" t="str">
        <f>IF(AND(Projektgrundlagen!$I$25,'HB-D1 Besondere Lstg Land'!M99=TRUE),(IF('HB-D1 Besondere Lstg Land'!H99&gt;0,"v.H.","pauschal")),IF(AND(Projektgrundlagen!$I$26,'HB-D2 Besondere Lstg Bund'!M67=TRUE),(IF('HB-D2 Besondere Lstg Bund'!H67&gt;0,"v.H.","pauschal")),""))</f>
        <v/>
      </c>
      <c r="E113" s="1129" t="str">
        <f>IF(AND(Projektgrundlagen!$I$25,'HB-D1 Besondere Lstg Land'!M99=TRUE),'HB-D1 Besondere Lstg Land'!H99+'HB-D1 Besondere Lstg Land'!J99,IF(AND(Projektgrundlagen!$I$26,'HB-D2 Besondere Lstg Bund'!M67=TRUE),'HB-D2 Besondere Lstg Bund'!H67+'HB-D2 Besondere Lstg Bund'!J67,""))</f>
        <v/>
      </c>
      <c r="F113" s="1129" t="str">
        <f>IF(AND(Projektgrundlagen!$I$25,'HB-D1 Besondere Lstg Land'!M99=TRUE),'HB-D1 Besondere Lstg Land'!K99,IF(AND(Projektgrundlagen!$I$26,'HB-D2 Besondere Lstg Bund'!M67=TRUE),'HB-D2 Besondere Lstg Bund'!K67,""))</f>
        <v/>
      </c>
      <c r="G113" s="1134"/>
      <c r="H113" s="1135"/>
    </row>
    <row r="114" spans="2:8" ht="15">
      <c r="B114" t="str">
        <f>IF(AND(Projektgrundlagen!$I$25,'HB-D1 Besondere Lstg Land'!M100=TRUE),'HB-D1 Besondere Lstg Land'!C100&amp;" "&amp;'HB-D1 Besondere Lstg Land'!F100&amp;" "&amp;'HB-D1 Besondere Lstg Land'!F101,IF(AND(Projektgrundlagen!$I$26,'HB-D2 Besondere Lstg Bund'!M68=TRUE),'HB-D2 Besondere Lstg Bund'!C68&amp;" "&amp;'HB-D2 Besondere Lstg Bund'!F68&amp;" "&amp;'HB-D2 Besondere Lstg Bund'!F69,""))</f>
        <v/>
      </c>
      <c r="C114" s="1129"/>
      <c r="D114" s="1129" t="str">
        <f>IF(AND(Projektgrundlagen!$I$25,'HB-D1 Besondere Lstg Land'!M100=TRUE),(IF('HB-D1 Besondere Lstg Land'!H100&gt;0,"v.H.","pauschal")),IF(AND(Projektgrundlagen!$I$26,'HB-D2 Besondere Lstg Bund'!M68=TRUE),(IF('HB-D2 Besondere Lstg Bund'!H68&gt;0,"v.H.","pauschal")),""))</f>
        <v/>
      </c>
      <c r="E114" s="1129" t="str">
        <f>IF(AND(Projektgrundlagen!$I$25,'HB-D1 Besondere Lstg Land'!M100=TRUE),'HB-D1 Besondere Lstg Land'!H100+'HB-D1 Besondere Lstg Land'!J100,IF(AND(Projektgrundlagen!$I$26,'HB-D2 Besondere Lstg Bund'!M68=TRUE),'HB-D2 Besondere Lstg Bund'!H68+'HB-D2 Besondere Lstg Bund'!J68,""))</f>
        <v/>
      </c>
      <c r="F114" s="1129" t="str">
        <f>IF(AND(Projektgrundlagen!$I$25,'HB-D1 Besondere Lstg Land'!M100=TRUE),'HB-D1 Besondere Lstg Land'!K100,IF(AND(Projektgrundlagen!$I$26,'HB-D2 Besondere Lstg Bund'!M68=TRUE),'HB-D2 Besondere Lstg Bund'!K68,""))</f>
        <v/>
      </c>
      <c r="G114" s="1134"/>
      <c r="H114" s="1135"/>
    </row>
    <row r="115" spans="2:8" ht="15">
      <c r="B115" t="str">
        <f>IF(AND(Projektgrundlagen!$I$25,'HB-D1 Besondere Lstg Land'!M101=TRUE),'HB-D1 Besondere Lstg Land'!C101&amp;" "&amp;'HB-D1 Besondere Lstg Land'!F101&amp;" "&amp;'HB-D1 Besondere Lstg Land'!F102,IF(AND(Projektgrundlagen!$I$26,'HB-D2 Besondere Lstg Bund'!M69=TRUE),'HB-D2 Besondere Lstg Bund'!C69&amp;" "&amp;'HB-D2 Besondere Lstg Bund'!F69&amp;" "&amp;'HB-D2 Besondere Lstg Bund'!F70,""))</f>
        <v/>
      </c>
      <c r="C115" s="1129"/>
      <c r="D115" s="1129" t="str">
        <f>IF(AND(Projektgrundlagen!$I$25,'HB-D1 Besondere Lstg Land'!M101=TRUE),(IF('HB-D1 Besondere Lstg Land'!H101&gt;0,"v.H.","pauschal")),IF(AND(Projektgrundlagen!$I$26,'HB-D2 Besondere Lstg Bund'!M69=TRUE),(IF('HB-D2 Besondere Lstg Bund'!H69&gt;0,"v.H.","pauschal")),""))</f>
        <v/>
      </c>
      <c r="E115" s="1129" t="str">
        <f>IF(AND(Projektgrundlagen!$I$25,'HB-D1 Besondere Lstg Land'!M101=TRUE),'HB-D1 Besondere Lstg Land'!H101+'HB-D1 Besondere Lstg Land'!J101,IF(AND(Projektgrundlagen!$I$26,'HB-D2 Besondere Lstg Bund'!M69=TRUE),'HB-D2 Besondere Lstg Bund'!H69+'HB-D2 Besondere Lstg Bund'!J69,""))</f>
        <v/>
      </c>
      <c r="F115" s="1129" t="str">
        <f>IF(AND(Projektgrundlagen!$I$25,'HB-D1 Besondere Lstg Land'!M101=TRUE),'HB-D1 Besondere Lstg Land'!K101,IF(AND(Projektgrundlagen!$I$26,'HB-D2 Besondere Lstg Bund'!M69=TRUE),'HB-D2 Besondere Lstg Bund'!K69,""))</f>
        <v/>
      </c>
      <c r="G115" s="1134"/>
      <c r="H115" s="1135"/>
    </row>
    <row r="116" spans="2:8" ht="15">
      <c r="B116" t="str">
        <f>IF(AND(Projektgrundlagen!$I$25,'HB-D1 Besondere Lstg Land'!M102=TRUE),'HB-D1 Besondere Lstg Land'!C102&amp;" "&amp;'HB-D1 Besondere Lstg Land'!F102&amp;" "&amp;'HB-D1 Besondere Lstg Land'!F106,IF(AND(Projektgrundlagen!$I$26,'HB-D2 Besondere Lstg Bund'!M70=TRUE),'HB-D2 Besondere Lstg Bund'!C70&amp;" "&amp;'HB-D2 Besondere Lstg Bund'!F70&amp;" "&amp;'HB-D2 Besondere Lstg Bund'!F71,""))</f>
        <v/>
      </c>
      <c r="C116" s="1129"/>
      <c r="D116" s="1129" t="str">
        <f>IF(AND(Projektgrundlagen!$I$25,'HB-D1 Besondere Lstg Land'!M102=TRUE),(IF('HB-D1 Besondere Lstg Land'!H102&gt;0,"v.H.","pauschal")),IF(AND(Projektgrundlagen!$I$26,'HB-D2 Besondere Lstg Bund'!M70=TRUE),(IF('HB-D2 Besondere Lstg Bund'!H70&gt;0,"v.H.","pauschal")),""))</f>
        <v/>
      </c>
      <c r="E116" s="1129" t="str">
        <f>IF(AND(Projektgrundlagen!$I$25,'HB-D1 Besondere Lstg Land'!M102=TRUE),'HB-D1 Besondere Lstg Land'!H102+'HB-D1 Besondere Lstg Land'!J102,IF(AND(Projektgrundlagen!$I$26,'HB-D2 Besondere Lstg Bund'!M70=TRUE),'HB-D2 Besondere Lstg Bund'!H70+'HB-D2 Besondere Lstg Bund'!J70,""))</f>
        <v/>
      </c>
      <c r="F116" s="1129" t="str">
        <f>IF(AND(Projektgrundlagen!$I$25,'HB-D1 Besondere Lstg Land'!M102=TRUE),'HB-D1 Besondere Lstg Land'!K102,IF(AND(Projektgrundlagen!$I$26,'HB-D2 Besondere Lstg Bund'!M70=TRUE),'HB-D2 Besondere Lstg Bund'!K70,""))</f>
        <v/>
      </c>
      <c r="G116" s="1134"/>
      <c r="H116" s="1135"/>
    </row>
    <row r="117" spans="2:8" ht="15">
      <c r="B117" t="str">
        <f>IF(AND(Projektgrundlagen!$I$25,'HB-D1 Besondere Lstg Land'!M106=TRUE),'HB-D1 Besondere Lstg Land'!C106&amp;" "&amp;'HB-D1 Besondere Lstg Land'!F106&amp;" "&amp;'HB-D1 Besondere Lstg Land'!F108,IF(AND(Projektgrundlagen!$I$26,'HB-D2 Besondere Lstg Bund'!M71=TRUE),'HB-D2 Besondere Lstg Bund'!C71&amp;" "&amp;'HB-D2 Besondere Lstg Bund'!F71&amp;" "&amp;'HB-D2 Besondere Lstg Bund'!F72,""))</f>
        <v/>
      </c>
      <c r="C117" s="1129"/>
      <c r="D117" s="1129" t="str">
        <f>IF(AND(Projektgrundlagen!$I$25,'HB-D1 Besondere Lstg Land'!M106=TRUE),(IF('HB-D1 Besondere Lstg Land'!H106&gt;0,"v.H.","pauschal")),IF(AND(Projektgrundlagen!$I$26,'HB-D2 Besondere Lstg Bund'!M71=TRUE),(IF('HB-D2 Besondere Lstg Bund'!H71&gt;0,"v.H.","pauschal")),""))</f>
        <v/>
      </c>
      <c r="E117" s="1129" t="str">
        <f>IF(AND(Projektgrundlagen!$I$25,'HB-D1 Besondere Lstg Land'!M106=TRUE),'HB-D1 Besondere Lstg Land'!H106+'HB-D1 Besondere Lstg Land'!J106,IF(AND(Projektgrundlagen!$I$26,'HB-D2 Besondere Lstg Bund'!M71=TRUE),'HB-D2 Besondere Lstg Bund'!H71+'HB-D2 Besondere Lstg Bund'!J71,""))</f>
        <v/>
      </c>
      <c r="F117" s="1129" t="str">
        <f>IF(AND(Projektgrundlagen!$I$25,'HB-D1 Besondere Lstg Land'!M106=TRUE),'HB-D1 Besondere Lstg Land'!K106,IF(AND(Projektgrundlagen!$I$26,'HB-D2 Besondere Lstg Bund'!M71=TRUE),'HB-D2 Besondere Lstg Bund'!K71,""))</f>
        <v/>
      </c>
      <c r="G117" s="1134"/>
      <c r="H117" s="1135"/>
    </row>
    <row r="118" spans="2:8" ht="15">
      <c r="B118" t="str">
        <f>IF(AND(Projektgrundlagen!$I$25,'HB-D1 Besondere Lstg Land'!M108=TRUE),'HB-D1 Besondere Lstg Land'!C108&amp;" "&amp;'HB-D1 Besondere Lstg Land'!F108&amp;" "&amp;'HB-D1 Besondere Lstg Land'!F109,IF(AND(Projektgrundlagen!$I$26,'HB-D2 Besondere Lstg Bund'!M72=TRUE),'HB-D2 Besondere Lstg Bund'!C72&amp;" "&amp;'HB-D2 Besondere Lstg Bund'!F72&amp;" "&amp;'HB-D2 Besondere Lstg Bund'!F73,""))</f>
        <v/>
      </c>
      <c r="C118" s="1129"/>
      <c r="D118" s="1129" t="str">
        <f>IF(AND(Projektgrundlagen!$I$25,'HB-D1 Besondere Lstg Land'!M108=TRUE),(IF('HB-D1 Besondere Lstg Land'!H108&gt;0,"v.H.","pauschal")),IF(AND(Projektgrundlagen!$I$26,'HB-D2 Besondere Lstg Bund'!M72=TRUE),(IF('HB-D2 Besondere Lstg Bund'!H72&gt;0,"v.H.","pauschal")),""))</f>
        <v/>
      </c>
      <c r="E118" s="1129" t="str">
        <f>IF(AND(Projektgrundlagen!$I$25,'HB-D1 Besondere Lstg Land'!M108=TRUE),'HB-D1 Besondere Lstg Land'!H108+'HB-D1 Besondere Lstg Land'!J108,IF(AND(Projektgrundlagen!$I$26,'HB-D2 Besondere Lstg Bund'!M72=TRUE),'HB-D2 Besondere Lstg Bund'!H72+'HB-D2 Besondere Lstg Bund'!J72,""))</f>
        <v/>
      </c>
      <c r="F118" s="1129" t="str">
        <f>IF(AND(Projektgrundlagen!$I$25,'HB-D1 Besondere Lstg Land'!M108=TRUE),'HB-D1 Besondere Lstg Land'!K108,IF(AND(Projektgrundlagen!$I$26,'HB-D2 Besondere Lstg Bund'!M72=TRUE),'HB-D2 Besondere Lstg Bund'!K72,""))</f>
        <v/>
      </c>
      <c r="G118" s="1134"/>
      <c r="H118" s="1135"/>
    </row>
    <row r="119" spans="2:8" ht="15">
      <c r="B119" t="str">
        <f>IF(AND(Projektgrundlagen!$I$25,'HB-D1 Besondere Lstg Land'!M109=TRUE),'HB-D1 Besondere Lstg Land'!C109&amp;" "&amp;'HB-D1 Besondere Lstg Land'!F109&amp;" "&amp;'HB-D1 Besondere Lstg Land'!F110,IF(AND(Projektgrundlagen!$I$26,'HB-D2 Besondere Lstg Bund'!M73=TRUE),'HB-D2 Besondere Lstg Bund'!C73&amp;" "&amp;'HB-D2 Besondere Lstg Bund'!F73&amp;" "&amp;'HB-D2 Besondere Lstg Bund'!F74,""))</f>
        <v/>
      </c>
      <c r="C119" s="1129"/>
      <c r="D119" s="1129" t="str">
        <f>IF(AND(Projektgrundlagen!$I$25,'HB-D1 Besondere Lstg Land'!M109=TRUE),(IF('HB-D1 Besondere Lstg Land'!H109&gt;0,"v.H.","pauschal")),IF(AND(Projektgrundlagen!$I$26,'HB-D2 Besondere Lstg Bund'!M73=TRUE),(IF('HB-D2 Besondere Lstg Bund'!H73&gt;0,"v.H.","pauschal")),""))</f>
        <v/>
      </c>
      <c r="E119" s="1129" t="str">
        <f>IF(AND(Projektgrundlagen!$I$25,'HB-D1 Besondere Lstg Land'!M109=TRUE),'HB-D1 Besondere Lstg Land'!H109+'HB-D1 Besondere Lstg Land'!J109,IF(AND(Projektgrundlagen!$I$26,'HB-D2 Besondere Lstg Bund'!M73=TRUE),'HB-D2 Besondere Lstg Bund'!H73+'HB-D2 Besondere Lstg Bund'!J73,""))</f>
        <v/>
      </c>
      <c r="F119" s="1129" t="str">
        <f>IF(AND(Projektgrundlagen!$I$25,'HB-D1 Besondere Lstg Land'!M109=TRUE),'HB-D1 Besondere Lstg Land'!K109,IF(AND(Projektgrundlagen!$I$26,'HB-D2 Besondere Lstg Bund'!M73=TRUE),'HB-D2 Besondere Lstg Bund'!K73,""))</f>
        <v/>
      </c>
      <c r="G119" s="1134"/>
      <c r="H119" s="1135"/>
    </row>
    <row r="120" spans="2:8" ht="15">
      <c r="B120" t="str">
        <f>IF(AND(Projektgrundlagen!$I$25,'HB-D1 Besondere Lstg Land'!M110=TRUE),'HB-D1 Besondere Lstg Land'!C110&amp;" "&amp;'HB-D1 Besondere Lstg Land'!F110&amp;" "&amp;'HB-D1 Besondere Lstg Land'!F111,IF(AND(Projektgrundlagen!$I$26,'HB-D2 Besondere Lstg Bund'!M74=TRUE),'HB-D2 Besondere Lstg Bund'!C74&amp;" "&amp;'HB-D2 Besondere Lstg Bund'!F74&amp;" "&amp;'HB-D2 Besondere Lstg Bund'!F75,""))</f>
        <v/>
      </c>
      <c r="C120" s="1129"/>
      <c r="D120" s="1129" t="str">
        <f>IF(AND(Projektgrundlagen!$I$25,'HB-D1 Besondere Lstg Land'!M110=TRUE),(IF('HB-D1 Besondere Lstg Land'!H110&gt;0,"v.H.","pauschal")),IF(AND(Projektgrundlagen!$I$26,'HB-D2 Besondere Lstg Bund'!M74=TRUE),(IF('HB-D2 Besondere Lstg Bund'!H74&gt;0,"v.H.","pauschal")),""))</f>
        <v/>
      </c>
      <c r="E120" s="1129" t="str">
        <f>IF(AND(Projektgrundlagen!$I$25,'HB-D1 Besondere Lstg Land'!M110=TRUE),'HB-D1 Besondere Lstg Land'!H110+'HB-D1 Besondere Lstg Land'!J110,IF(AND(Projektgrundlagen!$I$26,'HB-D2 Besondere Lstg Bund'!M74=TRUE),'HB-D2 Besondere Lstg Bund'!H74+'HB-D2 Besondere Lstg Bund'!J74,""))</f>
        <v/>
      </c>
      <c r="F120" s="1129" t="str">
        <f>IF(AND(Projektgrundlagen!$I$25,'HB-D1 Besondere Lstg Land'!M110=TRUE),'HB-D1 Besondere Lstg Land'!K110,IF(AND(Projektgrundlagen!$I$26,'HB-D2 Besondere Lstg Bund'!M74=TRUE),'HB-D2 Besondere Lstg Bund'!K74,""))</f>
        <v/>
      </c>
      <c r="G120" s="1134"/>
      <c r="H120" s="1135"/>
    </row>
    <row r="121" spans="2:8" ht="15">
      <c r="B121" t="str">
        <f>IF(AND(Projektgrundlagen!$I$25,'HB-D1 Besondere Lstg Land'!M111=TRUE),'HB-D1 Besondere Lstg Land'!C111&amp;" "&amp;'HB-D1 Besondere Lstg Land'!F111&amp;" "&amp;'HB-D1 Besondere Lstg Land'!F112,IF(AND(Projektgrundlagen!$I$26,'HB-D2 Besondere Lstg Bund'!M75=TRUE),'HB-D2 Besondere Lstg Bund'!C75&amp;" "&amp;'HB-D2 Besondere Lstg Bund'!F75&amp;" "&amp;'HB-D2 Besondere Lstg Bund'!F76,""))</f>
        <v/>
      </c>
      <c r="C121" s="1129"/>
      <c r="D121" s="1129" t="str">
        <f>IF(AND(Projektgrundlagen!$I$25,'HB-D1 Besondere Lstg Land'!M111=TRUE),(IF('HB-D1 Besondere Lstg Land'!H111&gt;0,"v.H.","pauschal")),IF(AND(Projektgrundlagen!$I$26,'HB-D2 Besondere Lstg Bund'!M75=TRUE),(IF('HB-D2 Besondere Lstg Bund'!H75&gt;0,"v.H.","pauschal")),""))</f>
        <v/>
      </c>
      <c r="E121" s="1129" t="str">
        <f>IF(AND(Projektgrundlagen!$I$25,'HB-D1 Besondere Lstg Land'!M111=TRUE),'HB-D1 Besondere Lstg Land'!H111+'HB-D1 Besondere Lstg Land'!J111,IF(AND(Projektgrundlagen!$I$26,'HB-D2 Besondere Lstg Bund'!M75=TRUE),'HB-D2 Besondere Lstg Bund'!H75+'HB-D2 Besondere Lstg Bund'!J75,""))</f>
        <v/>
      </c>
      <c r="F121" s="1129" t="str">
        <f>IF(AND(Projektgrundlagen!$I$25,'HB-D1 Besondere Lstg Land'!M111=TRUE),'HB-D1 Besondere Lstg Land'!K111,IF(AND(Projektgrundlagen!$I$26,'HB-D2 Besondere Lstg Bund'!M75=TRUE),'HB-D2 Besondere Lstg Bund'!K75,""))</f>
        <v/>
      </c>
      <c r="G121" s="1134"/>
      <c r="H121" s="1135"/>
    </row>
    <row r="122" spans="2:8" ht="15">
      <c r="B122" t="str">
        <f>IF(AND(Projektgrundlagen!$I$25,'HB-D1 Besondere Lstg Land'!M112=TRUE),'HB-D1 Besondere Lstg Land'!C112&amp;" "&amp;'HB-D1 Besondere Lstg Land'!F112&amp;" "&amp;'HB-D1 Besondere Lstg Land'!F113,IF(AND(Projektgrundlagen!$I$26,'HB-D2 Besondere Lstg Bund'!M76=TRUE),'HB-D2 Besondere Lstg Bund'!C76&amp;" "&amp;'HB-D2 Besondere Lstg Bund'!F76&amp;" "&amp;'HB-D2 Besondere Lstg Bund'!F77,""))</f>
        <v/>
      </c>
      <c r="C122" s="1129"/>
      <c r="D122" s="1129" t="str">
        <f>IF(AND(Projektgrundlagen!$I$25,'HB-D1 Besondere Lstg Land'!M112=TRUE),(IF('HB-D1 Besondere Lstg Land'!H112&gt;0,"v.H.","pauschal")),IF(AND(Projektgrundlagen!$I$26,'HB-D2 Besondere Lstg Bund'!M76=TRUE),(IF('HB-D2 Besondere Lstg Bund'!H76&gt;0,"v.H.","pauschal")),""))</f>
        <v/>
      </c>
      <c r="E122" s="1129" t="str">
        <f>IF(AND(Projektgrundlagen!$I$25,'HB-D1 Besondere Lstg Land'!M112=TRUE),'HB-D1 Besondere Lstg Land'!H112+'HB-D1 Besondere Lstg Land'!J112,IF(AND(Projektgrundlagen!$I$26,'HB-D2 Besondere Lstg Bund'!M76=TRUE),'HB-D2 Besondere Lstg Bund'!H76+'HB-D2 Besondere Lstg Bund'!J76,""))</f>
        <v/>
      </c>
      <c r="F122" s="1129" t="str">
        <f>IF(AND(Projektgrundlagen!$I$25,'HB-D1 Besondere Lstg Land'!M112=TRUE),'HB-D1 Besondere Lstg Land'!K112,IF(AND(Projektgrundlagen!$I$26,'HB-D2 Besondere Lstg Bund'!M76=TRUE),'HB-D2 Besondere Lstg Bund'!K76,""))</f>
        <v/>
      </c>
      <c r="G122" s="1134"/>
      <c r="H122" s="1135"/>
    </row>
    <row r="123" spans="2:8" ht="15">
      <c r="B123" t="str">
        <f>IF(AND(Projektgrundlagen!$I$25,'HB-D1 Besondere Lstg Land'!M113=TRUE),'HB-D1 Besondere Lstg Land'!C113&amp;" "&amp;'HB-D1 Besondere Lstg Land'!F113&amp;" "&amp;'HB-D1 Besondere Lstg Land'!F114,IF(AND(Projektgrundlagen!$I$26,'HB-D2 Besondere Lstg Bund'!M77=TRUE),'HB-D2 Besondere Lstg Bund'!C77&amp;" "&amp;'HB-D2 Besondere Lstg Bund'!F77&amp;" "&amp;'HB-D2 Besondere Lstg Bund'!F78,""))</f>
        <v/>
      </c>
      <c r="C123" s="1129"/>
      <c r="D123" s="1129" t="str">
        <f>IF(AND(Projektgrundlagen!$I$25,'HB-D1 Besondere Lstg Land'!M113=TRUE),(IF('HB-D1 Besondere Lstg Land'!H113&gt;0,"v.H.","pauschal")),IF(AND(Projektgrundlagen!$I$26,'HB-D2 Besondere Lstg Bund'!M77=TRUE),(IF('HB-D2 Besondere Lstg Bund'!H77&gt;0,"v.H.","pauschal")),""))</f>
        <v/>
      </c>
      <c r="E123" s="1129" t="str">
        <f>IF(AND(Projektgrundlagen!$I$25,'HB-D1 Besondere Lstg Land'!M113=TRUE),'HB-D1 Besondere Lstg Land'!H113+'HB-D1 Besondere Lstg Land'!J113,IF(AND(Projektgrundlagen!$I$26,'HB-D2 Besondere Lstg Bund'!M77=TRUE),'HB-D2 Besondere Lstg Bund'!H77+'HB-D2 Besondere Lstg Bund'!J77,""))</f>
        <v/>
      </c>
      <c r="F123" s="1129" t="str">
        <f>IF(AND(Projektgrundlagen!$I$25,'HB-D1 Besondere Lstg Land'!M113=TRUE),'HB-D1 Besondere Lstg Land'!K113,IF(AND(Projektgrundlagen!$I$26,'HB-D2 Besondere Lstg Bund'!M77=TRUE),'HB-D2 Besondere Lstg Bund'!K77,""))</f>
        <v/>
      </c>
      <c r="G123" s="1134"/>
      <c r="H123" s="1135"/>
    </row>
    <row r="124" spans="2:8" ht="15">
      <c r="B124" t="str">
        <f>IF(AND(Projektgrundlagen!$I$25,'HB-D1 Besondere Lstg Land'!M114=TRUE),'HB-D1 Besondere Lstg Land'!C114&amp;" "&amp;'HB-D1 Besondere Lstg Land'!F114&amp;" "&amp;'HB-D1 Besondere Lstg Land'!F115,IF(AND(Projektgrundlagen!$I$26,'HB-D2 Besondere Lstg Bund'!M78=TRUE),'HB-D2 Besondere Lstg Bund'!C78&amp;" "&amp;'HB-D2 Besondere Lstg Bund'!F78&amp;" "&amp;'HB-D2 Besondere Lstg Bund'!F79,""))</f>
        <v/>
      </c>
      <c r="C124" s="1129"/>
      <c r="D124" s="1129" t="str">
        <f>IF(AND(Projektgrundlagen!$I$25,'HB-D1 Besondere Lstg Land'!M114=TRUE),(IF('HB-D1 Besondere Lstg Land'!H114&gt;0,"v.H.","pauschal")),IF(AND(Projektgrundlagen!$I$26,'HB-D2 Besondere Lstg Bund'!M78=TRUE),(IF('HB-D2 Besondere Lstg Bund'!H78&gt;0,"v.H.","pauschal")),""))</f>
        <v/>
      </c>
      <c r="E124" s="1129" t="str">
        <f>IF(AND(Projektgrundlagen!$I$25,'HB-D1 Besondere Lstg Land'!M114=TRUE),'HB-D1 Besondere Lstg Land'!H114+'HB-D1 Besondere Lstg Land'!J114,IF(AND(Projektgrundlagen!$I$26,'HB-D2 Besondere Lstg Bund'!M78=TRUE),'HB-D2 Besondere Lstg Bund'!H78+'HB-D2 Besondere Lstg Bund'!J78,""))</f>
        <v/>
      </c>
      <c r="F124" s="1129" t="str">
        <f>IF(AND(Projektgrundlagen!$I$25,'HB-D1 Besondere Lstg Land'!M114=TRUE),'HB-D1 Besondere Lstg Land'!K114,IF(AND(Projektgrundlagen!$I$26,'HB-D2 Besondere Lstg Bund'!M78=TRUE),'HB-D2 Besondere Lstg Bund'!K78,""))</f>
        <v/>
      </c>
      <c r="G124" s="1134"/>
      <c r="H124" s="1135"/>
    </row>
    <row r="125" spans="2:8" ht="15">
      <c r="B125" t="str">
        <f>IF(AND(Projektgrundlagen!$I$25,'HB-D1 Besondere Lstg Land'!M115=TRUE),'HB-D1 Besondere Lstg Land'!C115&amp;" "&amp;'HB-D1 Besondere Lstg Land'!F115&amp;" "&amp;'HB-D1 Besondere Lstg Land'!F116,IF(AND(Projektgrundlagen!$I$26,'HB-D2 Besondere Lstg Bund'!M79=TRUE),'HB-D2 Besondere Lstg Bund'!C79&amp;" "&amp;'HB-D2 Besondere Lstg Bund'!F79&amp;" "&amp;'HB-D2 Besondere Lstg Bund'!F80,""))</f>
        <v/>
      </c>
      <c r="C125" s="1129"/>
      <c r="D125" s="1129" t="str">
        <f>IF(AND(Projektgrundlagen!$I$25,'HB-D1 Besondere Lstg Land'!M115=TRUE),(IF('HB-D1 Besondere Lstg Land'!H115&gt;0,"v.H.","pauschal")),IF(AND(Projektgrundlagen!$I$26,'HB-D2 Besondere Lstg Bund'!M79=TRUE),(IF('HB-D2 Besondere Lstg Bund'!H79&gt;0,"v.H.","pauschal")),""))</f>
        <v/>
      </c>
      <c r="E125" s="1129" t="str">
        <f>IF(AND(Projektgrundlagen!$I$25,'HB-D1 Besondere Lstg Land'!M115=TRUE),'HB-D1 Besondere Lstg Land'!H115+'HB-D1 Besondere Lstg Land'!J115,IF(AND(Projektgrundlagen!$I$26,'HB-D2 Besondere Lstg Bund'!M79=TRUE),'HB-D2 Besondere Lstg Bund'!H79+'HB-D2 Besondere Lstg Bund'!J79,""))</f>
        <v/>
      </c>
      <c r="F125" s="1129" t="str">
        <f>IF(AND(Projektgrundlagen!$I$25,'HB-D1 Besondere Lstg Land'!M115=TRUE),'HB-D1 Besondere Lstg Land'!K115,IF(AND(Projektgrundlagen!$I$26,'HB-D2 Besondere Lstg Bund'!M79=TRUE),'HB-D2 Besondere Lstg Bund'!K79,""))</f>
        <v/>
      </c>
      <c r="G125" s="1134"/>
      <c r="H125" s="1135"/>
    </row>
    <row r="126" spans="2:8" ht="15">
      <c r="B126" t="str">
        <f>IF(AND(Projektgrundlagen!$I$25,'HB-D1 Besondere Lstg Land'!M116=TRUE),'HB-D1 Besondere Lstg Land'!C116&amp;" "&amp;'HB-D1 Besondere Lstg Land'!F116&amp;" "&amp;'HB-D1 Besondere Lstg Land'!F117,IF(AND(Projektgrundlagen!$I$26,'HB-D2 Besondere Lstg Bund'!M80=TRUE),'HB-D2 Besondere Lstg Bund'!C80&amp;" "&amp;'HB-D2 Besondere Lstg Bund'!F80&amp;" "&amp;'HB-D2 Besondere Lstg Bund'!F81,""))</f>
        <v/>
      </c>
      <c r="C126" s="1129"/>
      <c r="D126" s="1129" t="str">
        <f>IF(AND(Projektgrundlagen!$I$25,'HB-D1 Besondere Lstg Land'!M116=TRUE),(IF('HB-D1 Besondere Lstg Land'!H116&gt;0,"v.H.","pauschal")),IF(AND(Projektgrundlagen!$I$26,'HB-D2 Besondere Lstg Bund'!M80=TRUE),(IF('HB-D2 Besondere Lstg Bund'!H80&gt;0,"v.H.","pauschal")),""))</f>
        <v/>
      </c>
      <c r="E126" s="1129" t="str">
        <f>IF(AND(Projektgrundlagen!$I$25,'HB-D1 Besondere Lstg Land'!M116=TRUE),'HB-D1 Besondere Lstg Land'!H116+'HB-D1 Besondere Lstg Land'!J116,IF(AND(Projektgrundlagen!$I$26,'HB-D2 Besondere Lstg Bund'!M80=TRUE),'HB-D2 Besondere Lstg Bund'!H80+'HB-D2 Besondere Lstg Bund'!J80,""))</f>
        <v/>
      </c>
      <c r="F126" s="1129" t="str">
        <f>IF(AND(Projektgrundlagen!$I$25,'HB-D1 Besondere Lstg Land'!M116=TRUE),'HB-D1 Besondere Lstg Land'!K116,IF(AND(Projektgrundlagen!$I$26,'HB-D2 Besondere Lstg Bund'!M80=TRUE),'HB-D2 Besondere Lstg Bund'!K80,""))</f>
        <v/>
      </c>
      <c r="G126" s="1134"/>
      <c r="H126" s="1135"/>
    </row>
    <row r="127" spans="2:8" ht="15">
      <c r="B127" t="str">
        <f>IF(AND(Projektgrundlagen!$I$25,'HB-D1 Besondere Lstg Land'!M117=TRUE),'HB-D1 Besondere Lstg Land'!C117&amp;" "&amp;'HB-D1 Besondere Lstg Land'!F117&amp;" "&amp;'HB-D1 Besondere Lstg Land'!F118,IF(AND(Projektgrundlagen!$I$26,'HB-D2 Besondere Lstg Bund'!M81=TRUE),'HB-D2 Besondere Lstg Bund'!C81&amp;" "&amp;'HB-D2 Besondere Lstg Bund'!F81&amp;" "&amp;'HB-D2 Besondere Lstg Bund'!F82,""))</f>
        <v/>
      </c>
      <c r="C127" s="1129"/>
      <c r="D127" s="1129" t="str">
        <f>IF(AND(Projektgrundlagen!$I$25,'HB-D1 Besondere Lstg Land'!M117=TRUE),(IF('HB-D1 Besondere Lstg Land'!H117&gt;0,"v.H.","pauschal")),IF(AND(Projektgrundlagen!$I$26,'HB-D2 Besondere Lstg Bund'!M81=TRUE),(IF('HB-D2 Besondere Lstg Bund'!H81&gt;0,"v.H.","pauschal")),""))</f>
        <v/>
      </c>
      <c r="E127" s="1129" t="str">
        <f>IF(AND(Projektgrundlagen!$I$25,'HB-D1 Besondere Lstg Land'!M117=TRUE),'HB-D1 Besondere Lstg Land'!H117+'HB-D1 Besondere Lstg Land'!J117,IF(AND(Projektgrundlagen!$I$26,'HB-D2 Besondere Lstg Bund'!M81=TRUE),'HB-D2 Besondere Lstg Bund'!H81+'HB-D2 Besondere Lstg Bund'!J81,""))</f>
        <v/>
      </c>
      <c r="F127" s="1129" t="str">
        <f>IF(AND(Projektgrundlagen!$I$25,'HB-D1 Besondere Lstg Land'!M117=TRUE),'HB-D1 Besondere Lstg Land'!K117,IF(AND(Projektgrundlagen!$I$26,'HB-D2 Besondere Lstg Bund'!M81=TRUE),'HB-D2 Besondere Lstg Bund'!K81,""))</f>
        <v/>
      </c>
      <c r="G127" s="1134"/>
      <c r="H127" s="1135"/>
    </row>
    <row r="128" spans="2:8" ht="15">
      <c r="B128" t="str">
        <f>IF(AND(Projektgrundlagen!$I$25,'HB-D1 Besondere Lstg Land'!M118=TRUE),'HB-D1 Besondere Lstg Land'!C118&amp;" "&amp;'HB-D1 Besondere Lstg Land'!F118&amp;" "&amp;'HB-D1 Besondere Lstg Land'!F119,IF(AND(Projektgrundlagen!$I$26,'HB-D2 Besondere Lstg Bund'!M82=TRUE),'HB-D2 Besondere Lstg Bund'!C82&amp;" "&amp;'HB-D2 Besondere Lstg Bund'!F82&amp;" "&amp;'HB-D2 Besondere Lstg Bund'!F83,""))</f>
        <v/>
      </c>
      <c r="C128" s="1129"/>
      <c r="D128" s="1129" t="str">
        <f>IF(AND(Projektgrundlagen!$I$25,'HB-D1 Besondere Lstg Land'!M118=TRUE),(IF('HB-D1 Besondere Lstg Land'!H118&gt;0,"v.H.","pauschal")),IF(AND(Projektgrundlagen!$I$26,'HB-D2 Besondere Lstg Bund'!M82=TRUE),(IF('HB-D2 Besondere Lstg Bund'!H82&gt;0,"v.H.","pauschal")),""))</f>
        <v/>
      </c>
      <c r="E128" s="1129" t="str">
        <f>IF(AND(Projektgrundlagen!$I$25,'HB-D1 Besondere Lstg Land'!M118=TRUE),'HB-D1 Besondere Lstg Land'!H118+'HB-D1 Besondere Lstg Land'!J118,IF(AND(Projektgrundlagen!$I$26,'HB-D2 Besondere Lstg Bund'!M82=TRUE),'HB-D2 Besondere Lstg Bund'!H82+'HB-D2 Besondere Lstg Bund'!J82,""))</f>
        <v/>
      </c>
      <c r="F128" s="1129" t="str">
        <f>IF(AND(Projektgrundlagen!$I$25,'HB-D1 Besondere Lstg Land'!M118=TRUE),'HB-D1 Besondere Lstg Land'!K118,IF(AND(Projektgrundlagen!$I$26,'HB-D2 Besondere Lstg Bund'!M82=TRUE),'HB-D2 Besondere Lstg Bund'!K82,""))</f>
        <v/>
      </c>
      <c r="G128" s="1134"/>
      <c r="H128" s="1135"/>
    </row>
    <row r="129" spans="2:8" ht="15">
      <c r="B129" t="str">
        <f>IF(AND(Projektgrundlagen!$I$25,'HB-D1 Besondere Lstg Land'!M119=TRUE),'HB-D1 Besondere Lstg Land'!C119&amp;" "&amp;'HB-D1 Besondere Lstg Land'!F119&amp;" "&amp;'HB-D1 Besondere Lstg Land'!F123,IF(AND(Projektgrundlagen!$I$26,'HB-D2 Besondere Lstg Bund'!M83=TRUE),'HB-D2 Besondere Lstg Bund'!C83&amp;" "&amp;'HB-D2 Besondere Lstg Bund'!F83&amp;" "&amp;'HB-D2 Besondere Lstg Bund'!F84,""))</f>
        <v/>
      </c>
      <c r="C129" s="1129"/>
      <c r="D129" s="1129" t="str">
        <f>IF(AND(Projektgrundlagen!$I$25,'HB-D1 Besondere Lstg Land'!M119=TRUE),(IF('HB-D1 Besondere Lstg Land'!H119&gt;0,"v.H.","pauschal")),IF(AND(Projektgrundlagen!$I$26,'HB-D2 Besondere Lstg Bund'!M83=TRUE),(IF('HB-D2 Besondere Lstg Bund'!H83&gt;0,"v.H.","pauschal")),""))</f>
        <v/>
      </c>
      <c r="E129" s="1129" t="str">
        <f>IF(AND(Projektgrundlagen!$I$25,'HB-D1 Besondere Lstg Land'!M119=TRUE),'HB-D1 Besondere Lstg Land'!H119+'HB-D1 Besondere Lstg Land'!J119,IF(AND(Projektgrundlagen!$I$26,'HB-D2 Besondere Lstg Bund'!M83=TRUE),'HB-D2 Besondere Lstg Bund'!H83+'HB-D2 Besondere Lstg Bund'!J83,""))</f>
        <v/>
      </c>
      <c r="F129" s="1129" t="str">
        <f>IF(AND(Projektgrundlagen!$I$25,'HB-D1 Besondere Lstg Land'!M119=TRUE),'HB-D1 Besondere Lstg Land'!K119,IF(AND(Projektgrundlagen!$I$26,'HB-D2 Besondere Lstg Bund'!M83=TRUE),'HB-D2 Besondere Lstg Bund'!K83,""))</f>
        <v/>
      </c>
      <c r="G129" s="1134"/>
      <c r="H129" s="1135"/>
    </row>
    <row r="130" spans="2:8" ht="15">
      <c r="B130" t="str">
        <f>IF(AND(Projektgrundlagen!$I$25,'HB-D1 Besondere Lstg Land'!M123=TRUE),'HB-D1 Besondere Lstg Land'!C123&amp;" "&amp;'HB-D1 Besondere Lstg Land'!F123&amp;" "&amp;'HB-D1 Besondere Lstg Land'!F124,IF(AND(Projektgrundlagen!$I$26,'HB-D2 Besondere Lstg Bund'!M84=TRUE),'HB-D2 Besondere Lstg Bund'!C84&amp;" "&amp;'HB-D2 Besondere Lstg Bund'!F84&amp;" "&amp;'HB-D2 Besondere Lstg Bund'!F85,""))</f>
        <v/>
      </c>
      <c r="C130" s="1129"/>
      <c r="D130" s="1129" t="str">
        <f>IF(AND(Projektgrundlagen!$I$25,'HB-D1 Besondere Lstg Land'!M123=TRUE),(IF('HB-D1 Besondere Lstg Land'!H123&gt;0,"v.H.","pauschal")),IF(AND(Projektgrundlagen!$I$26,'HB-D2 Besondere Lstg Bund'!M84=TRUE),(IF('HB-D2 Besondere Lstg Bund'!H84&gt;0,"v.H.","pauschal")),""))</f>
        <v/>
      </c>
      <c r="E130" s="1129" t="str">
        <f>IF(AND(Projektgrundlagen!$I$25,'HB-D1 Besondere Lstg Land'!M123=TRUE),'HB-D1 Besondere Lstg Land'!H123+'HB-D1 Besondere Lstg Land'!J123,IF(AND(Projektgrundlagen!$I$26,'HB-D2 Besondere Lstg Bund'!M84=TRUE),'HB-D2 Besondere Lstg Bund'!H84+'HB-D2 Besondere Lstg Bund'!J84,""))</f>
        <v/>
      </c>
      <c r="F130" s="1129" t="str">
        <f>IF(AND(Projektgrundlagen!$I$25,'HB-D1 Besondere Lstg Land'!M123=TRUE),'HB-D1 Besondere Lstg Land'!K123,IF(AND(Projektgrundlagen!$I$26,'HB-D2 Besondere Lstg Bund'!M84=TRUE),'HB-D2 Besondere Lstg Bund'!K84,""))</f>
        <v/>
      </c>
      <c r="G130" s="1134"/>
      <c r="H130" s="1135"/>
    </row>
    <row r="131" spans="2:8" ht="15">
      <c r="B131" t="str">
        <f>IF(AND(Projektgrundlagen!$I$25,'HB-D1 Besondere Lstg Land'!M124=TRUE),'HB-D1 Besondere Lstg Land'!C124&amp;" "&amp;'HB-D1 Besondere Lstg Land'!F124&amp;" "&amp;'HB-D1 Besondere Lstg Land'!F125,IF(AND(Projektgrundlagen!$I$26,'HB-D2 Besondere Lstg Bund'!M85=TRUE),'HB-D2 Besondere Lstg Bund'!C85&amp;" "&amp;'HB-D2 Besondere Lstg Bund'!F85&amp;" "&amp;'HB-D2 Besondere Lstg Bund'!F86,""))</f>
        <v/>
      </c>
      <c r="C131" s="1129"/>
      <c r="D131" s="1129" t="str">
        <f>IF(AND(Projektgrundlagen!$I$25,'HB-D1 Besondere Lstg Land'!M124=TRUE),(IF('HB-D1 Besondere Lstg Land'!H124&gt;0,"v.H.","pauschal")),IF(AND(Projektgrundlagen!$I$26,'HB-D2 Besondere Lstg Bund'!M85=TRUE),(IF('HB-D2 Besondere Lstg Bund'!H85&gt;0,"v.H.","pauschal")),""))</f>
        <v/>
      </c>
      <c r="E131" s="1129" t="str">
        <f>IF(AND(Projektgrundlagen!$I$25,'HB-D1 Besondere Lstg Land'!M124=TRUE),'HB-D1 Besondere Lstg Land'!H124+'HB-D1 Besondere Lstg Land'!J124,IF(AND(Projektgrundlagen!$I$26,'HB-D2 Besondere Lstg Bund'!M85=TRUE),'HB-D2 Besondere Lstg Bund'!H85+'HB-D2 Besondere Lstg Bund'!J85,""))</f>
        <v/>
      </c>
      <c r="F131" s="1129" t="str">
        <f>IF(AND(Projektgrundlagen!$I$25,'HB-D1 Besondere Lstg Land'!M124=TRUE),'HB-D1 Besondere Lstg Land'!K124,IF(AND(Projektgrundlagen!$I$26,'HB-D2 Besondere Lstg Bund'!M85=TRUE),'HB-D2 Besondere Lstg Bund'!K85,""))</f>
        <v/>
      </c>
      <c r="G131" s="1134"/>
      <c r="H131" s="1135"/>
    </row>
    <row r="132" spans="2:8" ht="15">
      <c r="B132" t="str">
        <f>IF(AND(Projektgrundlagen!$I$25,'HB-D1 Besondere Lstg Land'!M125=TRUE),'HB-D1 Besondere Lstg Land'!C125&amp;" "&amp;'HB-D1 Besondere Lstg Land'!F125&amp;" "&amp;'HB-D1 Besondere Lstg Land'!F126,IF(AND(Projektgrundlagen!$I$26,'HB-D2 Besondere Lstg Bund'!M86=TRUE),'HB-D2 Besondere Lstg Bund'!C86&amp;" "&amp;'HB-D2 Besondere Lstg Bund'!F86&amp;" "&amp;'HB-D2 Besondere Lstg Bund'!F87,""))</f>
        <v/>
      </c>
      <c r="C132" s="1129"/>
      <c r="D132" s="1129" t="str">
        <f>IF(AND(Projektgrundlagen!$I$25,'HB-D1 Besondere Lstg Land'!M125=TRUE),(IF('HB-D1 Besondere Lstg Land'!H125&gt;0,"v.H.","pauschal")),IF(AND(Projektgrundlagen!$I$26,'HB-D2 Besondere Lstg Bund'!M86=TRUE),(IF('HB-D2 Besondere Lstg Bund'!H86&gt;0,"v.H.","pauschal")),""))</f>
        <v/>
      </c>
      <c r="E132" s="1129" t="str">
        <f>IF(AND(Projektgrundlagen!$I$25,'HB-D1 Besondere Lstg Land'!M125=TRUE),'HB-D1 Besondere Lstg Land'!H125+'HB-D1 Besondere Lstg Land'!J125,IF(AND(Projektgrundlagen!$I$26,'HB-D2 Besondere Lstg Bund'!M86=TRUE),'HB-D2 Besondere Lstg Bund'!H86+'HB-D2 Besondere Lstg Bund'!J86,""))</f>
        <v/>
      </c>
      <c r="F132" s="1129" t="str">
        <f>IF(AND(Projektgrundlagen!$I$25,'HB-D1 Besondere Lstg Land'!M125=TRUE),'HB-D1 Besondere Lstg Land'!K125,IF(AND(Projektgrundlagen!$I$26,'HB-D2 Besondere Lstg Bund'!M86=TRUE),'HB-D2 Besondere Lstg Bund'!K86,""))</f>
        <v/>
      </c>
      <c r="G132" s="1134"/>
      <c r="H132" s="1135"/>
    </row>
    <row r="133" spans="2:8" ht="15">
      <c r="B133" t="str">
        <f>IF(AND(Projektgrundlagen!$I$25,'HB-D1 Besondere Lstg Land'!M126=TRUE),'HB-D1 Besondere Lstg Land'!C126&amp;" "&amp;'HB-D1 Besondere Lstg Land'!F126&amp;" "&amp;'HB-D1 Besondere Lstg Land'!F127,IF(AND(Projektgrundlagen!$I$26,'HB-D2 Besondere Lstg Bund'!M87=TRUE),'HB-D2 Besondere Lstg Bund'!C87&amp;" "&amp;'HB-D2 Besondere Lstg Bund'!F87&amp;" "&amp;'HB-D2 Besondere Lstg Bund'!F88,""))</f>
        <v/>
      </c>
      <c r="C133" s="1129"/>
      <c r="D133" s="1129" t="str">
        <f>IF(AND(Projektgrundlagen!$I$25,'HB-D1 Besondere Lstg Land'!M126=TRUE),(IF('HB-D1 Besondere Lstg Land'!H126&gt;0,"v.H.","pauschal")),IF(AND(Projektgrundlagen!$I$26,'HB-D2 Besondere Lstg Bund'!M87=TRUE),(IF('HB-D2 Besondere Lstg Bund'!H87&gt;0,"v.H.","pauschal")),""))</f>
        <v/>
      </c>
      <c r="E133" s="1129" t="str">
        <f>IF(AND(Projektgrundlagen!$I$25,'HB-D1 Besondere Lstg Land'!M126=TRUE),'HB-D1 Besondere Lstg Land'!H126+'HB-D1 Besondere Lstg Land'!J126,IF(AND(Projektgrundlagen!$I$26,'HB-D2 Besondere Lstg Bund'!M87=TRUE),'HB-D2 Besondere Lstg Bund'!H87+'HB-D2 Besondere Lstg Bund'!J87,""))</f>
        <v/>
      </c>
      <c r="F133" s="1129" t="str">
        <f>IF(AND(Projektgrundlagen!$I$25,'HB-D1 Besondere Lstg Land'!M126=TRUE),'HB-D1 Besondere Lstg Land'!K126,IF(AND(Projektgrundlagen!$I$26,'HB-D2 Besondere Lstg Bund'!M87=TRUE),'HB-D2 Besondere Lstg Bund'!K87,""))</f>
        <v/>
      </c>
      <c r="G133" s="1134"/>
      <c r="H133" s="1135"/>
    </row>
    <row r="134" spans="2:8" ht="15">
      <c r="B134" t="str">
        <f>IF(AND(Projektgrundlagen!$I$25,'HB-D1 Besondere Lstg Land'!M127=TRUE),'HB-D1 Besondere Lstg Land'!C127&amp;" "&amp;'HB-D1 Besondere Lstg Land'!F127&amp;" "&amp;'HB-D1 Besondere Lstg Land'!F128,IF(AND(Projektgrundlagen!$I$26,'HB-D2 Besondere Lstg Bund'!M88=TRUE),'HB-D2 Besondere Lstg Bund'!C88&amp;" "&amp;'HB-D2 Besondere Lstg Bund'!F88&amp;" "&amp;'HB-D2 Besondere Lstg Bund'!F89,""))</f>
        <v/>
      </c>
      <c r="C134" s="1129"/>
      <c r="D134" s="1129" t="str">
        <f>IF(AND(Projektgrundlagen!$I$25,'HB-D1 Besondere Lstg Land'!M127=TRUE),(IF('HB-D1 Besondere Lstg Land'!H127&gt;0,"v.H.","pauschal")),IF(AND(Projektgrundlagen!$I$26,'HB-D2 Besondere Lstg Bund'!M88=TRUE),(IF('HB-D2 Besondere Lstg Bund'!H88&gt;0,"v.H.","pauschal")),""))</f>
        <v/>
      </c>
      <c r="E134" s="1129" t="str">
        <f>IF(AND(Projektgrundlagen!$I$25,'HB-D1 Besondere Lstg Land'!M127=TRUE),'HB-D1 Besondere Lstg Land'!H127+'HB-D1 Besondere Lstg Land'!J127,IF(AND(Projektgrundlagen!$I$26,'HB-D2 Besondere Lstg Bund'!M88=TRUE),'HB-D2 Besondere Lstg Bund'!H88+'HB-D2 Besondere Lstg Bund'!J88,""))</f>
        <v/>
      </c>
      <c r="F134" s="1129" t="str">
        <f>IF(AND(Projektgrundlagen!$I$25,'HB-D1 Besondere Lstg Land'!M127=TRUE),'HB-D1 Besondere Lstg Land'!K127,IF(AND(Projektgrundlagen!$I$26,'HB-D2 Besondere Lstg Bund'!M88=TRUE),'HB-D2 Besondere Lstg Bund'!K88,""))</f>
        <v/>
      </c>
      <c r="G134" s="1134"/>
      <c r="H134" s="1135"/>
    </row>
    <row r="135" spans="2:8" ht="15">
      <c r="B135" t="str">
        <f>IF(AND(Projektgrundlagen!$I$25,'HB-D1 Besondere Lstg Land'!M128=TRUE),'HB-D1 Besondere Lstg Land'!C128&amp;" "&amp;'HB-D1 Besondere Lstg Land'!F128&amp;" "&amp;'HB-D1 Besondere Lstg Land'!F129,IF(AND(Projektgrundlagen!$I$26,'HB-D2 Besondere Lstg Bund'!M89=TRUE),'HB-D2 Besondere Lstg Bund'!C89&amp;" "&amp;'HB-D2 Besondere Lstg Bund'!F89&amp;" "&amp;'HB-D2 Besondere Lstg Bund'!F90,""))</f>
        <v/>
      </c>
      <c r="C135" s="1129"/>
      <c r="D135" s="1129" t="str">
        <f>IF(AND(Projektgrundlagen!$I$25,'HB-D1 Besondere Lstg Land'!M128=TRUE),(IF('HB-D1 Besondere Lstg Land'!H128&gt;0,"v.H.","pauschal")),IF(AND(Projektgrundlagen!$I$26,'HB-D2 Besondere Lstg Bund'!M89=TRUE),(IF('HB-D2 Besondere Lstg Bund'!H89&gt;0,"v.H.","pauschal")),""))</f>
        <v/>
      </c>
      <c r="E135" s="1129" t="str">
        <f>IF(AND(Projektgrundlagen!$I$25,'HB-D1 Besondere Lstg Land'!M128=TRUE),'HB-D1 Besondere Lstg Land'!H128+'HB-D1 Besondere Lstg Land'!J128,IF(AND(Projektgrundlagen!$I$26,'HB-D2 Besondere Lstg Bund'!M89=TRUE),'HB-D2 Besondere Lstg Bund'!H89+'HB-D2 Besondere Lstg Bund'!J89,""))</f>
        <v/>
      </c>
      <c r="F135" s="1129" t="str">
        <f>IF(AND(Projektgrundlagen!$I$25,'HB-D1 Besondere Lstg Land'!M128=TRUE),'HB-D1 Besondere Lstg Land'!K128,IF(AND(Projektgrundlagen!$I$26,'HB-D2 Besondere Lstg Bund'!M89=TRUE),'HB-D2 Besondere Lstg Bund'!K89,""))</f>
        <v/>
      </c>
      <c r="G135" s="1134"/>
      <c r="H135" s="1135"/>
    </row>
    <row r="136" spans="2:8" ht="15">
      <c r="B136" t="str">
        <f>IF(AND(Projektgrundlagen!$I$25,'HB-D1 Besondere Lstg Land'!M129=TRUE),'HB-D1 Besondere Lstg Land'!C129&amp;" "&amp;'HB-D1 Besondere Lstg Land'!F129&amp;" "&amp;'HB-D1 Besondere Lstg Land'!F130,IF(AND(Projektgrundlagen!$I$26,'HB-D2 Besondere Lstg Bund'!M90=TRUE),'HB-D2 Besondere Lstg Bund'!C90&amp;" "&amp;'HB-D2 Besondere Lstg Bund'!F90&amp;" "&amp;'HB-D2 Besondere Lstg Bund'!F91,""))</f>
        <v/>
      </c>
      <c r="C136" s="1129"/>
      <c r="D136" s="1129" t="str">
        <f>IF(AND(Projektgrundlagen!$I$25,'HB-D1 Besondere Lstg Land'!M129=TRUE),(IF('HB-D1 Besondere Lstg Land'!H129&gt;0,"v.H.","pauschal")),IF(AND(Projektgrundlagen!$I$26,'HB-D2 Besondere Lstg Bund'!M90=TRUE),(IF('HB-D2 Besondere Lstg Bund'!H90&gt;0,"v.H.","pauschal")),""))</f>
        <v/>
      </c>
      <c r="E136" s="1129" t="str">
        <f>IF(AND(Projektgrundlagen!$I$25,'HB-D1 Besondere Lstg Land'!M129=TRUE),'HB-D1 Besondere Lstg Land'!H129+'HB-D1 Besondere Lstg Land'!J129,IF(AND(Projektgrundlagen!$I$26,'HB-D2 Besondere Lstg Bund'!M90=TRUE),'HB-D2 Besondere Lstg Bund'!H90+'HB-D2 Besondere Lstg Bund'!J90,""))</f>
        <v/>
      </c>
      <c r="F136" s="1129" t="str">
        <f>IF(AND(Projektgrundlagen!$I$25,'HB-D1 Besondere Lstg Land'!M129=TRUE),'HB-D1 Besondere Lstg Land'!K129,IF(AND(Projektgrundlagen!$I$26,'HB-D2 Besondere Lstg Bund'!M90=TRUE),'HB-D2 Besondere Lstg Bund'!K90,""))</f>
        <v/>
      </c>
      <c r="G136" s="1134"/>
      <c r="H136" s="1135"/>
    </row>
    <row r="137" spans="2:8" ht="15">
      <c r="B137" t="str">
        <f>IF(AND(Projektgrundlagen!$I$25,'HB-D1 Besondere Lstg Land'!M130=TRUE),'HB-D1 Besondere Lstg Land'!C130&amp;" "&amp;'HB-D1 Besondere Lstg Land'!F130&amp;" "&amp;'HB-D1 Besondere Lstg Land'!F131,IF(AND(Projektgrundlagen!$I$26,'HB-D2 Besondere Lstg Bund'!M91=TRUE),'HB-D2 Besondere Lstg Bund'!C91&amp;" "&amp;'HB-D2 Besondere Lstg Bund'!F91&amp;" "&amp;'HB-D2 Besondere Lstg Bund'!F92,""))</f>
        <v/>
      </c>
      <c r="C137" s="1129"/>
      <c r="D137" s="1129" t="str">
        <f>IF(AND(Projektgrundlagen!$I$25,'HB-D1 Besondere Lstg Land'!M130=TRUE),(IF('HB-D1 Besondere Lstg Land'!H130&gt;0,"v.H.","pauschal")),IF(AND(Projektgrundlagen!$I$26,'HB-D2 Besondere Lstg Bund'!M91=TRUE),(IF('HB-D2 Besondere Lstg Bund'!H91&gt;0,"v.H.","pauschal")),""))</f>
        <v/>
      </c>
      <c r="E137" s="1129" t="str">
        <f>IF(AND(Projektgrundlagen!$I$25,'HB-D1 Besondere Lstg Land'!M130=TRUE),'HB-D1 Besondere Lstg Land'!H130+'HB-D1 Besondere Lstg Land'!J130,IF(AND(Projektgrundlagen!$I$26,'HB-D2 Besondere Lstg Bund'!M91=TRUE),'HB-D2 Besondere Lstg Bund'!H91+'HB-D2 Besondere Lstg Bund'!J91,""))</f>
        <v/>
      </c>
      <c r="F137" s="1129" t="str">
        <f>IF(AND(Projektgrundlagen!$I$25,'HB-D1 Besondere Lstg Land'!M130=TRUE),'HB-D1 Besondere Lstg Land'!K130,IF(AND(Projektgrundlagen!$I$26,'HB-D2 Besondere Lstg Bund'!M91=TRUE),'HB-D2 Besondere Lstg Bund'!K91,""))</f>
        <v/>
      </c>
      <c r="G137" s="1134"/>
      <c r="H137" s="1135"/>
    </row>
    <row r="138" spans="2:8" ht="15">
      <c r="B138" t="str">
        <f>IF(AND(Projektgrundlagen!$I$25,'HB-D1 Besondere Lstg Land'!M131=TRUE),'HB-D1 Besondere Lstg Land'!C131&amp;" "&amp;'HB-D1 Besondere Lstg Land'!F131&amp;" "&amp;'HB-D1 Besondere Lstg Land'!F132,IF(AND(Projektgrundlagen!$I$26,'HB-D2 Besondere Lstg Bund'!M92=TRUE),'HB-D2 Besondere Lstg Bund'!C92&amp;" "&amp;'HB-D2 Besondere Lstg Bund'!F92&amp;" "&amp;'HB-D2 Besondere Lstg Bund'!F93,""))</f>
        <v/>
      </c>
      <c r="C138" s="1129"/>
      <c r="D138" s="1129" t="str">
        <f>IF(AND(Projektgrundlagen!$I$25,'HB-D1 Besondere Lstg Land'!M131=TRUE),(IF('HB-D1 Besondere Lstg Land'!H131&gt;0,"v.H.","pauschal")),IF(AND(Projektgrundlagen!$I$26,'HB-D2 Besondere Lstg Bund'!M92=TRUE),(IF('HB-D2 Besondere Lstg Bund'!H92&gt;0,"v.H.","pauschal")),""))</f>
        <v/>
      </c>
      <c r="E138" s="1129" t="str">
        <f>IF(AND(Projektgrundlagen!$I$25,'HB-D1 Besondere Lstg Land'!M131=TRUE),'HB-D1 Besondere Lstg Land'!H131+'HB-D1 Besondere Lstg Land'!J131,IF(AND(Projektgrundlagen!$I$26,'HB-D2 Besondere Lstg Bund'!M92=TRUE),'HB-D2 Besondere Lstg Bund'!H92+'HB-D2 Besondere Lstg Bund'!J92,""))</f>
        <v/>
      </c>
      <c r="F138" s="1129" t="str">
        <f>IF(AND(Projektgrundlagen!$I$25,'HB-D1 Besondere Lstg Land'!M131=TRUE),'HB-D1 Besondere Lstg Land'!K131,IF(AND(Projektgrundlagen!$I$26,'HB-D2 Besondere Lstg Bund'!M92=TRUE),'HB-D2 Besondere Lstg Bund'!K92,""))</f>
        <v/>
      </c>
      <c r="G138" s="1134"/>
      <c r="H138" s="1135"/>
    </row>
    <row r="139" spans="2:8" ht="15">
      <c r="B139" t="str">
        <f>IF(AND(Projektgrundlagen!$I$25,'HB-D1 Besondere Lstg Land'!M132=TRUE),'HB-D1 Besondere Lstg Land'!C132&amp;" "&amp;'HB-D1 Besondere Lstg Land'!F132&amp;" "&amp;'HB-D1 Besondere Lstg Land'!F133,IF(AND(Projektgrundlagen!$I$26,'HB-D2 Besondere Lstg Bund'!M93=TRUE),'HB-D2 Besondere Lstg Bund'!C93&amp;" "&amp;'HB-D2 Besondere Lstg Bund'!F93&amp;" "&amp;'HB-D2 Besondere Lstg Bund'!F94,""))</f>
        <v/>
      </c>
      <c r="C139" s="1129"/>
      <c r="D139" s="1129" t="str">
        <f>IF(AND(Projektgrundlagen!$I$25,'HB-D1 Besondere Lstg Land'!M132=TRUE),(IF('HB-D1 Besondere Lstg Land'!H132&gt;0,"v.H.","pauschal")),IF(AND(Projektgrundlagen!$I$26,'HB-D2 Besondere Lstg Bund'!M93=TRUE),(IF('HB-D2 Besondere Lstg Bund'!H93&gt;0,"v.H.","pauschal")),""))</f>
        <v/>
      </c>
      <c r="E139" s="1129" t="str">
        <f>IF(AND(Projektgrundlagen!$I$25,'HB-D1 Besondere Lstg Land'!M132=TRUE),'HB-D1 Besondere Lstg Land'!H132+'HB-D1 Besondere Lstg Land'!J132,IF(AND(Projektgrundlagen!$I$26,'HB-D2 Besondere Lstg Bund'!M93=TRUE),'HB-D2 Besondere Lstg Bund'!H93+'HB-D2 Besondere Lstg Bund'!J93,""))</f>
        <v/>
      </c>
      <c r="F139" s="1129" t="str">
        <f>IF(AND(Projektgrundlagen!$I$25,'HB-D1 Besondere Lstg Land'!M132=TRUE),'HB-D1 Besondere Lstg Land'!K132,IF(AND(Projektgrundlagen!$I$26,'HB-D2 Besondere Lstg Bund'!M93=TRUE),'HB-D2 Besondere Lstg Bund'!K93,""))</f>
        <v/>
      </c>
      <c r="G139" s="1134"/>
      <c r="H139" s="1135"/>
    </row>
    <row r="140" spans="2:8" ht="15">
      <c r="B140" t="str">
        <f>IF(AND(Projektgrundlagen!$I$25,'HB-D1 Besondere Lstg Land'!M133=TRUE),'HB-D1 Besondere Lstg Land'!C133&amp;" "&amp;'HB-D1 Besondere Lstg Land'!F133&amp;" "&amp;'HB-D1 Besondere Lstg Land'!F134,IF(AND(Projektgrundlagen!$I$26,'HB-D2 Besondere Lstg Bund'!M94=TRUE),'HB-D2 Besondere Lstg Bund'!C94&amp;" "&amp;'HB-D2 Besondere Lstg Bund'!F94&amp;" "&amp;'HB-D2 Besondere Lstg Bund'!F95,""))</f>
        <v/>
      </c>
      <c r="C140" s="1129"/>
      <c r="D140" s="1129" t="str">
        <f>IF(AND(Projektgrundlagen!$I$25,'HB-D1 Besondere Lstg Land'!M133=TRUE),(IF('HB-D1 Besondere Lstg Land'!H133&gt;0,"v.H.","pauschal")),IF(AND(Projektgrundlagen!$I$26,'HB-D2 Besondere Lstg Bund'!M94=TRUE),(IF('HB-D2 Besondere Lstg Bund'!H94&gt;0,"v.H.","pauschal")),""))</f>
        <v/>
      </c>
      <c r="E140" s="1129" t="str">
        <f>IF(AND(Projektgrundlagen!$I$25,'HB-D1 Besondere Lstg Land'!M133=TRUE),'HB-D1 Besondere Lstg Land'!H133+'HB-D1 Besondere Lstg Land'!J133,IF(AND(Projektgrundlagen!$I$26,'HB-D2 Besondere Lstg Bund'!M94=TRUE),'HB-D2 Besondere Lstg Bund'!H94+'HB-D2 Besondere Lstg Bund'!J94,""))</f>
        <v/>
      </c>
      <c r="F140" s="1129" t="str">
        <f>IF(AND(Projektgrundlagen!$I$25,'HB-D1 Besondere Lstg Land'!M133=TRUE),'HB-D1 Besondere Lstg Land'!K133,IF(AND(Projektgrundlagen!$I$26,'HB-D2 Besondere Lstg Bund'!M94=TRUE),'HB-D2 Besondere Lstg Bund'!K94,""))</f>
        <v/>
      </c>
      <c r="G140" s="1134"/>
      <c r="H140" s="1135"/>
    </row>
    <row r="141" spans="2:8" ht="15">
      <c r="B141" t="str">
        <f>IF(AND(Projektgrundlagen!$I$25,'HB-D1 Besondere Lstg Land'!M134=TRUE),'HB-D1 Besondere Lstg Land'!C134&amp;" "&amp;'HB-D1 Besondere Lstg Land'!F134&amp;" "&amp;'HB-D1 Besondere Lstg Land'!F135,IF(AND(Projektgrundlagen!$I$26,'HB-D2 Besondere Lstg Bund'!M95=TRUE),'HB-D2 Besondere Lstg Bund'!C95&amp;" "&amp;'HB-D2 Besondere Lstg Bund'!F95&amp;" "&amp;'HB-D2 Besondere Lstg Bund'!F96,""))</f>
        <v/>
      </c>
      <c r="C141" s="1129"/>
      <c r="D141" s="1129" t="str">
        <f>IF(AND(Projektgrundlagen!$I$25,'HB-D1 Besondere Lstg Land'!M134=TRUE),(IF('HB-D1 Besondere Lstg Land'!H134&gt;0,"v.H.","pauschal")),IF(AND(Projektgrundlagen!$I$26,'HB-D2 Besondere Lstg Bund'!M95=TRUE),(IF('HB-D2 Besondere Lstg Bund'!H95&gt;0,"v.H.","pauschal")),""))</f>
        <v/>
      </c>
      <c r="E141" s="1129" t="str">
        <f>IF(AND(Projektgrundlagen!$I$25,'HB-D1 Besondere Lstg Land'!M134=TRUE),'HB-D1 Besondere Lstg Land'!H134+'HB-D1 Besondere Lstg Land'!J134,IF(AND(Projektgrundlagen!$I$26,'HB-D2 Besondere Lstg Bund'!M95=TRUE),'HB-D2 Besondere Lstg Bund'!H95+'HB-D2 Besondere Lstg Bund'!J95,""))</f>
        <v/>
      </c>
      <c r="F141" s="1129" t="str">
        <f>IF(AND(Projektgrundlagen!$I$25,'HB-D1 Besondere Lstg Land'!M134=TRUE),'HB-D1 Besondere Lstg Land'!K134,IF(AND(Projektgrundlagen!$I$26,'HB-D2 Besondere Lstg Bund'!M95=TRUE),'HB-D2 Besondere Lstg Bund'!K95,""))</f>
        <v/>
      </c>
      <c r="G141" s="1134"/>
      <c r="H141" s="1135"/>
    </row>
    <row r="142" spans="2:8" ht="15">
      <c r="B142" t="str">
        <f>IF(AND(Projektgrundlagen!$I$25,'HB-D1 Besondere Lstg Land'!M135=TRUE),'HB-D1 Besondere Lstg Land'!C135&amp;" "&amp;'HB-D1 Besondere Lstg Land'!F135&amp;" "&amp;'HB-D1 Besondere Lstg Land'!F136,IF(AND(Projektgrundlagen!$I$26,'HB-D2 Besondere Lstg Bund'!M96=TRUE),'HB-D2 Besondere Lstg Bund'!C96&amp;" "&amp;'HB-D2 Besondere Lstg Bund'!F96&amp;" "&amp;'HB-D2 Besondere Lstg Bund'!F97,""))</f>
        <v/>
      </c>
      <c r="C142" s="1129"/>
      <c r="D142" s="1129" t="str">
        <f>IF(AND(Projektgrundlagen!$I$25,'HB-D1 Besondere Lstg Land'!M135=TRUE),(IF('HB-D1 Besondere Lstg Land'!H135&gt;0,"v.H.","pauschal")),IF(AND(Projektgrundlagen!$I$26,'HB-D2 Besondere Lstg Bund'!M96=TRUE),(IF('HB-D2 Besondere Lstg Bund'!H96&gt;0,"v.H.","pauschal")),""))</f>
        <v/>
      </c>
      <c r="E142" s="1129" t="str">
        <f>IF(AND(Projektgrundlagen!$I$25,'HB-D1 Besondere Lstg Land'!M135=TRUE),'HB-D1 Besondere Lstg Land'!H135+'HB-D1 Besondere Lstg Land'!J135,IF(AND(Projektgrundlagen!$I$26,'HB-D2 Besondere Lstg Bund'!M96=TRUE),'HB-D2 Besondere Lstg Bund'!H96+'HB-D2 Besondere Lstg Bund'!J96,""))</f>
        <v/>
      </c>
      <c r="F142" s="1129" t="str">
        <f>IF(AND(Projektgrundlagen!$I$25,'HB-D1 Besondere Lstg Land'!M135=TRUE),'HB-D1 Besondere Lstg Land'!K135,IF(AND(Projektgrundlagen!$I$26,'HB-D2 Besondere Lstg Bund'!M96=TRUE),'HB-D2 Besondere Lstg Bund'!K96,""))</f>
        <v/>
      </c>
      <c r="G142" s="1134"/>
      <c r="H142" s="1135"/>
    </row>
    <row r="143" spans="2:8" ht="15">
      <c r="B143" t="str">
        <f>IF(AND(Projektgrundlagen!$I$25,'HB-D1 Besondere Lstg Land'!M136=TRUE),'HB-D1 Besondere Lstg Land'!C136&amp;" "&amp;'HB-D1 Besondere Lstg Land'!F136&amp;" "&amp;'HB-D1 Besondere Lstg Land'!F137,IF(AND(Projektgrundlagen!$I$26,'HB-D2 Besondere Lstg Bund'!M97=TRUE),'HB-D2 Besondere Lstg Bund'!C97&amp;" "&amp;'HB-D2 Besondere Lstg Bund'!F97&amp;" "&amp;'HB-D2 Besondere Lstg Bund'!F98,""))</f>
        <v/>
      </c>
      <c r="C143" s="1129"/>
      <c r="D143" s="1129" t="str">
        <f>IF(AND(Projektgrundlagen!$I$25,'HB-D1 Besondere Lstg Land'!M136=TRUE),(IF('HB-D1 Besondere Lstg Land'!H136&gt;0,"v.H.","pauschal")),IF(AND(Projektgrundlagen!$I$26,'HB-D2 Besondere Lstg Bund'!M97=TRUE),(IF('HB-D2 Besondere Lstg Bund'!H97&gt;0,"v.H.","pauschal")),""))</f>
        <v/>
      </c>
      <c r="E143" s="1129" t="str">
        <f>IF(AND(Projektgrundlagen!$I$25,'HB-D1 Besondere Lstg Land'!M136=TRUE),'HB-D1 Besondere Lstg Land'!H136+'HB-D1 Besondere Lstg Land'!J136,IF(AND(Projektgrundlagen!$I$26,'HB-D2 Besondere Lstg Bund'!M97=TRUE),'HB-D2 Besondere Lstg Bund'!H97+'HB-D2 Besondere Lstg Bund'!J97,""))</f>
        <v/>
      </c>
      <c r="F143" s="1129" t="str">
        <f>IF(AND(Projektgrundlagen!$I$25,'HB-D1 Besondere Lstg Land'!M136=TRUE),'HB-D1 Besondere Lstg Land'!K136,IF(AND(Projektgrundlagen!$I$26,'HB-D2 Besondere Lstg Bund'!M97=TRUE),'HB-D2 Besondere Lstg Bund'!K97,""))</f>
        <v/>
      </c>
      <c r="G143" s="1134"/>
      <c r="H143" s="1135"/>
    </row>
    <row r="144" spans="2:8" ht="15">
      <c r="B144" t="str">
        <f>IF(AND(Projektgrundlagen!$I$25,'HB-D1 Besondere Lstg Land'!M137=TRUE),'HB-D1 Besondere Lstg Land'!C137&amp;" "&amp;'HB-D1 Besondere Lstg Land'!F137&amp;" "&amp;'HB-D1 Besondere Lstg Land'!F138,IF(AND(Projektgrundlagen!$I$26,'HB-D2 Besondere Lstg Bund'!M98=TRUE),'HB-D2 Besondere Lstg Bund'!C98&amp;" "&amp;'HB-D2 Besondere Lstg Bund'!F98&amp;" "&amp;'HB-D2 Besondere Lstg Bund'!F99,""))</f>
        <v/>
      </c>
      <c r="C144" s="1129"/>
      <c r="D144" s="1129" t="str">
        <f>IF(AND(Projektgrundlagen!$I$25,'HB-D1 Besondere Lstg Land'!M137=TRUE),(IF('HB-D1 Besondere Lstg Land'!H137&gt;0,"v.H.","pauschal")),IF(AND(Projektgrundlagen!$I$26,'HB-D2 Besondere Lstg Bund'!M98=TRUE),(IF('HB-D2 Besondere Lstg Bund'!H98&gt;0,"v.H.","pauschal")),""))</f>
        <v/>
      </c>
      <c r="E144" s="1129" t="str">
        <f>IF(AND(Projektgrundlagen!$I$25,'HB-D1 Besondere Lstg Land'!M137=TRUE),'HB-D1 Besondere Lstg Land'!H137+'HB-D1 Besondere Lstg Land'!J137,IF(AND(Projektgrundlagen!$I$26,'HB-D2 Besondere Lstg Bund'!M98=TRUE),'HB-D2 Besondere Lstg Bund'!H98+'HB-D2 Besondere Lstg Bund'!J98,""))</f>
        <v/>
      </c>
      <c r="F144" s="1129" t="str">
        <f>IF(AND(Projektgrundlagen!$I$25,'HB-D1 Besondere Lstg Land'!M137=TRUE),'HB-D1 Besondere Lstg Land'!K137,IF(AND(Projektgrundlagen!$I$26,'HB-D2 Besondere Lstg Bund'!M98=TRUE),'HB-D2 Besondere Lstg Bund'!K98,""))</f>
        <v/>
      </c>
      <c r="G144" s="1134"/>
      <c r="H144" s="1135"/>
    </row>
    <row r="145" spans="2:8" ht="15">
      <c r="B145" t="str">
        <f>IF(AND(Projektgrundlagen!$I$25,'HB-D1 Besondere Lstg Land'!M138=TRUE),'HB-D1 Besondere Lstg Land'!C138&amp;" "&amp;'HB-D1 Besondere Lstg Land'!F138&amp;" "&amp;'HB-D1 Besondere Lstg Land'!F139,IF(AND(Projektgrundlagen!$I$26,'HB-D2 Besondere Lstg Bund'!M99=TRUE),'HB-D2 Besondere Lstg Bund'!C99&amp;" "&amp;'HB-D2 Besondere Lstg Bund'!F99&amp;" "&amp;'HB-D2 Besondere Lstg Bund'!F100,""))</f>
        <v/>
      </c>
      <c r="C145" s="1129"/>
      <c r="D145" s="1129" t="str">
        <f>IF(AND(Projektgrundlagen!$I$25,'HB-D1 Besondere Lstg Land'!M138=TRUE),(IF('HB-D1 Besondere Lstg Land'!H138&gt;0,"v.H.","pauschal")),IF(AND(Projektgrundlagen!$I$26,'HB-D2 Besondere Lstg Bund'!M99=TRUE),(IF('HB-D2 Besondere Lstg Bund'!H99&gt;0,"v.H.","pauschal")),""))</f>
        <v/>
      </c>
      <c r="E145" s="1129" t="str">
        <f>IF(AND(Projektgrundlagen!$I$25,'HB-D1 Besondere Lstg Land'!M138=TRUE),'HB-D1 Besondere Lstg Land'!H138+'HB-D1 Besondere Lstg Land'!J138,IF(AND(Projektgrundlagen!$I$26,'HB-D2 Besondere Lstg Bund'!M99=TRUE),'HB-D2 Besondere Lstg Bund'!H99+'HB-D2 Besondere Lstg Bund'!J99,""))</f>
        <v/>
      </c>
      <c r="F145" s="1129" t="str">
        <f>IF(AND(Projektgrundlagen!$I$25,'HB-D1 Besondere Lstg Land'!M138=TRUE),'HB-D1 Besondere Lstg Land'!K138,IF(AND(Projektgrundlagen!$I$26,'HB-D2 Besondere Lstg Bund'!M99=TRUE),'HB-D2 Besondere Lstg Bund'!K99,""))</f>
        <v/>
      </c>
      <c r="G145" s="1134"/>
      <c r="H145" s="1135"/>
    </row>
    <row r="146" spans="2:8" ht="15">
      <c r="B146" t="str">
        <f>IF(AND(Projektgrundlagen!$I$25,'HB-D1 Besondere Lstg Land'!M139=TRUE),'HB-D1 Besondere Lstg Land'!C139&amp;" "&amp;'HB-D1 Besondere Lstg Land'!F139&amp;" "&amp;'HB-D1 Besondere Lstg Land'!F140,IF(AND(Projektgrundlagen!$I$26,'HB-D2 Besondere Lstg Bund'!M100=TRUE),'HB-D2 Besondere Lstg Bund'!C100&amp;" "&amp;'HB-D2 Besondere Lstg Bund'!F100&amp;" "&amp;'HB-D2 Besondere Lstg Bund'!F101,""))</f>
        <v/>
      </c>
      <c r="C146" s="1129"/>
      <c r="D146" s="1129" t="str">
        <f>IF(AND(Projektgrundlagen!$I$25,'HB-D1 Besondere Lstg Land'!M139=TRUE),(IF('HB-D1 Besondere Lstg Land'!H139&gt;0,"v.H.","pauschal")),IF(AND(Projektgrundlagen!$I$26,'HB-D2 Besondere Lstg Bund'!M100=TRUE),(IF('HB-D2 Besondere Lstg Bund'!H100&gt;0,"v.H.","pauschal")),""))</f>
        <v/>
      </c>
      <c r="E146" s="1129" t="str">
        <f>IF(AND(Projektgrundlagen!$I$25,'HB-D1 Besondere Lstg Land'!M139=TRUE),'HB-D1 Besondere Lstg Land'!H139+'HB-D1 Besondere Lstg Land'!J139,IF(AND(Projektgrundlagen!$I$26,'HB-D2 Besondere Lstg Bund'!M100=TRUE),'HB-D2 Besondere Lstg Bund'!H100+'HB-D2 Besondere Lstg Bund'!J100,""))</f>
        <v/>
      </c>
      <c r="F146" s="1129" t="str">
        <f>IF(AND(Projektgrundlagen!$I$25,'HB-D1 Besondere Lstg Land'!M139=TRUE),'HB-D1 Besondere Lstg Land'!K139,IF(AND(Projektgrundlagen!$I$26,'HB-D2 Besondere Lstg Bund'!M100=TRUE),'HB-D2 Besondere Lstg Bund'!K100,""))</f>
        <v/>
      </c>
      <c r="G146" s="1134"/>
      <c r="H146" s="1135"/>
    </row>
    <row r="147" spans="2:8" ht="15">
      <c r="B147" t="str">
        <f>IF(AND(Projektgrundlagen!$I$25,'HB-D1 Besondere Lstg Land'!M140=TRUE),'HB-D1 Besondere Lstg Land'!C140&amp;" "&amp;'HB-D1 Besondere Lstg Land'!F140&amp;" "&amp;'HB-D1 Besondere Lstg Land'!F141,IF(AND(Projektgrundlagen!$I$26,'HB-D2 Besondere Lstg Bund'!M101=TRUE),'HB-D2 Besondere Lstg Bund'!C101&amp;" "&amp;'HB-D2 Besondere Lstg Bund'!F101&amp;" "&amp;'HB-D2 Besondere Lstg Bund'!F102,""))</f>
        <v/>
      </c>
      <c r="C147" s="1129"/>
      <c r="D147" s="1129" t="str">
        <f>IF(AND(Projektgrundlagen!$I$25,'HB-D1 Besondere Lstg Land'!M140=TRUE),(IF('HB-D1 Besondere Lstg Land'!H140&gt;0,"v.H.","pauschal")),IF(AND(Projektgrundlagen!$I$26,'HB-D2 Besondere Lstg Bund'!M101=TRUE),(IF('HB-D2 Besondere Lstg Bund'!H101&gt;0,"v.H.","pauschal")),""))</f>
        <v/>
      </c>
      <c r="E147" s="1129" t="str">
        <f>IF(AND(Projektgrundlagen!$I$25,'HB-D1 Besondere Lstg Land'!M140=TRUE),'HB-D1 Besondere Lstg Land'!H140+'HB-D1 Besondere Lstg Land'!J140,IF(AND(Projektgrundlagen!$I$26,'HB-D2 Besondere Lstg Bund'!M101=TRUE),'HB-D2 Besondere Lstg Bund'!H101+'HB-D2 Besondere Lstg Bund'!J101,""))</f>
        <v/>
      </c>
      <c r="F147" s="1129" t="str">
        <f>IF(AND(Projektgrundlagen!$I$25,'HB-D1 Besondere Lstg Land'!M140=TRUE),'HB-D1 Besondere Lstg Land'!K140,IF(AND(Projektgrundlagen!$I$26,'HB-D2 Besondere Lstg Bund'!M101=TRUE),'HB-D2 Besondere Lstg Bund'!K101,""))</f>
        <v/>
      </c>
      <c r="G147" s="1134"/>
      <c r="H147" s="1135"/>
    </row>
    <row r="148" spans="2:8" ht="15">
      <c r="B148" t="str">
        <f>IF(AND(Projektgrundlagen!$I$25,'HB-D1 Besondere Lstg Land'!M141=TRUE),'HB-D1 Besondere Lstg Land'!C141&amp;" "&amp;'HB-D1 Besondere Lstg Land'!F141&amp;" "&amp;'HB-D1 Besondere Lstg Land'!F142,IF(AND(Projektgrundlagen!$I$26,'HB-D2 Besondere Lstg Bund'!M102=TRUE),'HB-D2 Besondere Lstg Bund'!C102&amp;" "&amp;'HB-D2 Besondere Lstg Bund'!F102&amp;" "&amp;'HB-D2 Besondere Lstg Bund'!F103,""))</f>
        <v/>
      </c>
      <c r="C148" s="1129"/>
      <c r="D148" s="1129" t="str">
        <f>IF(AND(Projektgrundlagen!$I$25,'HB-D1 Besondere Lstg Land'!M141=TRUE),(IF('HB-D1 Besondere Lstg Land'!H141&gt;0,"v.H.","pauschal")),IF(AND(Projektgrundlagen!$I$26,'HB-D2 Besondere Lstg Bund'!M102=TRUE),(IF('HB-D2 Besondere Lstg Bund'!H102&gt;0,"v.H.","pauschal")),""))</f>
        <v/>
      </c>
      <c r="E148" s="1129" t="str">
        <f>IF(AND(Projektgrundlagen!$I$25,'HB-D1 Besondere Lstg Land'!M141=TRUE),'HB-D1 Besondere Lstg Land'!H141+'HB-D1 Besondere Lstg Land'!J141,IF(AND(Projektgrundlagen!$I$26,'HB-D2 Besondere Lstg Bund'!M102=TRUE),'HB-D2 Besondere Lstg Bund'!H102+'HB-D2 Besondere Lstg Bund'!J102,""))</f>
        <v/>
      </c>
      <c r="F148" s="1129" t="str">
        <f>IF(AND(Projektgrundlagen!$I$25,'HB-D1 Besondere Lstg Land'!M141=TRUE),'HB-D1 Besondere Lstg Land'!K141,IF(AND(Projektgrundlagen!$I$26,'HB-D2 Besondere Lstg Bund'!M102=TRUE),'HB-D2 Besondere Lstg Bund'!K102,""))</f>
        <v/>
      </c>
      <c r="G148" s="1134"/>
      <c r="H148" s="1135"/>
    </row>
    <row r="149" spans="2:8" ht="15">
      <c r="B149" t="str">
        <f>IF(AND(Projektgrundlagen!$I$25,'HB-D1 Besondere Lstg Land'!M142=TRUE),'HB-D1 Besondere Lstg Land'!C142&amp;" "&amp;'HB-D1 Besondere Lstg Land'!F142&amp;" "&amp;'HB-D1 Besondere Lstg Land'!F143,IF(AND(Projektgrundlagen!$I$26,'HB-D2 Besondere Lstg Bund'!M103=TRUE),'HB-D2 Besondere Lstg Bund'!C103&amp;" "&amp;'HB-D2 Besondere Lstg Bund'!F103&amp;" "&amp;'HB-D2 Besondere Lstg Bund'!F104,""))</f>
        <v/>
      </c>
      <c r="C149" s="1129"/>
      <c r="D149" s="1129" t="str">
        <f>IF(AND(Projektgrundlagen!$I$25,'HB-D1 Besondere Lstg Land'!M142=TRUE),(IF('HB-D1 Besondere Lstg Land'!H142&gt;0,"v.H.","pauschal")),IF(AND(Projektgrundlagen!$I$26,'HB-D2 Besondere Lstg Bund'!M103=TRUE),(IF('HB-D2 Besondere Lstg Bund'!H103&gt;0,"v.H.","pauschal")),""))</f>
        <v/>
      </c>
      <c r="E149" s="1129" t="str">
        <f>IF(AND(Projektgrundlagen!$I$25,'HB-D1 Besondere Lstg Land'!M142=TRUE),'HB-D1 Besondere Lstg Land'!H142+'HB-D1 Besondere Lstg Land'!J142,IF(AND(Projektgrundlagen!$I$26,'HB-D2 Besondere Lstg Bund'!M103=TRUE),'HB-D2 Besondere Lstg Bund'!H103+'HB-D2 Besondere Lstg Bund'!J103,""))</f>
        <v/>
      </c>
      <c r="F149" s="1129" t="str">
        <f>IF(AND(Projektgrundlagen!$I$25,'HB-D1 Besondere Lstg Land'!M142=TRUE),'HB-D1 Besondere Lstg Land'!K142,IF(AND(Projektgrundlagen!$I$26,'HB-D2 Besondere Lstg Bund'!M103=TRUE),'HB-D2 Besondere Lstg Bund'!K103,""))</f>
        <v/>
      </c>
      <c r="G149" s="1134"/>
      <c r="H149" s="1135"/>
    </row>
    <row r="150" spans="2:8" ht="15">
      <c r="B150" t="str">
        <f>IF(AND(Projektgrundlagen!$I$25,'HB-D1 Besondere Lstg Land'!M143=TRUE),'HB-D1 Besondere Lstg Land'!C143&amp;" "&amp;'HB-D1 Besondere Lstg Land'!F143&amp;" "&amp;'HB-D1 Besondere Lstg Land'!F144,IF(AND(Projektgrundlagen!$I$26,'HB-D2 Besondere Lstg Bund'!M104=TRUE),'HB-D2 Besondere Lstg Bund'!C104&amp;" "&amp;'HB-D2 Besondere Lstg Bund'!F104&amp;" "&amp;'HB-D2 Besondere Lstg Bund'!F105,""))</f>
        <v/>
      </c>
      <c r="C150" s="1129"/>
      <c r="D150" s="1129" t="str">
        <f>IF(AND(Projektgrundlagen!$I$25,'HB-D1 Besondere Lstg Land'!M143=TRUE),(IF('HB-D1 Besondere Lstg Land'!H143&gt;0,"v.H.","pauschal")),IF(AND(Projektgrundlagen!$I$26,'HB-D2 Besondere Lstg Bund'!M104=TRUE),(IF('HB-D2 Besondere Lstg Bund'!H104&gt;0,"v.H.","pauschal")),""))</f>
        <v/>
      </c>
      <c r="E150" s="1129" t="str">
        <f>IF(AND(Projektgrundlagen!$I$25,'HB-D1 Besondere Lstg Land'!M143=TRUE),'HB-D1 Besondere Lstg Land'!H143+'HB-D1 Besondere Lstg Land'!J143,IF(AND(Projektgrundlagen!$I$26,'HB-D2 Besondere Lstg Bund'!M104=TRUE),'HB-D2 Besondere Lstg Bund'!H104+'HB-D2 Besondere Lstg Bund'!J104,""))</f>
        <v/>
      </c>
      <c r="F150" s="1129" t="str">
        <f>IF(AND(Projektgrundlagen!$I$25,'HB-D1 Besondere Lstg Land'!M143=TRUE),'HB-D1 Besondere Lstg Land'!K143,IF(AND(Projektgrundlagen!$I$26,'HB-D2 Besondere Lstg Bund'!M104=TRUE),'HB-D2 Besondere Lstg Bund'!K104,""))</f>
        <v/>
      </c>
      <c r="G150" s="1134"/>
      <c r="H150" s="1135"/>
    </row>
    <row r="151" spans="2:8" ht="15">
      <c r="B151" t="str">
        <f>IF(AND(Projektgrundlagen!$I$25,'HB-D1 Besondere Lstg Land'!M144=TRUE),'HB-D1 Besondere Lstg Land'!C144&amp;" "&amp;'HB-D1 Besondere Lstg Land'!F144&amp;" "&amp;'HB-D1 Besondere Lstg Land'!F145,IF(AND(Projektgrundlagen!$I$26,'HB-D2 Besondere Lstg Bund'!M105=TRUE),'HB-D2 Besondere Lstg Bund'!C105&amp;" "&amp;'HB-D2 Besondere Lstg Bund'!F105&amp;" "&amp;'HB-D2 Besondere Lstg Bund'!F106,""))</f>
        <v/>
      </c>
      <c r="C151" s="1129"/>
      <c r="D151" s="1129" t="str">
        <f>IF(AND(Projektgrundlagen!$I$25,'HB-D1 Besondere Lstg Land'!M144=TRUE),(IF('HB-D1 Besondere Lstg Land'!H144&gt;0,"v.H.","pauschal")),IF(AND(Projektgrundlagen!$I$26,'HB-D2 Besondere Lstg Bund'!M105=TRUE),(IF('HB-D2 Besondere Lstg Bund'!H105&gt;0,"v.H.","pauschal")),""))</f>
        <v/>
      </c>
      <c r="E151" s="1129" t="str">
        <f>IF(AND(Projektgrundlagen!$I$25,'HB-D1 Besondere Lstg Land'!M144=TRUE),'HB-D1 Besondere Lstg Land'!H144+'HB-D1 Besondere Lstg Land'!J144,IF(AND(Projektgrundlagen!$I$26,'HB-D2 Besondere Lstg Bund'!M105=TRUE),'HB-D2 Besondere Lstg Bund'!H105+'HB-D2 Besondere Lstg Bund'!J105,""))</f>
        <v/>
      </c>
      <c r="F151" s="1129" t="str">
        <f>IF(AND(Projektgrundlagen!$I$25,'HB-D1 Besondere Lstg Land'!M144=TRUE),'HB-D1 Besondere Lstg Land'!K144,IF(AND(Projektgrundlagen!$I$26,'HB-D2 Besondere Lstg Bund'!M105=TRUE),'HB-D2 Besondere Lstg Bund'!K105,""))</f>
        <v/>
      </c>
      <c r="G151" s="1134"/>
      <c r="H151" s="1135"/>
    </row>
    <row r="152" spans="2:8" ht="15">
      <c r="B152" t="str">
        <f>IF(AND(Projektgrundlagen!$I$25,'HB-D1 Besondere Lstg Land'!M145=TRUE),'HB-D1 Besondere Lstg Land'!C145&amp;" "&amp;'HB-D1 Besondere Lstg Land'!F145&amp;" "&amp;'HB-D1 Besondere Lstg Land'!F146,IF(AND(Projektgrundlagen!$I$26,'HB-D2 Besondere Lstg Bund'!M106=TRUE),'HB-D2 Besondere Lstg Bund'!C106&amp;" "&amp;'HB-D2 Besondere Lstg Bund'!F106&amp;" "&amp;'HB-D2 Besondere Lstg Bund'!F107,""))</f>
        <v/>
      </c>
      <c r="C152" s="1129"/>
      <c r="D152" s="1129" t="str">
        <f>IF(AND(Projektgrundlagen!$I$25,'HB-D1 Besondere Lstg Land'!M145=TRUE),(IF('HB-D1 Besondere Lstg Land'!H145&gt;0,"v.H.","pauschal")),IF(AND(Projektgrundlagen!$I$26,'HB-D2 Besondere Lstg Bund'!M106=TRUE),(IF('HB-D2 Besondere Lstg Bund'!H106&gt;0,"v.H.","pauschal")),""))</f>
        <v/>
      </c>
      <c r="E152" s="1129" t="str">
        <f>IF(AND(Projektgrundlagen!$I$25,'HB-D1 Besondere Lstg Land'!M145=TRUE),'HB-D1 Besondere Lstg Land'!H145+'HB-D1 Besondere Lstg Land'!J145,IF(AND(Projektgrundlagen!$I$26,'HB-D2 Besondere Lstg Bund'!M106=TRUE),'HB-D2 Besondere Lstg Bund'!H106+'HB-D2 Besondere Lstg Bund'!J106,""))</f>
        <v/>
      </c>
      <c r="F152" s="1129" t="str">
        <f>IF(AND(Projektgrundlagen!$I$25,'HB-D1 Besondere Lstg Land'!M145=TRUE),'HB-D1 Besondere Lstg Land'!K145,IF(AND(Projektgrundlagen!$I$26,'HB-D2 Besondere Lstg Bund'!M106=TRUE),'HB-D2 Besondere Lstg Bund'!K106,""))</f>
        <v/>
      </c>
      <c r="G152" s="1134"/>
      <c r="H152" s="1135"/>
    </row>
    <row r="153" spans="2:8" ht="15">
      <c r="B153" t="str">
        <f>IF(AND(Projektgrundlagen!$I$25,'HB-D1 Besondere Lstg Land'!M146=TRUE),'HB-D1 Besondere Lstg Land'!C146&amp;" "&amp;'HB-D1 Besondere Lstg Land'!F146&amp;" "&amp;'HB-D1 Besondere Lstg Land'!F147,IF(AND(Projektgrundlagen!$I$26,'HB-D2 Besondere Lstg Bund'!M107=TRUE),'HB-D2 Besondere Lstg Bund'!C107&amp;" "&amp;'HB-D2 Besondere Lstg Bund'!F107&amp;" "&amp;'HB-D2 Besondere Lstg Bund'!F108,""))</f>
        <v/>
      </c>
      <c r="C153" s="1129"/>
      <c r="D153" s="1129" t="str">
        <f>IF(AND(Projektgrundlagen!$I$25,'HB-D1 Besondere Lstg Land'!M146=TRUE),(IF('HB-D1 Besondere Lstg Land'!H146&gt;0,"v.H.","pauschal")),IF(AND(Projektgrundlagen!$I$26,'HB-D2 Besondere Lstg Bund'!M107=TRUE),(IF('HB-D2 Besondere Lstg Bund'!H107&gt;0,"v.H.","pauschal")),""))</f>
        <v/>
      </c>
      <c r="E153" s="1129" t="str">
        <f>IF(AND(Projektgrundlagen!$I$25,'HB-D1 Besondere Lstg Land'!M146=TRUE),'HB-D1 Besondere Lstg Land'!H146+'HB-D1 Besondere Lstg Land'!J146,IF(AND(Projektgrundlagen!$I$26,'HB-D2 Besondere Lstg Bund'!M107=TRUE),'HB-D2 Besondere Lstg Bund'!H107+'HB-D2 Besondere Lstg Bund'!J107,""))</f>
        <v/>
      </c>
      <c r="F153" s="1129" t="str">
        <f>IF(AND(Projektgrundlagen!$I$25,'HB-D1 Besondere Lstg Land'!M146=TRUE),'HB-D1 Besondere Lstg Land'!K146,IF(AND(Projektgrundlagen!$I$26,'HB-D2 Besondere Lstg Bund'!M107=TRUE),'HB-D2 Besondere Lstg Bund'!K107,""))</f>
        <v/>
      </c>
      <c r="G153" s="1134"/>
      <c r="H153" s="1135"/>
    </row>
    <row r="154" spans="2:8" ht="15">
      <c r="B154" t="str">
        <f>IF(AND(Projektgrundlagen!$I$25,'HB-D1 Besondere Lstg Land'!M147=TRUE),'HB-D1 Besondere Lstg Land'!C147&amp;" "&amp;'HB-D1 Besondere Lstg Land'!F147&amp;" "&amp;'HB-D1 Besondere Lstg Land'!F148,IF(AND(Projektgrundlagen!$I$26,'HB-D2 Besondere Lstg Bund'!M108=TRUE),'HB-D2 Besondere Lstg Bund'!C108&amp;" "&amp;'HB-D2 Besondere Lstg Bund'!F108&amp;" "&amp;'HB-D2 Besondere Lstg Bund'!F109,""))</f>
        <v/>
      </c>
      <c r="C154" s="1129"/>
      <c r="D154" s="1129" t="str">
        <f>IF(AND(Projektgrundlagen!$I$25,'HB-D1 Besondere Lstg Land'!M147=TRUE),(IF('HB-D1 Besondere Lstg Land'!H147&gt;0,"v.H.","pauschal")),IF(AND(Projektgrundlagen!$I$26,'HB-D2 Besondere Lstg Bund'!M108=TRUE),(IF('HB-D2 Besondere Lstg Bund'!H108&gt;0,"v.H.","pauschal")),""))</f>
        <v/>
      </c>
      <c r="E154" s="1129" t="str">
        <f>IF(AND(Projektgrundlagen!$I$25,'HB-D1 Besondere Lstg Land'!M147=TRUE),'HB-D1 Besondere Lstg Land'!H147+'HB-D1 Besondere Lstg Land'!J147,IF(AND(Projektgrundlagen!$I$26,'HB-D2 Besondere Lstg Bund'!M108=TRUE),'HB-D2 Besondere Lstg Bund'!H108+'HB-D2 Besondere Lstg Bund'!J108,""))</f>
        <v/>
      </c>
      <c r="F154" s="1129" t="str">
        <f>IF(AND(Projektgrundlagen!$I$25,'HB-D1 Besondere Lstg Land'!M147=TRUE),'HB-D1 Besondere Lstg Land'!K147,IF(AND(Projektgrundlagen!$I$26,'HB-D2 Besondere Lstg Bund'!M108=TRUE),'HB-D2 Besondere Lstg Bund'!K108,""))</f>
        <v/>
      </c>
      <c r="G154" s="1134"/>
      <c r="H154" s="1135"/>
    </row>
    <row r="155" spans="2:8" ht="15">
      <c r="B155" t="str">
        <f>IF(AND(Projektgrundlagen!$I$25,'HB-D1 Besondere Lstg Land'!M148=TRUE),'HB-D1 Besondere Lstg Land'!C148&amp;" "&amp;'HB-D1 Besondere Lstg Land'!F148&amp;" "&amp;'HB-D1 Besondere Lstg Land'!F149,IF(AND(Projektgrundlagen!$I$26,'HB-D2 Besondere Lstg Bund'!M109=TRUE),'HB-D2 Besondere Lstg Bund'!C109&amp;" "&amp;'HB-D2 Besondere Lstg Bund'!F109&amp;" "&amp;'HB-D2 Besondere Lstg Bund'!F110,""))</f>
        <v/>
      </c>
      <c r="C155" s="1129"/>
      <c r="D155" s="1129" t="str">
        <f>IF(AND(Projektgrundlagen!$I$25,'HB-D1 Besondere Lstg Land'!M148=TRUE),(IF('HB-D1 Besondere Lstg Land'!H148&gt;0,"v.H.","pauschal")),IF(AND(Projektgrundlagen!$I$26,'HB-D2 Besondere Lstg Bund'!M109=TRUE),(IF('HB-D2 Besondere Lstg Bund'!H109&gt;0,"v.H.","pauschal")),""))</f>
        <v/>
      </c>
      <c r="E155" s="1129" t="str">
        <f>IF(AND(Projektgrundlagen!$I$25,'HB-D1 Besondere Lstg Land'!M148=TRUE),'HB-D1 Besondere Lstg Land'!H148+'HB-D1 Besondere Lstg Land'!J148,IF(AND(Projektgrundlagen!$I$26,'HB-D2 Besondere Lstg Bund'!M109=TRUE),'HB-D2 Besondere Lstg Bund'!H109+'HB-D2 Besondere Lstg Bund'!J109,""))</f>
        <v/>
      </c>
      <c r="F155" s="1129" t="str">
        <f>IF(AND(Projektgrundlagen!$I$25,'HB-D1 Besondere Lstg Land'!M148=TRUE),'HB-D1 Besondere Lstg Land'!K148,IF(AND(Projektgrundlagen!$I$26,'HB-D2 Besondere Lstg Bund'!M109=TRUE),'HB-D2 Besondere Lstg Bund'!K109,""))</f>
        <v/>
      </c>
      <c r="G155" s="1134"/>
      <c r="H155" s="1135"/>
    </row>
    <row r="156" spans="2:8" ht="15">
      <c r="B156" t="str">
        <f>IF(AND(Projektgrundlagen!$I$25,'HB-D1 Besondere Lstg Land'!M149=TRUE),'HB-D1 Besondere Lstg Land'!C149&amp;" "&amp;'HB-D1 Besondere Lstg Land'!F149&amp;" "&amp;'HB-D1 Besondere Lstg Land'!F150,IF(AND(Projektgrundlagen!$I$26,'HB-D2 Besondere Lstg Bund'!M110=TRUE),'HB-D2 Besondere Lstg Bund'!C110&amp;" "&amp;'HB-D2 Besondere Lstg Bund'!F110&amp;" "&amp;'HB-D2 Besondere Lstg Bund'!F111,""))</f>
        <v/>
      </c>
      <c r="C156" s="1129"/>
      <c r="D156" s="1129" t="str">
        <f>IF(AND(Projektgrundlagen!$I$25,'HB-D1 Besondere Lstg Land'!M149=TRUE),(IF('HB-D1 Besondere Lstg Land'!H149&gt;0,"v.H.","pauschal")),IF(AND(Projektgrundlagen!$I$26,'HB-D2 Besondere Lstg Bund'!M110=TRUE),(IF('HB-D2 Besondere Lstg Bund'!H110&gt;0,"v.H.","pauschal")),""))</f>
        <v/>
      </c>
      <c r="E156" s="1129" t="str">
        <f>IF(AND(Projektgrundlagen!$I$25,'HB-D1 Besondere Lstg Land'!M149=TRUE),'HB-D1 Besondere Lstg Land'!H149+'HB-D1 Besondere Lstg Land'!J149,IF(AND(Projektgrundlagen!$I$26,'HB-D2 Besondere Lstg Bund'!M110=TRUE),'HB-D2 Besondere Lstg Bund'!H110+'HB-D2 Besondere Lstg Bund'!J110,""))</f>
        <v/>
      </c>
      <c r="F156" s="1129" t="str">
        <f>IF(AND(Projektgrundlagen!$I$25,'HB-D1 Besondere Lstg Land'!M149=TRUE),'HB-D1 Besondere Lstg Land'!K149,IF(AND(Projektgrundlagen!$I$26,'HB-D2 Besondere Lstg Bund'!M110=TRUE),'HB-D2 Besondere Lstg Bund'!K110,""))</f>
        <v/>
      </c>
      <c r="G156" s="1134"/>
      <c r="H156" s="1135"/>
    </row>
    <row r="157" spans="2:8" ht="15">
      <c r="B157" t="str">
        <f>IF(AND(Projektgrundlagen!$I$25,'HB-D1 Besondere Lstg Land'!M150=TRUE),'HB-D1 Besondere Lstg Land'!C150&amp;" "&amp;'HB-D1 Besondere Lstg Land'!F150&amp;" "&amp;'HB-D1 Besondere Lstg Land'!F151,IF(AND(Projektgrundlagen!$I$26,'HB-D2 Besondere Lstg Bund'!M111=TRUE),'HB-D2 Besondere Lstg Bund'!C111&amp;" "&amp;'HB-D2 Besondere Lstg Bund'!F111&amp;" "&amp;'HB-D2 Besondere Lstg Bund'!F112,""))</f>
        <v/>
      </c>
      <c r="C157" s="1129"/>
      <c r="D157" s="1129" t="str">
        <f>IF(AND(Projektgrundlagen!$I$25,'HB-D1 Besondere Lstg Land'!M150=TRUE),(IF('HB-D1 Besondere Lstg Land'!H150&gt;0,"v.H.","pauschal")),IF(AND(Projektgrundlagen!$I$26,'HB-D2 Besondere Lstg Bund'!M111=TRUE),(IF('HB-D2 Besondere Lstg Bund'!H111&gt;0,"v.H.","pauschal")),""))</f>
        <v/>
      </c>
      <c r="E157" s="1129" t="str">
        <f>IF(AND(Projektgrundlagen!$I$25,'HB-D1 Besondere Lstg Land'!M150=TRUE),'HB-D1 Besondere Lstg Land'!H150+'HB-D1 Besondere Lstg Land'!J150,IF(AND(Projektgrundlagen!$I$26,'HB-D2 Besondere Lstg Bund'!M111=TRUE),'HB-D2 Besondere Lstg Bund'!H111+'HB-D2 Besondere Lstg Bund'!J111,""))</f>
        <v/>
      </c>
      <c r="F157" s="1129" t="str">
        <f>IF(AND(Projektgrundlagen!$I$25,'HB-D1 Besondere Lstg Land'!M150=TRUE),'HB-D1 Besondere Lstg Land'!K150,IF(AND(Projektgrundlagen!$I$26,'HB-D2 Besondere Lstg Bund'!M111=TRUE),'HB-D2 Besondere Lstg Bund'!K111,""))</f>
        <v/>
      </c>
      <c r="G157" s="1134"/>
      <c r="H157" s="1135"/>
    </row>
    <row r="158" spans="2:8" ht="15">
      <c r="B158" t="str">
        <f>IF(AND(Projektgrundlagen!$I$25,'HB-D1 Besondere Lstg Land'!M151=TRUE),'HB-D1 Besondere Lstg Land'!C151&amp;" "&amp;'HB-D1 Besondere Lstg Land'!F151&amp;" "&amp;'HB-D1 Besondere Lstg Land'!F152,IF(AND(Projektgrundlagen!$I$26,'HB-D2 Besondere Lstg Bund'!M112=TRUE),'HB-D2 Besondere Lstg Bund'!C112&amp;" "&amp;'HB-D2 Besondere Lstg Bund'!F112&amp;" "&amp;'HB-D2 Besondere Lstg Bund'!F113,""))</f>
        <v/>
      </c>
      <c r="C158" s="1129"/>
      <c r="D158" s="1129" t="str">
        <f>IF(AND(Projektgrundlagen!$I$25,'HB-D1 Besondere Lstg Land'!M151=TRUE),(IF('HB-D1 Besondere Lstg Land'!H151&gt;0,"v.H.","pauschal")),IF(AND(Projektgrundlagen!$I$26,'HB-D2 Besondere Lstg Bund'!M112=TRUE),(IF('HB-D2 Besondere Lstg Bund'!H112&gt;0,"v.H.","pauschal")),""))</f>
        <v/>
      </c>
      <c r="E158" s="1129" t="str">
        <f>IF(AND(Projektgrundlagen!$I$25,'HB-D1 Besondere Lstg Land'!M151=TRUE),'HB-D1 Besondere Lstg Land'!H151+'HB-D1 Besondere Lstg Land'!J151,IF(AND(Projektgrundlagen!$I$26,'HB-D2 Besondere Lstg Bund'!M112=TRUE),'HB-D2 Besondere Lstg Bund'!H112+'HB-D2 Besondere Lstg Bund'!J112,""))</f>
        <v/>
      </c>
      <c r="F158" s="1129" t="str">
        <f>IF(AND(Projektgrundlagen!$I$25,'HB-D1 Besondere Lstg Land'!M151=TRUE),'HB-D1 Besondere Lstg Land'!K151,IF(AND(Projektgrundlagen!$I$26,'HB-D2 Besondere Lstg Bund'!M112=TRUE),'HB-D2 Besondere Lstg Bund'!K112,""))</f>
        <v/>
      </c>
      <c r="G158" s="1134"/>
      <c r="H158" s="1135"/>
    </row>
    <row r="159" spans="2:8" ht="15">
      <c r="B159" t="str">
        <f>IF(AND(Projektgrundlagen!$I$25,'HB-D1 Besondere Lstg Land'!M152=TRUE),'HB-D1 Besondere Lstg Land'!C152&amp;" "&amp;'HB-D1 Besondere Lstg Land'!F152&amp;" "&amp;'HB-D1 Besondere Lstg Land'!F153,IF(AND(Projektgrundlagen!$I$26,'HB-D2 Besondere Lstg Bund'!M113=TRUE),'HB-D2 Besondere Lstg Bund'!C113&amp;" "&amp;'HB-D2 Besondere Lstg Bund'!F113&amp;" "&amp;'HB-D2 Besondere Lstg Bund'!F114,""))</f>
        <v/>
      </c>
      <c r="C159" s="1129"/>
      <c r="D159" s="1129" t="str">
        <f>IF(AND(Projektgrundlagen!$I$25,'HB-D1 Besondere Lstg Land'!M152=TRUE),(IF('HB-D1 Besondere Lstg Land'!H152&gt;0,"v.H.","pauschal")),IF(AND(Projektgrundlagen!$I$26,'HB-D2 Besondere Lstg Bund'!M113=TRUE),(IF('HB-D2 Besondere Lstg Bund'!H113&gt;0,"v.H.","pauschal")),""))</f>
        <v/>
      </c>
      <c r="E159" s="1129" t="str">
        <f>IF(AND(Projektgrundlagen!$I$25,'HB-D1 Besondere Lstg Land'!M152=TRUE),'HB-D1 Besondere Lstg Land'!H152+'HB-D1 Besondere Lstg Land'!J152,IF(AND(Projektgrundlagen!$I$26,'HB-D2 Besondere Lstg Bund'!M113=TRUE),'HB-D2 Besondere Lstg Bund'!H113+'HB-D2 Besondere Lstg Bund'!J113,""))</f>
        <v/>
      </c>
      <c r="F159" s="1129" t="str">
        <f>IF(AND(Projektgrundlagen!$I$25,'HB-D1 Besondere Lstg Land'!M152=TRUE),'HB-D1 Besondere Lstg Land'!K152,IF(AND(Projektgrundlagen!$I$26,'HB-D2 Besondere Lstg Bund'!M113=TRUE),'HB-D2 Besondere Lstg Bund'!K113,""))</f>
        <v/>
      </c>
      <c r="G159" s="1134"/>
      <c r="H159" s="1135"/>
    </row>
    <row r="160" spans="2:8" ht="15">
      <c r="B160" t="str">
        <f>IF(AND(Projektgrundlagen!$I$25,'HB-D1 Besondere Lstg Land'!M153=TRUE),'HB-D1 Besondere Lstg Land'!C153&amp;" "&amp;'HB-D1 Besondere Lstg Land'!F153&amp;" "&amp;'HB-D1 Besondere Lstg Land'!F154,IF(AND(Projektgrundlagen!$I$26,'HB-D2 Besondere Lstg Bund'!M114=TRUE),'HB-D2 Besondere Lstg Bund'!C114&amp;" "&amp;'HB-D2 Besondere Lstg Bund'!F114&amp;" "&amp;'HB-D2 Besondere Lstg Bund'!F115,""))</f>
        <v/>
      </c>
      <c r="C160" s="1129"/>
      <c r="D160" s="1129" t="str">
        <f>IF(AND(Projektgrundlagen!$I$25,'HB-D1 Besondere Lstg Land'!M153=TRUE),(IF('HB-D1 Besondere Lstg Land'!H153&gt;0,"v.H.","pauschal")),IF(AND(Projektgrundlagen!$I$26,'HB-D2 Besondere Lstg Bund'!M114=TRUE),(IF('HB-D2 Besondere Lstg Bund'!H114&gt;0,"v.H.","pauschal")),""))</f>
        <v/>
      </c>
      <c r="E160" s="1129" t="str">
        <f>IF(AND(Projektgrundlagen!$I$25,'HB-D1 Besondere Lstg Land'!M153=TRUE),'HB-D1 Besondere Lstg Land'!H153+'HB-D1 Besondere Lstg Land'!J153,IF(AND(Projektgrundlagen!$I$26,'HB-D2 Besondere Lstg Bund'!M114=TRUE),'HB-D2 Besondere Lstg Bund'!H114+'HB-D2 Besondere Lstg Bund'!J114,""))</f>
        <v/>
      </c>
      <c r="F160" s="1129" t="str">
        <f>IF(AND(Projektgrundlagen!$I$25,'HB-D1 Besondere Lstg Land'!M153=TRUE),'HB-D1 Besondere Lstg Land'!K153,IF(AND(Projektgrundlagen!$I$26,'HB-D2 Besondere Lstg Bund'!M114=TRUE),'HB-D2 Besondere Lstg Bund'!K114,""))</f>
        <v/>
      </c>
      <c r="G160" s="1134"/>
      <c r="H160" s="1135"/>
    </row>
    <row r="161" spans="2:8" ht="15">
      <c r="B161" t="str">
        <f>IF(AND(Projektgrundlagen!$I$25,'HB-D1 Besondere Lstg Land'!M154=TRUE),'HB-D1 Besondere Lstg Land'!C154&amp;" "&amp;'HB-D1 Besondere Lstg Land'!F154&amp;" "&amp;'HB-D1 Besondere Lstg Land'!F155,IF(AND(Projektgrundlagen!$I$26,'HB-D2 Besondere Lstg Bund'!M115=TRUE),'HB-D2 Besondere Lstg Bund'!C115&amp;" "&amp;'HB-D2 Besondere Lstg Bund'!F115&amp;" "&amp;'HB-D2 Besondere Lstg Bund'!F116,""))</f>
        <v/>
      </c>
      <c r="C161" s="1129"/>
      <c r="D161" s="1129" t="str">
        <f>IF(AND(Projektgrundlagen!$I$25,'HB-D1 Besondere Lstg Land'!M154=TRUE),(IF('HB-D1 Besondere Lstg Land'!H154&gt;0,"v.H.","pauschal")),IF(AND(Projektgrundlagen!$I$26,'HB-D2 Besondere Lstg Bund'!M115=TRUE),(IF('HB-D2 Besondere Lstg Bund'!H115&gt;0,"v.H.","pauschal")),""))</f>
        <v/>
      </c>
      <c r="E161" s="1129" t="str">
        <f>IF(AND(Projektgrundlagen!$I$25,'HB-D1 Besondere Lstg Land'!M154=TRUE),'HB-D1 Besondere Lstg Land'!H154+'HB-D1 Besondere Lstg Land'!J154,IF(AND(Projektgrundlagen!$I$26,'HB-D2 Besondere Lstg Bund'!M115=TRUE),'HB-D2 Besondere Lstg Bund'!H115+'HB-D2 Besondere Lstg Bund'!J115,""))</f>
        <v/>
      </c>
      <c r="F161" s="1129" t="str">
        <f>IF(AND(Projektgrundlagen!$I$25,'HB-D1 Besondere Lstg Land'!M154=TRUE),'HB-D1 Besondere Lstg Land'!K154,IF(AND(Projektgrundlagen!$I$26,'HB-D2 Besondere Lstg Bund'!M115=TRUE),'HB-D2 Besondere Lstg Bund'!K115,""))</f>
        <v/>
      </c>
      <c r="G161" s="1134"/>
      <c r="H161" s="1135"/>
    </row>
    <row r="162" spans="2:8" ht="15">
      <c r="B162" t="str">
        <f>IF(AND(Projektgrundlagen!$I$25,'HB-D1 Besondere Lstg Land'!M155=TRUE),'HB-D1 Besondere Lstg Land'!C155&amp;" "&amp;'HB-D1 Besondere Lstg Land'!F155&amp;" "&amp;'HB-D1 Besondere Lstg Land'!F156,IF(AND(Projektgrundlagen!$I$26,'HB-D2 Besondere Lstg Bund'!M116=TRUE),'HB-D2 Besondere Lstg Bund'!C116&amp;" "&amp;'HB-D2 Besondere Lstg Bund'!F116&amp;" "&amp;'HB-D2 Besondere Lstg Bund'!F117,""))</f>
        <v/>
      </c>
      <c r="C162" s="1129"/>
      <c r="D162" s="1129" t="str">
        <f>IF(AND(Projektgrundlagen!$I$25,'HB-D1 Besondere Lstg Land'!M155=TRUE),(IF('HB-D1 Besondere Lstg Land'!H155&gt;0,"v.H.","pauschal")),IF(AND(Projektgrundlagen!$I$26,'HB-D2 Besondere Lstg Bund'!M116=TRUE),(IF('HB-D2 Besondere Lstg Bund'!H116&gt;0,"v.H.","pauschal")),""))</f>
        <v/>
      </c>
      <c r="E162" s="1129" t="str">
        <f>IF(AND(Projektgrundlagen!$I$25,'HB-D1 Besondere Lstg Land'!M155=TRUE),'HB-D1 Besondere Lstg Land'!H155+'HB-D1 Besondere Lstg Land'!J155,IF(AND(Projektgrundlagen!$I$26,'HB-D2 Besondere Lstg Bund'!M116=TRUE),'HB-D2 Besondere Lstg Bund'!H116+'HB-D2 Besondere Lstg Bund'!J116,""))</f>
        <v/>
      </c>
      <c r="F162" s="1129" t="str">
        <f>IF(AND(Projektgrundlagen!$I$25,'HB-D1 Besondere Lstg Land'!M155=TRUE),'HB-D1 Besondere Lstg Land'!K155,IF(AND(Projektgrundlagen!$I$26,'HB-D2 Besondere Lstg Bund'!M116=TRUE),'HB-D2 Besondere Lstg Bund'!K116,""))</f>
        <v/>
      </c>
      <c r="G162" s="1134"/>
      <c r="H162" s="1135"/>
    </row>
    <row r="163" spans="2:8" ht="15">
      <c r="B163" t="str">
        <f>IF(AND(Projektgrundlagen!$I$25,'HB-D1 Besondere Lstg Land'!M156=TRUE),'HB-D1 Besondere Lstg Land'!C156&amp;" "&amp;'HB-D1 Besondere Lstg Land'!F156&amp;" "&amp;'HB-D1 Besondere Lstg Land'!F157,IF(AND(Projektgrundlagen!$I$26,'HB-D2 Besondere Lstg Bund'!M117=TRUE),'HB-D2 Besondere Lstg Bund'!C117&amp;" "&amp;'HB-D2 Besondere Lstg Bund'!F117&amp;" "&amp;'HB-D2 Besondere Lstg Bund'!F118,""))</f>
        <v/>
      </c>
      <c r="C163" s="1129"/>
      <c r="D163" s="1129" t="str">
        <f>IF(AND(Projektgrundlagen!$I$25,'HB-D1 Besondere Lstg Land'!M156=TRUE),(IF('HB-D1 Besondere Lstg Land'!H156&gt;0,"v.H.","pauschal")),IF(AND(Projektgrundlagen!$I$26,'HB-D2 Besondere Lstg Bund'!M117=TRUE),(IF('HB-D2 Besondere Lstg Bund'!H117&gt;0,"v.H.","pauschal")),""))</f>
        <v/>
      </c>
      <c r="E163" s="1129" t="str">
        <f>IF(AND(Projektgrundlagen!$I$25,'HB-D1 Besondere Lstg Land'!M156=TRUE),'HB-D1 Besondere Lstg Land'!H156+'HB-D1 Besondere Lstg Land'!J156,IF(AND(Projektgrundlagen!$I$26,'HB-D2 Besondere Lstg Bund'!M117=TRUE),'HB-D2 Besondere Lstg Bund'!H117+'HB-D2 Besondere Lstg Bund'!J117,""))</f>
        <v/>
      </c>
      <c r="F163" s="1129" t="str">
        <f>IF(AND(Projektgrundlagen!$I$25,'HB-D1 Besondere Lstg Land'!M156=TRUE),'HB-D1 Besondere Lstg Land'!K156,IF(AND(Projektgrundlagen!$I$26,'HB-D2 Besondere Lstg Bund'!M117=TRUE),'HB-D2 Besondere Lstg Bund'!K117,""))</f>
        <v/>
      </c>
      <c r="G163" s="1134"/>
      <c r="H163" s="1135"/>
    </row>
    <row r="164" spans="2:8" ht="15">
      <c r="B164" t="str">
        <f>IF(AND(Projektgrundlagen!$I$25,'HB-D1 Besondere Lstg Land'!M157=TRUE),'HB-D1 Besondere Lstg Land'!C157&amp;" "&amp;'HB-D1 Besondere Lstg Land'!F157&amp;" "&amp;'HB-D1 Besondere Lstg Land'!F158,IF(AND(Projektgrundlagen!$I$26,'HB-D2 Besondere Lstg Bund'!M118=TRUE),'HB-D2 Besondere Lstg Bund'!C118&amp;" "&amp;'HB-D2 Besondere Lstg Bund'!F118&amp;" "&amp;'HB-D2 Besondere Lstg Bund'!F119,""))</f>
        <v/>
      </c>
      <c r="C164" s="1129"/>
      <c r="D164" s="1129" t="str">
        <f>IF(AND(Projektgrundlagen!$I$25,'HB-D1 Besondere Lstg Land'!M157=TRUE),(IF('HB-D1 Besondere Lstg Land'!H157&gt;0,"v.H.","pauschal")),IF(AND(Projektgrundlagen!$I$26,'HB-D2 Besondere Lstg Bund'!M118=TRUE),(IF('HB-D2 Besondere Lstg Bund'!H118&gt;0,"v.H.","pauschal")),""))</f>
        <v/>
      </c>
      <c r="E164" s="1129" t="str">
        <f>IF(AND(Projektgrundlagen!$I$25,'HB-D1 Besondere Lstg Land'!M157=TRUE),'HB-D1 Besondere Lstg Land'!H157+'HB-D1 Besondere Lstg Land'!J157,IF(AND(Projektgrundlagen!$I$26,'HB-D2 Besondere Lstg Bund'!M118=TRUE),'HB-D2 Besondere Lstg Bund'!H118+'HB-D2 Besondere Lstg Bund'!J118,""))</f>
        <v/>
      </c>
      <c r="F164" s="1129" t="str">
        <f>IF(AND(Projektgrundlagen!$I$25,'HB-D1 Besondere Lstg Land'!M157=TRUE),'HB-D1 Besondere Lstg Land'!K157,IF(AND(Projektgrundlagen!$I$26,'HB-D2 Besondere Lstg Bund'!M118=TRUE),'HB-D2 Besondere Lstg Bund'!K118,""))</f>
        <v/>
      </c>
      <c r="G164" s="1134"/>
      <c r="H164" s="1135"/>
    </row>
    <row r="165" spans="2:8" ht="15">
      <c r="B165" t="str">
        <f>IF(AND(Projektgrundlagen!$I$25,'HB-D1 Besondere Lstg Land'!M158=TRUE),'HB-D1 Besondere Lstg Land'!C158&amp;" "&amp;'HB-D1 Besondere Lstg Land'!F158&amp;" "&amp;'HB-D1 Besondere Lstg Land'!F159,IF(AND(Projektgrundlagen!$I$26,'HB-D2 Besondere Lstg Bund'!M119=TRUE),'HB-D2 Besondere Lstg Bund'!C119&amp;" "&amp;'HB-D2 Besondere Lstg Bund'!F119&amp;" "&amp;'HB-D2 Besondere Lstg Bund'!F120,""))</f>
        <v/>
      </c>
      <c r="C165" s="1129"/>
      <c r="D165" s="1129" t="str">
        <f>IF(AND(Projektgrundlagen!$I$25,'HB-D1 Besondere Lstg Land'!M158=TRUE),(IF('HB-D1 Besondere Lstg Land'!H158&gt;0,"v.H.","pauschal")),IF(AND(Projektgrundlagen!$I$26,'HB-D2 Besondere Lstg Bund'!M119=TRUE),(IF('HB-D2 Besondere Lstg Bund'!H119&gt;0,"v.H.","pauschal")),""))</f>
        <v/>
      </c>
      <c r="E165" s="1129" t="str">
        <f>IF(AND(Projektgrundlagen!$I$25,'HB-D1 Besondere Lstg Land'!M158=TRUE),'HB-D1 Besondere Lstg Land'!H158+'HB-D1 Besondere Lstg Land'!J158,IF(AND(Projektgrundlagen!$I$26,'HB-D2 Besondere Lstg Bund'!M119=TRUE),'HB-D2 Besondere Lstg Bund'!H119+'HB-D2 Besondere Lstg Bund'!J119,""))</f>
        <v/>
      </c>
      <c r="F165" s="1129" t="str">
        <f>IF(AND(Projektgrundlagen!$I$25,'HB-D1 Besondere Lstg Land'!M158=TRUE),'HB-D1 Besondere Lstg Land'!K158,IF(AND(Projektgrundlagen!$I$26,'HB-D2 Besondere Lstg Bund'!M119=TRUE),'HB-D2 Besondere Lstg Bund'!K119,""))</f>
        <v/>
      </c>
      <c r="G165" s="1134"/>
      <c r="H165" s="1135"/>
    </row>
    <row r="166" spans="2:8" ht="15">
      <c r="B166" t="str">
        <f>IF(AND(Projektgrundlagen!$I$25,'HB-D1 Besondere Lstg Land'!M159=TRUE),'HB-D1 Besondere Lstg Land'!C159&amp;" "&amp;'HB-D1 Besondere Lstg Land'!F159&amp;" "&amp;'HB-D1 Besondere Lstg Land'!F160,IF(AND(Projektgrundlagen!$I$26,'HB-D2 Besondere Lstg Bund'!M120=TRUE),'HB-D2 Besondere Lstg Bund'!C120&amp;" "&amp;'HB-D2 Besondere Lstg Bund'!F120&amp;" "&amp;'HB-D2 Besondere Lstg Bund'!F121,""))</f>
        <v/>
      </c>
      <c r="C166" s="1129"/>
      <c r="D166" s="1129" t="str">
        <f>IF(AND(Projektgrundlagen!$I$25,'HB-D1 Besondere Lstg Land'!M159=TRUE),(IF('HB-D1 Besondere Lstg Land'!H159&gt;0,"v.H.","pauschal")),IF(AND(Projektgrundlagen!$I$26,'HB-D2 Besondere Lstg Bund'!M120=TRUE),(IF('HB-D2 Besondere Lstg Bund'!H120&gt;0,"v.H.","pauschal")),""))</f>
        <v/>
      </c>
      <c r="E166" s="1129" t="str">
        <f>IF(AND(Projektgrundlagen!$I$25,'HB-D1 Besondere Lstg Land'!M159=TRUE),'HB-D1 Besondere Lstg Land'!H159+'HB-D1 Besondere Lstg Land'!J159,IF(AND(Projektgrundlagen!$I$26,'HB-D2 Besondere Lstg Bund'!M120=TRUE),'HB-D2 Besondere Lstg Bund'!H120+'HB-D2 Besondere Lstg Bund'!J120,""))</f>
        <v/>
      </c>
      <c r="F166" s="1129" t="str">
        <f>IF(AND(Projektgrundlagen!$I$25,'HB-D1 Besondere Lstg Land'!M159=TRUE),'HB-D1 Besondere Lstg Land'!K159,IF(AND(Projektgrundlagen!$I$26,'HB-D2 Besondere Lstg Bund'!M120=TRUE),'HB-D2 Besondere Lstg Bund'!K120,""))</f>
        <v/>
      </c>
      <c r="G166" s="1134"/>
      <c r="H166" s="1135"/>
    </row>
    <row r="167" spans="2:8" ht="15">
      <c r="B167" t="str">
        <f>IF(AND(Projektgrundlagen!$I$25,'HB-D1 Besondere Lstg Land'!M160=TRUE),'HB-D1 Besondere Lstg Land'!C160&amp;" "&amp;'HB-D1 Besondere Lstg Land'!F160&amp;" "&amp;'HB-D1 Besondere Lstg Land'!F161,IF(AND(Projektgrundlagen!$I$26,'HB-D2 Besondere Lstg Bund'!M121=TRUE),'HB-D2 Besondere Lstg Bund'!C121&amp;" "&amp;'HB-D2 Besondere Lstg Bund'!F121&amp;" "&amp;'HB-D2 Besondere Lstg Bund'!F122,""))</f>
        <v/>
      </c>
      <c r="C167" s="1129"/>
      <c r="D167" s="1129" t="str">
        <f>IF(AND(Projektgrundlagen!$I$25,'HB-D1 Besondere Lstg Land'!M160=TRUE),(IF('HB-D1 Besondere Lstg Land'!H160&gt;0,"v.H.","pauschal")),IF(AND(Projektgrundlagen!$I$26,'HB-D2 Besondere Lstg Bund'!M121=TRUE),(IF('HB-D2 Besondere Lstg Bund'!H121&gt;0,"v.H.","pauschal")),""))</f>
        <v/>
      </c>
      <c r="E167" s="1129" t="str">
        <f>IF(AND(Projektgrundlagen!$I$25,'HB-D1 Besondere Lstg Land'!M160=TRUE),'HB-D1 Besondere Lstg Land'!H160+'HB-D1 Besondere Lstg Land'!J160,IF(AND(Projektgrundlagen!$I$26,'HB-D2 Besondere Lstg Bund'!M121=TRUE),'HB-D2 Besondere Lstg Bund'!H121+'HB-D2 Besondere Lstg Bund'!J121,""))</f>
        <v/>
      </c>
      <c r="F167" s="1129" t="str">
        <f>IF(AND(Projektgrundlagen!$I$25,'HB-D1 Besondere Lstg Land'!M160=TRUE),'HB-D1 Besondere Lstg Land'!K160,IF(AND(Projektgrundlagen!$I$26,'HB-D2 Besondere Lstg Bund'!M121=TRUE),'HB-D2 Besondere Lstg Bund'!K121,""))</f>
        <v/>
      </c>
      <c r="G167" s="1134"/>
      <c r="H167" s="1135"/>
    </row>
    <row r="168" spans="2:8" ht="15">
      <c r="B168" t="str">
        <f>IF(AND(Projektgrundlagen!$I$25,'HB-D1 Besondere Lstg Land'!M161=TRUE),'HB-D1 Besondere Lstg Land'!C161&amp;" "&amp;'HB-D1 Besondere Lstg Land'!F161&amp;" "&amp;'HB-D1 Besondere Lstg Land'!F165,IF(AND(Projektgrundlagen!$I$26,'HB-D2 Besondere Lstg Bund'!M122=TRUE),'HB-D2 Besondere Lstg Bund'!C122&amp;" "&amp;'HB-D2 Besondere Lstg Bund'!F122&amp;" "&amp;'HB-D2 Besondere Lstg Bund'!F123,""))</f>
        <v/>
      </c>
      <c r="C168" s="1129"/>
      <c r="D168" s="1129" t="str">
        <f>IF(AND(Projektgrundlagen!$I$25,'HB-D1 Besondere Lstg Land'!M161=TRUE),(IF('HB-D1 Besondere Lstg Land'!H161&gt;0,"v.H.","pauschal")),IF(AND(Projektgrundlagen!$I$26,'HB-D2 Besondere Lstg Bund'!M122=TRUE),(IF('HB-D2 Besondere Lstg Bund'!H122&gt;0,"v.H.","pauschal")),""))</f>
        <v/>
      </c>
      <c r="E168" s="1129" t="str">
        <f>IF(AND(Projektgrundlagen!$I$25,'HB-D1 Besondere Lstg Land'!M161=TRUE),'HB-D1 Besondere Lstg Land'!H161+'HB-D1 Besondere Lstg Land'!J161,IF(AND(Projektgrundlagen!$I$26,'HB-D2 Besondere Lstg Bund'!M122=TRUE),'HB-D2 Besondere Lstg Bund'!H122+'HB-D2 Besondere Lstg Bund'!J122,""))</f>
        <v/>
      </c>
      <c r="F168" s="1129" t="str">
        <f>IF(AND(Projektgrundlagen!$I$25,'HB-D1 Besondere Lstg Land'!M161=TRUE),'HB-D1 Besondere Lstg Land'!K161,IF(AND(Projektgrundlagen!$I$26,'HB-D2 Besondere Lstg Bund'!M122=TRUE),'HB-D2 Besondere Lstg Bund'!K122,""))</f>
        <v/>
      </c>
      <c r="G168" s="1134"/>
      <c r="H168" s="1135"/>
    </row>
    <row r="169" spans="2:8" ht="15">
      <c r="B169" t="str">
        <f>IF(AND(Projektgrundlagen!$I$25,'HB-D1 Besondere Lstg Land'!M165=TRUE),'HB-D1 Besondere Lstg Land'!C165&amp;" "&amp;'HB-D1 Besondere Lstg Land'!F165&amp;" "&amp;'HB-D1 Besondere Lstg Land'!F166,IF(AND(Projektgrundlagen!$I$26,'HB-D2 Besondere Lstg Bund'!M123=TRUE),'HB-D2 Besondere Lstg Bund'!C123&amp;" "&amp;'HB-D2 Besondere Lstg Bund'!F123&amp;" "&amp;'HB-D2 Besondere Lstg Bund'!F124,""))</f>
        <v/>
      </c>
      <c r="C169" s="1129"/>
      <c r="D169" s="1129" t="str">
        <f>IF(AND(Projektgrundlagen!$I$25,'HB-D1 Besondere Lstg Land'!M165=TRUE),(IF('HB-D1 Besondere Lstg Land'!H165&gt;0,"v.H.","pauschal")),IF(AND(Projektgrundlagen!$I$26,'HB-D2 Besondere Lstg Bund'!M123=TRUE),(IF('HB-D2 Besondere Lstg Bund'!H123&gt;0,"v.H.","pauschal")),""))</f>
        <v/>
      </c>
      <c r="E169" s="1129" t="str">
        <f>IF(AND(Projektgrundlagen!$I$25,'HB-D1 Besondere Lstg Land'!M165=TRUE),'HB-D1 Besondere Lstg Land'!H165+'HB-D1 Besondere Lstg Land'!J165,IF(AND(Projektgrundlagen!$I$26,'HB-D2 Besondere Lstg Bund'!M123=TRUE),'HB-D2 Besondere Lstg Bund'!H123+'HB-D2 Besondere Lstg Bund'!J123,""))</f>
        <v/>
      </c>
      <c r="F169" s="1129" t="str">
        <f>IF(AND(Projektgrundlagen!$I$25,'HB-D1 Besondere Lstg Land'!M165=TRUE),'HB-D1 Besondere Lstg Land'!K165,IF(AND(Projektgrundlagen!$I$26,'HB-D2 Besondere Lstg Bund'!M123=TRUE),'HB-D2 Besondere Lstg Bund'!K123,""))</f>
        <v/>
      </c>
      <c r="G169" s="1134"/>
      <c r="H169" s="1135"/>
    </row>
    <row r="170" spans="2:8" ht="15">
      <c r="B170" t="str">
        <f>IF(AND(Projektgrundlagen!$I$25,'HB-D1 Besondere Lstg Land'!M166=TRUE),'HB-D1 Besondere Lstg Land'!C166&amp;" "&amp;'HB-D1 Besondere Lstg Land'!F166&amp;" "&amp;'HB-D1 Besondere Lstg Land'!F167,IF(AND(Projektgrundlagen!$I$26,'HB-D2 Besondere Lstg Bund'!M124=TRUE),'HB-D2 Besondere Lstg Bund'!C124&amp;" "&amp;'HB-D2 Besondere Lstg Bund'!F124&amp;" "&amp;'HB-D2 Besondere Lstg Bund'!F125,""))</f>
        <v/>
      </c>
      <c r="C170" s="1129"/>
      <c r="D170" s="1129" t="str">
        <f>IF(AND(Projektgrundlagen!$I$25,'HB-D1 Besondere Lstg Land'!M166=TRUE),(IF('HB-D1 Besondere Lstg Land'!H166&gt;0,"v.H.","pauschal")),IF(AND(Projektgrundlagen!$I$26,'HB-D2 Besondere Lstg Bund'!M124=TRUE),(IF('HB-D2 Besondere Lstg Bund'!H124&gt;0,"v.H.","pauschal")),""))</f>
        <v/>
      </c>
      <c r="E170" s="1129" t="str">
        <f>IF(AND(Projektgrundlagen!$I$25,'HB-D1 Besondere Lstg Land'!M166=TRUE),'HB-D1 Besondere Lstg Land'!H166+'HB-D1 Besondere Lstg Land'!J166,IF(AND(Projektgrundlagen!$I$26,'HB-D2 Besondere Lstg Bund'!M124=TRUE),'HB-D2 Besondere Lstg Bund'!H124+'HB-D2 Besondere Lstg Bund'!J124,""))</f>
        <v/>
      </c>
      <c r="F170" s="1129" t="str">
        <f>IF(AND(Projektgrundlagen!$I$25,'HB-D1 Besondere Lstg Land'!M166=TRUE),'HB-D1 Besondere Lstg Land'!K166,IF(AND(Projektgrundlagen!$I$26,'HB-D2 Besondere Lstg Bund'!M124=TRUE),'HB-D2 Besondere Lstg Bund'!K124,""))</f>
        <v/>
      </c>
      <c r="G170" s="1134"/>
      <c r="H170" s="1135"/>
    </row>
    <row r="171" spans="2:8" ht="15">
      <c r="B171" t="str">
        <f>IF(AND(Projektgrundlagen!$I$25,'HB-D1 Besondere Lstg Land'!M167=TRUE),'HB-D1 Besondere Lstg Land'!C167&amp;" "&amp;'HB-D1 Besondere Lstg Land'!F167&amp;" "&amp;'HB-D1 Besondere Lstg Land'!F168,IF(AND(Projektgrundlagen!$I$26,'HB-D2 Besondere Lstg Bund'!M125=TRUE),'HB-D2 Besondere Lstg Bund'!C125&amp;" "&amp;'HB-D2 Besondere Lstg Bund'!F125&amp;" "&amp;'HB-D2 Besondere Lstg Bund'!F126,""))</f>
        <v/>
      </c>
      <c r="C171" s="1129"/>
      <c r="D171" s="1129" t="str">
        <f>IF(AND(Projektgrundlagen!$I$25,'HB-D1 Besondere Lstg Land'!M167=TRUE),(IF('HB-D1 Besondere Lstg Land'!H167&gt;0,"v.H.","pauschal")),IF(AND(Projektgrundlagen!$I$26,'HB-D2 Besondere Lstg Bund'!M125=TRUE),(IF('HB-D2 Besondere Lstg Bund'!H125&gt;0,"v.H.","pauschal")),""))</f>
        <v/>
      </c>
      <c r="E171" s="1129" t="str">
        <f>IF(AND(Projektgrundlagen!$I$25,'HB-D1 Besondere Lstg Land'!M167=TRUE),'HB-D1 Besondere Lstg Land'!H167+'HB-D1 Besondere Lstg Land'!J167,IF(AND(Projektgrundlagen!$I$26,'HB-D2 Besondere Lstg Bund'!M125=TRUE),'HB-D2 Besondere Lstg Bund'!H125+'HB-D2 Besondere Lstg Bund'!J125,""))</f>
        <v/>
      </c>
      <c r="F171" s="1129" t="str">
        <f>IF(AND(Projektgrundlagen!$I$25,'HB-D1 Besondere Lstg Land'!M167=TRUE),'HB-D1 Besondere Lstg Land'!K167,IF(AND(Projektgrundlagen!$I$26,'HB-D2 Besondere Lstg Bund'!M125=TRUE),'HB-D2 Besondere Lstg Bund'!K125,""))</f>
        <v/>
      </c>
      <c r="G171" s="1134"/>
      <c r="H171" s="1135"/>
    </row>
    <row r="172" spans="2:8" ht="15">
      <c r="B172" t="str">
        <f>IF(AND(Projektgrundlagen!$I$25,'HB-D1 Besondere Lstg Land'!M168=TRUE),'HB-D1 Besondere Lstg Land'!C168&amp;" "&amp;'HB-D1 Besondere Lstg Land'!F168&amp;" "&amp;'HB-D1 Besondere Lstg Land'!F169,IF(AND(Projektgrundlagen!$I$26,'HB-D2 Besondere Lstg Bund'!M126=TRUE),'HB-D2 Besondere Lstg Bund'!C126&amp;" "&amp;'HB-D2 Besondere Lstg Bund'!F126&amp;" "&amp;'HB-D2 Besondere Lstg Bund'!F127,""))</f>
        <v/>
      </c>
      <c r="C172" s="1129"/>
      <c r="D172" s="1129" t="str">
        <f>IF(AND(Projektgrundlagen!$I$25,'HB-D1 Besondere Lstg Land'!M168=TRUE),(IF('HB-D1 Besondere Lstg Land'!H168&gt;0,"v.H.","pauschal")),IF(AND(Projektgrundlagen!$I$26,'HB-D2 Besondere Lstg Bund'!M126=TRUE),(IF('HB-D2 Besondere Lstg Bund'!H126&gt;0,"v.H.","pauschal")),""))</f>
        <v/>
      </c>
      <c r="E172" s="1129" t="str">
        <f>IF(AND(Projektgrundlagen!$I$25,'HB-D1 Besondere Lstg Land'!M168=TRUE),'HB-D1 Besondere Lstg Land'!H168+'HB-D1 Besondere Lstg Land'!J168,IF(AND(Projektgrundlagen!$I$26,'HB-D2 Besondere Lstg Bund'!M126=TRUE),'HB-D2 Besondere Lstg Bund'!H126+'HB-D2 Besondere Lstg Bund'!J126,""))</f>
        <v/>
      </c>
      <c r="F172" s="1129" t="str">
        <f>IF(AND(Projektgrundlagen!$I$25,'HB-D1 Besondere Lstg Land'!M168=TRUE),'HB-D1 Besondere Lstg Land'!K168,IF(AND(Projektgrundlagen!$I$26,'HB-D2 Besondere Lstg Bund'!M126=TRUE),'HB-D2 Besondere Lstg Bund'!K126,""))</f>
        <v/>
      </c>
      <c r="G172" s="1134"/>
      <c r="H172" s="1135"/>
    </row>
    <row r="173" spans="2:8" ht="15">
      <c r="B173" t="str">
        <f>IF(AND(Projektgrundlagen!$I$25,'HB-D1 Besondere Lstg Land'!M169=TRUE),'HB-D1 Besondere Lstg Land'!C169&amp;" "&amp;'HB-D1 Besondere Lstg Land'!F169&amp;" "&amp;'HB-D1 Besondere Lstg Land'!F170,IF(AND(Projektgrundlagen!$I$26,'HB-D2 Besondere Lstg Bund'!M127=TRUE),'HB-D2 Besondere Lstg Bund'!C127&amp;" "&amp;'HB-D2 Besondere Lstg Bund'!F127&amp;" "&amp;'HB-D2 Besondere Lstg Bund'!F128,""))</f>
        <v/>
      </c>
      <c r="C173" s="1129"/>
      <c r="D173" s="1129" t="str">
        <f>IF(AND(Projektgrundlagen!$I$25,'HB-D1 Besondere Lstg Land'!M169=TRUE),(IF('HB-D1 Besondere Lstg Land'!H169&gt;0,"v.H.","pauschal")),IF(AND(Projektgrundlagen!$I$26,'HB-D2 Besondere Lstg Bund'!M127=TRUE),(IF('HB-D2 Besondere Lstg Bund'!H127&gt;0,"v.H.","pauschal")),""))</f>
        <v/>
      </c>
      <c r="E173" s="1129" t="str">
        <f>IF(AND(Projektgrundlagen!$I$25,'HB-D1 Besondere Lstg Land'!M169=TRUE),'HB-D1 Besondere Lstg Land'!H169+'HB-D1 Besondere Lstg Land'!J169,IF(AND(Projektgrundlagen!$I$26,'HB-D2 Besondere Lstg Bund'!M127=TRUE),'HB-D2 Besondere Lstg Bund'!H127+'HB-D2 Besondere Lstg Bund'!J127,""))</f>
        <v/>
      </c>
      <c r="F173" s="1129" t="str">
        <f>IF(AND(Projektgrundlagen!$I$25,'HB-D1 Besondere Lstg Land'!M169=TRUE),'HB-D1 Besondere Lstg Land'!K169,IF(AND(Projektgrundlagen!$I$26,'HB-D2 Besondere Lstg Bund'!M127=TRUE),'HB-D2 Besondere Lstg Bund'!K127,""))</f>
        <v/>
      </c>
      <c r="G173" s="1134"/>
      <c r="H173" s="1135"/>
    </row>
    <row r="174" spans="2:8" ht="15">
      <c r="B174" t="str">
        <f>IF(AND(Projektgrundlagen!$I$25,'HB-D1 Besondere Lstg Land'!M170=TRUE),'HB-D1 Besondere Lstg Land'!C170&amp;" "&amp;'HB-D1 Besondere Lstg Land'!F170&amp;" "&amp;'HB-D1 Besondere Lstg Land'!F171,IF(AND(Projektgrundlagen!$I$26,'HB-D2 Besondere Lstg Bund'!M128=TRUE),'HB-D2 Besondere Lstg Bund'!C128&amp;" "&amp;'HB-D2 Besondere Lstg Bund'!F128&amp;" "&amp;'HB-D2 Besondere Lstg Bund'!F129,""))</f>
        <v/>
      </c>
      <c r="C174" s="1129"/>
      <c r="D174" s="1129" t="str">
        <f>IF(AND(Projektgrundlagen!$I$25,'HB-D1 Besondere Lstg Land'!M170=TRUE),(IF('HB-D1 Besondere Lstg Land'!H170&gt;0,"v.H.","pauschal")),IF(AND(Projektgrundlagen!$I$26,'HB-D2 Besondere Lstg Bund'!M128=TRUE),(IF('HB-D2 Besondere Lstg Bund'!H128&gt;0,"v.H.","pauschal")),""))</f>
        <v/>
      </c>
      <c r="E174" s="1129" t="str">
        <f>IF(AND(Projektgrundlagen!$I$25,'HB-D1 Besondere Lstg Land'!M170=TRUE),'HB-D1 Besondere Lstg Land'!H170+'HB-D1 Besondere Lstg Land'!J170,IF(AND(Projektgrundlagen!$I$26,'HB-D2 Besondere Lstg Bund'!M128=TRUE),'HB-D2 Besondere Lstg Bund'!H128+'HB-D2 Besondere Lstg Bund'!J128,""))</f>
        <v/>
      </c>
      <c r="F174" s="1129" t="str">
        <f>IF(AND(Projektgrundlagen!$I$25,'HB-D1 Besondere Lstg Land'!M170=TRUE),'HB-D1 Besondere Lstg Land'!K170,IF(AND(Projektgrundlagen!$I$26,'HB-D2 Besondere Lstg Bund'!M128=TRUE),'HB-D2 Besondere Lstg Bund'!K128,""))</f>
        <v/>
      </c>
      <c r="G174" s="1134"/>
      <c r="H174" s="1135"/>
    </row>
    <row r="175" spans="2:8" ht="15">
      <c r="B175" t="str">
        <f>IF(AND(Projektgrundlagen!$I$25,'HB-D1 Besondere Lstg Land'!M171=TRUE),'HB-D1 Besondere Lstg Land'!C171&amp;" "&amp;'HB-D1 Besondere Lstg Land'!F171&amp;" "&amp;'HB-D1 Besondere Lstg Land'!F172,IF(AND(Projektgrundlagen!$I$26,'HB-D2 Besondere Lstg Bund'!M129=TRUE),'HB-D2 Besondere Lstg Bund'!C129&amp;" "&amp;'HB-D2 Besondere Lstg Bund'!F129&amp;" "&amp;'HB-D2 Besondere Lstg Bund'!F130,""))</f>
        <v/>
      </c>
      <c r="C175" s="1129"/>
      <c r="D175" s="1129" t="str">
        <f>IF(AND(Projektgrundlagen!$I$25,'HB-D1 Besondere Lstg Land'!M171=TRUE),(IF('HB-D1 Besondere Lstg Land'!H171&gt;0,"v.H.","pauschal")),IF(AND(Projektgrundlagen!$I$26,'HB-D2 Besondere Lstg Bund'!M129=TRUE),(IF('HB-D2 Besondere Lstg Bund'!H129&gt;0,"v.H.","pauschal")),""))</f>
        <v/>
      </c>
      <c r="E175" s="1129" t="str">
        <f>IF(AND(Projektgrundlagen!$I$25,'HB-D1 Besondere Lstg Land'!M171=TRUE),'HB-D1 Besondere Lstg Land'!H171+'HB-D1 Besondere Lstg Land'!J171,IF(AND(Projektgrundlagen!$I$26,'HB-D2 Besondere Lstg Bund'!M129=TRUE),'HB-D2 Besondere Lstg Bund'!H129+'HB-D2 Besondere Lstg Bund'!J129,""))</f>
        <v/>
      </c>
      <c r="F175" s="1129" t="str">
        <f>IF(AND(Projektgrundlagen!$I$25,'HB-D1 Besondere Lstg Land'!M171=TRUE),'HB-D1 Besondere Lstg Land'!K171,IF(AND(Projektgrundlagen!$I$26,'HB-D2 Besondere Lstg Bund'!M129=TRUE),'HB-D2 Besondere Lstg Bund'!K129,""))</f>
        <v/>
      </c>
      <c r="G175" s="1134"/>
      <c r="H175" s="1135"/>
    </row>
    <row r="176" spans="2:8" ht="15">
      <c r="B176" t="str">
        <f>IF(AND(Projektgrundlagen!$I$25,'HB-D1 Besondere Lstg Land'!M172=TRUE),'HB-D1 Besondere Lstg Land'!C172&amp;" "&amp;'HB-D1 Besondere Lstg Land'!F172&amp;" "&amp;'HB-D1 Besondere Lstg Land'!F173,IF(AND(Projektgrundlagen!$I$26,'HB-D2 Besondere Lstg Bund'!M130=TRUE),'HB-D2 Besondere Lstg Bund'!C130&amp;" "&amp;'HB-D2 Besondere Lstg Bund'!F130&amp;" "&amp;'HB-D2 Besondere Lstg Bund'!F131,""))</f>
        <v/>
      </c>
      <c r="C176" s="1129"/>
      <c r="D176" s="1129" t="str">
        <f>IF(AND(Projektgrundlagen!$I$25,'HB-D1 Besondere Lstg Land'!M172=TRUE),(IF('HB-D1 Besondere Lstg Land'!H172&gt;0,"v.H.","pauschal")),IF(AND(Projektgrundlagen!$I$26,'HB-D2 Besondere Lstg Bund'!M130=TRUE),(IF('HB-D2 Besondere Lstg Bund'!H130&gt;0,"v.H.","pauschal")),""))</f>
        <v/>
      </c>
      <c r="E176" s="1129" t="str">
        <f>IF(AND(Projektgrundlagen!$I$25,'HB-D1 Besondere Lstg Land'!M172=TRUE),'HB-D1 Besondere Lstg Land'!H172+'HB-D1 Besondere Lstg Land'!J172,IF(AND(Projektgrundlagen!$I$26,'HB-D2 Besondere Lstg Bund'!M130=TRUE),'HB-D2 Besondere Lstg Bund'!H130+'HB-D2 Besondere Lstg Bund'!J130,""))</f>
        <v/>
      </c>
      <c r="F176" s="1129" t="str">
        <f>IF(AND(Projektgrundlagen!$I$25,'HB-D1 Besondere Lstg Land'!M172=TRUE),'HB-D1 Besondere Lstg Land'!K172,IF(AND(Projektgrundlagen!$I$26,'HB-D2 Besondere Lstg Bund'!M130=TRUE),'HB-D2 Besondere Lstg Bund'!K130,""))</f>
        <v/>
      </c>
      <c r="G176" s="1134"/>
      <c r="H176" s="1135"/>
    </row>
    <row r="177" spans="2:8" ht="15">
      <c r="B177" t="str">
        <f>IF(AND(Projektgrundlagen!$I$25,'HB-D1 Besondere Lstg Land'!M173=TRUE),'HB-D1 Besondere Lstg Land'!C173&amp;" "&amp;'HB-D1 Besondere Lstg Land'!F173&amp;" "&amp;'HB-D1 Besondere Lstg Land'!F174,IF(AND(Projektgrundlagen!$I$26,'HB-D2 Besondere Lstg Bund'!M131=TRUE),'HB-D2 Besondere Lstg Bund'!C131&amp;" "&amp;'HB-D2 Besondere Lstg Bund'!F131&amp;" "&amp;'HB-D2 Besondere Lstg Bund'!F132,""))</f>
        <v/>
      </c>
      <c r="C177" s="1129"/>
      <c r="D177" s="1129" t="str">
        <f>IF(AND(Projektgrundlagen!$I$25,'HB-D1 Besondere Lstg Land'!M173=TRUE),(IF('HB-D1 Besondere Lstg Land'!H173&gt;0,"v.H.","pauschal")),IF(AND(Projektgrundlagen!$I$26,'HB-D2 Besondere Lstg Bund'!M131=TRUE),(IF('HB-D2 Besondere Lstg Bund'!H131&gt;0,"v.H.","pauschal")),""))</f>
        <v/>
      </c>
      <c r="E177" s="1129" t="str">
        <f>IF(AND(Projektgrundlagen!$I$25,'HB-D1 Besondere Lstg Land'!M173=TRUE),'HB-D1 Besondere Lstg Land'!H173+'HB-D1 Besondere Lstg Land'!J173,IF(AND(Projektgrundlagen!$I$26,'HB-D2 Besondere Lstg Bund'!M131=TRUE),'HB-D2 Besondere Lstg Bund'!H131+'HB-D2 Besondere Lstg Bund'!J131,""))</f>
        <v/>
      </c>
      <c r="F177" s="1129" t="str">
        <f>IF(AND(Projektgrundlagen!$I$25,'HB-D1 Besondere Lstg Land'!M173=TRUE),'HB-D1 Besondere Lstg Land'!K173,IF(AND(Projektgrundlagen!$I$26,'HB-D2 Besondere Lstg Bund'!M131=TRUE),'HB-D2 Besondere Lstg Bund'!K131,""))</f>
        <v/>
      </c>
      <c r="G177" s="1134"/>
      <c r="H177" s="1135"/>
    </row>
    <row r="178" spans="2:8" ht="15">
      <c r="B178" t="str">
        <f>IF(AND(Projektgrundlagen!$I$25,'HB-D1 Besondere Lstg Land'!M174=TRUE),'HB-D1 Besondere Lstg Land'!C174&amp;" "&amp;'HB-D1 Besondere Lstg Land'!F174&amp;" "&amp;'HB-D1 Besondere Lstg Land'!F175,IF(AND(Projektgrundlagen!$I$26,'HB-D2 Besondere Lstg Bund'!M132=TRUE),'HB-D2 Besondere Lstg Bund'!C132&amp;" "&amp;'HB-D2 Besondere Lstg Bund'!F132&amp;" "&amp;'HB-D2 Besondere Lstg Bund'!F133,""))</f>
        <v/>
      </c>
      <c r="C178" s="1129"/>
      <c r="D178" s="1129" t="str">
        <f>IF(AND(Projektgrundlagen!$I$25,'HB-D1 Besondere Lstg Land'!M174=TRUE),(IF('HB-D1 Besondere Lstg Land'!H174&gt;0,"v.H.","pauschal")),IF(AND(Projektgrundlagen!$I$26,'HB-D2 Besondere Lstg Bund'!M132=TRUE),(IF('HB-D2 Besondere Lstg Bund'!H132&gt;0,"v.H.","pauschal")),""))</f>
        <v/>
      </c>
      <c r="E178" s="1129" t="str">
        <f>IF(AND(Projektgrundlagen!$I$25,'HB-D1 Besondere Lstg Land'!M174=TRUE),'HB-D1 Besondere Lstg Land'!H174+'HB-D1 Besondere Lstg Land'!J174,IF(AND(Projektgrundlagen!$I$26,'HB-D2 Besondere Lstg Bund'!M132=TRUE),'HB-D2 Besondere Lstg Bund'!H132+'HB-D2 Besondere Lstg Bund'!J132,""))</f>
        <v/>
      </c>
      <c r="F178" s="1129" t="str">
        <f>IF(AND(Projektgrundlagen!$I$25,'HB-D1 Besondere Lstg Land'!M174=TRUE),'HB-D1 Besondere Lstg Land'!K174,IF(AND(Projektgrundlagen!$I$26,'HB-D2 Besondere Lstg Bund'!M132=TRUE),'HB-D2 Besondere Lstg Bund'!K132,""))</f>
        <v/>
      </c>
      <c r="G178" s="1134"/>
      <c r="H178" s="1135"/>
    </row>
    <row r="179" spans="2:8" ht="15">
      <c r="B179" t="str">
        <f>IF(AND(Projektgrundlagen!$I$25,'HB-D1 Besondere Lstg Land'!M175=TRUE),'HB-D1 Besondere Lstg Land'!C175&amp;" "&amp;'HB-D1 Besondere Lstg Land'!F175&amp;" "&amp;'HB-D1 Besondere Lstg Land'!F176,IF(AND(Projektgrundlagen!$I$26,'HB-D2 Besondere Lstg Bund'!M133=TRUE),'HB-D2 Besondere Lstg Bund'!C133&amp;" "&amp;'HB-D2 Besondere Lstg Bund'!F133&amp;" "&amp;'HB-D2 Besondere Lstg Bund'!F134,""))</f>
        <v/>
      </c>
      <c r="C179" s="1129"/>
      <c r="D179" s="1129" t="str">
        <f>IF(AND(Projektgrundlagen!$I$25,'HB-D1 Besondere Lstg Land'!M175=TRUE),(IF('HB-D1 Besondere Lstg Land'!H175&gt;0,"v.H.","pauschal")),IF(AND(Projektgrundlagen!$I$26,'HB-D2 Besondere Lstg Bund'!M133=TRUE),(IF('HB-D2 Besondere Lstg Bund'!H133&gt;0,"v.H.","pauschal")),""))</f>
        <v/>
      </c>
      <c r="E179" s="1129" t="str">
        <f>IF(AND(Projektgrundlagen!$I$25,'HB-D1 Besondere Lstg Land'!M175=TRUE),'HB-D1 Besondere Lstg Land'!H175+'HB-D1 Besondere Lstg Land'!J175,IF(AND(Projektgrundlagen!$I$26,'HB-D2 Besondere Lstg Bund'!M133=TRUE),'HB-D2 Besondere Lstg Bund'!H133+'HB-D2 Besondere Lstg Bund'!J133,""))</f>
        <v/>
      </c>
      <c r="F179" s="1129" t="str">
        <f>IF(AND(Projektgrundlagen!$I$25,'HB-D1 Besondere Lstg Land'!M175=TRUE),'HB-D1 Besondere Lstg Land'!K175,IF(AND(Projektgrundlagen!$I$26,'HB-D2 Besondere Lstg Bund'!M133=TRUE),'HB-D2 Besondere Lstg Bund'!K133,""))</f>
        <v/>
      </c>
      <c r="G179" s="1134"/>
      <c r="H179" s="1135"/>
    </row>
    <row r="180" spans="2:8" ht="15">
      <c r="B180" t="str">
        <f>IF(AND(Projektgrundlagen!$I$25,'HB-D1 Besondere Lstg Land'!M176=TRUE),'HB-D1 Besondere Lstg Land'!C176&amp;" "&amp;'HB-D1 Besondere Lstg Land'!F176&amp;" "&amp;'HB-D1 Besondere Lstg Land'!F177,IF(AND(Projektgrundlagen!$I$26,'HB-D2 Besondere Lstg Bund'!M134=TRUE),'HB-D2 Besondere Lstg Bund'!C134&amp;" "&amp;'HB-D2 Besondere Lstg Bund'!F134&amp;" "&amp;'HB-D2 Besondere Lstg Bund'!F135,""))</f>
        <v/>
      </c>
      <c r="C180" s="1129"/>
      <c r="D180" s="1129" t="str">
        <f>IF(AND(Projektgrundlagen!$I$25,'HB-D1 Besondere Lstg Land'!M176=TRUE),(IF('HB-D1 Besondere Lstg Land'!H176&gt;0,"v.H.","pauschal")),IF(AND(Projektgrundlagen!$I$26,'HB-D2 Besondere Lstg Bund'!M134=TRUE),(IF('HB-D2 Besondere Lstg Bund'!H134&gt;0,"v.H.","pauschal")),""))</f>
        <v/>
      </c>
      <c r="E180" s="1129" t="str">
        <f>IF(AND(Projektgrundlagen!$I$25,'HB-D1 Besondere Lstg Land'!M176=TRUE),'HB-D1 Besondere Lstg Land'!H176+'HB-D1 Besondere Lstg Land'!J176,IF(AND(Projektgrundlagen!$I$26,'HB-D2 Besondere Lstg Bund'!M134=TRUE),'HB-D2 Besondere Lstg Bund'!H134+'HB-D2 Besondere Lstg Bund'!J134,""))</f>
        <v/>
      </c>
      <c r="F180" s="1129" t="str">
        <f>IF(AND(Projektgrundlagen!$I$25,'HB-D1 Besondere Lstg Land'!M176=TRUE),'HB-D1 Besondere Lstg Land'!K176,IF(AND(Projektgrundlagen!$I$26,'HB-D2 Besondere Lstg Bund'!M134=TRUE),'HB-D2 Besondere Lstg Bund'!K134,""))</f>
        <v/>
      </c>
      <c r="G180" s="1134"/>
      <c r="H180" s="1135"/>
    </row>
    <row r="181" spans="2:8" ht="15">
      <c r="B181" t="str">
        <f>IF(AND(Projektgrundlagen!$I$25,'HB-D1 Besondere Lstg Land'!M177=TRUE),'HB-D1 Besondere Lstg Land'!C177&amp;" "&amp;'HB-D1 Besondere Lstg Land'!F177&amp;" "&amp;'HB-D1 Besondere Lstg Land'!F178,IF(AND(Projektgrundlagen!$I$26,'HB-D2 Besondere Lstg Bund'!M135=TRUE),'HB-D2 Besondere Lstg Bund'!C135&amp;" "&amp;'HB-D2 Besondere Lstg Bund'!F135&amp;" "&amp;'HB-D2 Besondere Lstg Bund'!F136,""))</f>
        <v/>
      </c>
      <c r="C181" s="1129"/>
      <c r="D181" s="1129" t="str">
        <f>IF(AND(Projektgrundlagen!$I$25,'HB-D1 Besondere Lstg Land'!M177=TRUE),(IF('HB-D1 Besondere Lstg Land'!H177&gt;0,"v.H.","pauschal")),IF(AND(Projektgrundlagen!$I$26,'HB-D2 Besondere Lstg Bund'!M135=TRUE),(IF('HB-D2 Besondere Lstg Bund'!H135&gt;0,"v.H.","pauschal")),""))</f>
        <v/>
      </c>
      <c r="E181" s="1129" t="str">
        <f>IF(AND(Projektgrundlagen!$I$25,'HB-D1 Besondere Lstg Land'!M177=TRUE),'HB-D1 Besondere Lstg Land'!H177+'HB-D1 Besondere Lstg Land'!J177,IF(AND(Projektgrundlagen!$I$26,'HB-D2 Besondere Lstg Bund'!M135=TRUE),'HB-D2 Besondere Lstg Bund'!H135+'HB-D2 Besondere Lstg Bund'!J135,""))</f>
        <v/>
      </c>
      <c r="F181" s="1129" t="str">
        <f>IF(AND(Projektgrundlagen!$I$25,'HB-D1 Besondere Lstg Land'!M177=TRUE),'HB-D1 Besondere Lstg Land'!K177,IF(AND(Projektgrundlagen!$I$26,'HB-D2 Besondere Lstg Bund'!M135=TRUE),'HB-D2 Besondere Lstg Bund'!K135,""))</f>
        <v/>
      </c>
      <c r="G181" s="1134"/>
      <c r="H181" s="1135"/>
    </row>
    <row r="182" spans="2:8" ht="15">
      <c r="B182" t="str">
        <f>IF(AND(Projektgrundlagen!$I$25,'HB-D1 Besondere Lstg Land'!M178=TRUE),'HB-D1 Besondere Lstg Land'!C178&amp;" "&amp;'HB-D1 Besondere Lstg Land'!F178&amp;" "&amp;'HB-D1 Besondere Lstg Land'!F179,IF(AND(Projektgrundlagen!$I$26,'HB-D2 Besondere Lstg Bund'!M136=TRUE),'HB-D2 Besondere Lstg Bund'!C136&amp;" "&amp;'HB-D2 Besondere Lstg Bund'!F136&amp;" "&amp;'HB-D2 Besondere Lstg Bund'!F137,""))</f>
        <v/>
      </c>
      <c r="C182" s="1129"/>
      <c r="D182" s="1129" t="str">
        <f>IF(AND(Projektgrundlagen!$I$25,'HB-D1 Besondere Lstg Land'!M178=TRUE),(IF('HB-D1 Besondere Lstg Land'!H178&gt;0,"v.H.","pauschal")),IF(AND(Projektgrundlagen!$I$26,'HB-D2 Besondere Lstg Bund'!M136=TRUE),(IF('HB-D2 Besondere Lstg Bund'!H136&gt;0,"v.H.","pauschal")),""))</f>
        <v/>
      </c>
      <c r="E182" s="1129" t="str">
        <f>IF(AND(Projektgrundlagen!$I$25,'HB-D1 Besondere Lstg Land'!M178=TRUE),'HB-D1 Besondere Lstg Land'!H178+'HB-D1 Besondere Lstg Land'!J178,IF(AND(Projektgrundlagen!$I$26,'HB-D2 Besondere Lstg Bund'!M136=TRUE),'HB-D2 Besondere Lstg Bund'!H136+'HB-D2 Besondere Lstg Bund'!J136,""))</f>
        <v/>
      </c>
      <c r="F182" s="1129" t="str">
        <f>IF(AND(Projektgrundlagen!$I$25,'HB-D1 Besondere Lstg Land'!M178=TRUE),'HB-D1 Besondere Lstg Land'!K178,IF(AND(Projektgrundlagen!$I$26,'HB-D2 Besondere Lstg Bund'!M136=TRUE),'HB-D2 Besondere Lstg Bund'!K136,""))</f>
        <v/>
      </c>
      <c r="G182" s="1134"/>
      <c r="H182" s="1135"/>
    </row>
    <row r="183" spans="2:8" ht="15">
      <c r="B183" t="str">
        <f>IF(AND(Projektgrundlagen!$I$25,'HB-D1 Besondere Lstg Land'!M179=TRUE),'HB-D1 Besondere Lstg Land'!C179&amp;" "&amp;'HB-D1 Besondere Lstg Land'!F179&amp;" "&amp;'HB-D1 Besondere Lstg Land'!F180,IF(AND(Projektgrundlagen!$I$26,'HB-D2 Besondere Lstg Bund'!M137=TRUE),'HB-D2 Besondere Lstg Bund'!C137&amp;" "&amp;'HB-D2 Besondere Lstg Bund'!F137&amp;" "&amp;'HB-D2 Besondere Lstg Bund'!F138,""))</f>
        <v/>
      </c>
      <c r="C183" s="1129"/>
      <c r="D183" s="1129" t="str">
        <f>IF(AND(Projektgrundlagen!$I$25,'HB-D1 Besondere Lstg Land'!M179=TRUE),(IF('HB-D1 Besondere Lstg Land'!H179&gt;0,"v.H.","pauschal")),IF(AND(Projektgrundlagen!$I$26,'HB-D2 Besondere Lstg Bund'!M137=TRUE),(IF('HB-D2 Besondere Lstg Bund'!H137&gt;0,"v.H.","pauschal")),""))</f>
        <v/>
      </c>
      <c r="E183" s="1129" t="str">
        <f>IF(AND(Projektgrundlagen!$I$25,'HB-D1 Besondere Lstg Land'!M179=TRUE),'HB-D1 Besondere Lstg Land'!H179+'HB-D1 Besondere Lstg Land'!J179,IF(AND(Projektgrundlagen!$I$26,'HB-D2 Besondere Lstg Bund'!M137=TRUE),'HB-D2 Besondere Lstg Bund'!H137+'HB-D2 Besondere Lstg Bund'!J137,""))</f>
        <v/>
      </c>
      <c r="F183" s="1129" t="str">
        <f>IF(AND(Projektgrundlagen!$I$25,'HB-D1 Besondere Lstg Land'!M179=TRUE),'HB-D1 Besondere Lstg Land'!K179,IF(AND(Projektgrundlagen!$I$26,'HB-D2 Besondere Lstg Bund'!M137=TRUE),'HB-D2 Besondere Lstg Bund'!K137,""))</f>
        <v/>
      </c>
      <c r="G183" s="1134"/>
      <c r="H183" s="1135"/>
    </row>
    <row r="184" spans="2:8" ht="15">
      <c r="B184" t="str">
        <f>IF(AND(Projektgrundlagen!$I$25,'HB-D1 Besondere Lstg Land'!M180=TRUE),'HB-D1 Besondere Lstg Land'!C180&amp;" "&amp;'HB-D1 Besondere Lstg Land'!F180&amp;" "&amp;'HB-D1 Besondere Lstg Land'!F181,IF(AND(Projektgrundlagen!$I$26,'HB-D2 Besondere Lstg Bund'!M138=TRUE),'HB-D2 Besondere Lstg Bund'!C138&amp;" "&amp;'HB-D2 Besondere Lstg Bund'!F138&amp;" "&amp;'HB-D2 Besondere Lstg Bund'!F139,""))</f>
        <v/>
      </c>
      <c r="C184" s="1129"/>
      <c r="D184" s="1129" t="str">
        <f>IF(AND(Projektgrundlagen!$I$25,'HB-D1 Besondere Lstg Land'!M180=TRUE),(IF('HB-D1 Besondere Lstg Land'!H180&gt;0,"v.H.","pauschal")),IF(AND(Projektgrundlagen!$I$26,'HB-D2 Besondere Lstg Bund'!M138=TRUE),(IF('HB-D2 Besondere Lstg Bund'!H138&gt;0,"v.H.","pauschal")),""))</f>
        <v/>
      </c>
      <c r="E184" s="1129" t="str">
        <f>IF(AND(Projektgrundlagen!$I$25,'HB-D1 Besondere Lstg Land'!M180=TRUE),'HB-D1 Besondere Lstg Land'!H180+'HB-D1 Besondere Lstg Land'!J180,IF(AND(Projektgrundlagen!$I$26,'HB-D2 Besondere Lstg Bund'!M138=TRUE),'HB-D2 Besondere Lstg Bund'!H138+'HB-D2 Besondere Lstg Bund'!J138,""))</f>
        <v/>
      </c>
      <c r="F184" s="1129" t="str">
        <f>IF(AND(Projektgrundlagen!$I$25,'HB-D1 Besondere Lstg Land'!M180=TRUE),'HB-D1 Besondere Lstg Land'!K180,IF(AND(Projektgrundlagen!$I$26,'HB-D2 Besondere Lstg Bund'!M138=TRUE),'HB-D2 Besondere Lstg Bund'!K138,""))</f>
        <v/>
      </c>
      <c r="G184" s="1134"/>
      <c r="H184" s="1135"/>
    </row>
    <row r="185" spans="2:8" ht="15">
      <c r="B185" t="str">
        <f>IF(AND(Projektgrundlagen!$I$25,'HB-D1 Besondere Lstg Land'!M181=TRUE),'HB-D1 Besondere Lstg Land'!C181&amp;" "&amp;'HB-D1 Besondere Lstg Land'!F181&amp;" "&amp;'HB-D1 Besondere Lstg Land'!F182,IF(AND(Projektgrundlagen!$I$26,'HB-D2 Besondere Lstg Bund'!M139=TRUE),'HB-D2 Besondere Lstg Bund'!C139&amp;" "&amp;'HB-D2 Besondere Lstg Bund'!F139&amp;" "&amp;'HB-D2 Besondere Lstg Bund'!F140,""))</f>
        <v/>
      </c>
      <c r="C185" s="1129"/>
      <c r="D185" s="1129" t="str">
        <f>IF(AND(Projektgrundlagen!$I$25,'HB-D1 Besondere Lstg Land'!M181=TRUE),(IF('HB-D1 Besondere Lstg Land'!H181&gt;0,"v.H.","pauschal")),IF(AND(Projektgrundlagen!$I$26,'HB-D2 Besondere Lstg Bund'!M139=TRUE),(IF('HB-D2 Besondere Lstg Bund'!H139&gt;0,"v.H.","pauschal")),""))</f>
        <v/>
      </c>
      <c r="E185" s="1129" t="str">
        <f>IF(AND(Projektgrundlagen!$I$25,'HB-D1 Besondere Lstg Land'!M181=TRUE),'HB-D1 Besondere Lstg Land'!H181+'HB-D1 Besondere Lstg Land'!J181,IF(AND(Projektgrundlagen!$I$26,'HB-D2 Besondere Lstg Bund'!M139=TRUE),'HB-D2 Besondere Lstg Bund'!H139+'HB-D2 Besondere Lstg Bund'!J139,""))</f>
        <v/>
      </c>
      <c r="F185" s="1129" t="str">
        <f>IF(AND(Projektgrundlagen!$I$25,'HB-D1 Besondere Lstg Land'!M181=TRUE),'HB-D1 Besondere Lstg Land'!K181,IF(AND(Projektgrundlagen!$I$26,'HB-D2 Besondere Lstg Bund'!M139=TRUE),'HB-D2 Besondere Lstg Bund'!K139,""))</f>
        <v/>
      </c>
      <c r="G185" s="1134"/>
      <c r="H185" s="1135"/>
    </row>
    <row r="186" spans="2:8" ht="15">
      <c r="B186" t="str">
        <f>IF(AND(Projektgrundlagen!$I$25,'HB-D1 Besondere Lstg Land'!M182=TRUE),'HB-D1 Besondere Lstg Land'!C182&amp;" "&amp;'HB-D1 Besondere Lstg Land'!F182&amp;" "&amp;'HB-D1 Besondere Lstg Land'!F183,IF(AND(Projektgrundlagen!$I$26,'HB-D2 Besondere Lstg Bund'!M140=TRUE),'HB-D2 Besondere Lstg Bund'!C140&amp;" "&amp;'HB-D2 Besondere Lstg Bund'!F140&amp;" "&amp;'HB-D2 Besondere Lstg Bund'!F141,""))</f>
        <v/>
      </c>
      <c r="C186" s="1129"/>
      <c r="D186" s="1129" t="str">
        <f>IF(AND(Projektgrundlagen!$I$25,'HB-D1 Besondere Lstg Land'!M182=TRUE),(IF('HB-D1 Besondere Lstg Land'!H182&gt;0,"v.H.","pauschal")),IF(AND(Projektgrundlagen!$I$26,'HB-D2 Besondere Lstg Bund'!M140=TRUE),(IF('HB-D2 Besondere Lstg Bund'!H140&gt;0,"v.H.","pauschal")),""))</f>
        <v/>
      </c>
      <c r="E186" s="1129" t="str">
        <f>IF(AND(Projektgrundlagen!$I$25,'HB-D1 Besondere Lstg Land'!M182=TRUE),'HB-D1 Besondere Lstg Land'!H182+'HB-D1 Besondere Lstg Land'!J182,IF(AND(Projektgrundlagen!$I$26,'HB-D2 Besondere Lstg Bund'!M140=TRUE),'HB-D2 Besondere Lstg Bund'!H140+'HB-D2 Besondere Lstg Bund'!J140,""))</f>
        <v/>
      </c>
      <c r="F186" s="1129" t="str">
        <f>IF(AND(Projektgrundlagen!$I$25,'HB-D1 Besondere Lstg Land'!M182=TRUE),'HB-D1 Besondere Lstg Land'!K182,IF(AND(Projektgrundlagen!$I$26,'HB-D2 Besondere Lstg Bund'!M140=TRUE),'HB-D2 Besondere Lstg Bund'!K140,""))</f>
        <v/>
      </c>
      <c r="G186" s="1134"/>
      <c r="H186" s="1135"/>
    </row>
    <row r="187" spans="2:8" ht="15">
      <c r="B187" t="str">
        <f>IF(AND(Projektgrundlagen!$I$25,'HB-D1 Besondere Lstg Land'!M183=TRUE),'HB-D1 Besondere Lstg Land'!C183&amp;" "&amp;'HB-D1 Besondere Lstg Land'!F183&amp;" "&amp;'HB-D1 Besondere Lstg Land'!F184,IF(AND(Projektgrundlagen!$I$26,'HB-D2 Besondere Lstg Bund'!M141=TRUE),'HB-D2 Besondere Lstg Bund'!C141&amp;" "&amp;'HB-D2 Besondere Lstg Bund'!F141&amp;" "&amp;'HB-D2 Besondere Lstg Bund'!F142,""))</f>
        <v/>
      </c>
      <c r="C187" s="1129"/>
      <c r="D187" s="1129" t="str">
        <f>IF(AND(Projektgrundlagen!$I$25,'HB-D1 Besondere Lstg Land'!M183=TRUE),(IF('HB-D1 Besondere Lstg Land'!H183&gt;0,"v.H.","pauschal")),IF(AND(Projektgrundlagen!$I$26,'HB-D2 Besondere Lstg Bund'!M141=TRUE),(IF('HB-D2 Besondere Lstg Bund'!H141&gt;0,"v.H.","pauschal")),""))</f>
        <v/>
      </c>
      <c r="E187" s="1129" t="str">
        <f>IF(AND(Projektgrundlagen!$I$25,'HB-D1 Besondere Lstg Land'!M183=TRUE),'HB-D1 Besondere Lstg Land'!H183+'HB-D1 Besondere Lstg Land'!J183,IF(AND(Projektgrundlagen!$I$26,'HB-D2 Besondere Lstg Bund'!M141=TRUE),'HB-D2 Besondere Lstg Bund'!H141+'HB-D2 Besondere Lstg Bund'!J141,""))</f>
        <v/>
      </c>
      <c r="F187" s="1129" t="str">
        <f>IF(AND(Projektgrundlagen!$I$25,'HB-D1 Besondere Lstg Land'!M183=TRUE),'HB-D1 Besondere Lstg Land'!K183,IF(AND(Projektgrundlagen!$I$26,'HB-D2 Besondere Lstg Bund'!M141=TRUE),'HB-D2 Besondere Lstg Bund'!K141,""))</f>
        <v/>
      </c>
      <c r="G187" s="1134"/>
      <c r="H187" s="1135"/>
    </row>
    <row r="188" spans="2:8" ht="15">
      <c r="B188" t="str">
        <f>IF(AND(Projektgrundlagen!$I$25,'HB-D1 Besondere Lstg Land'!M184=TRUE),'HB-D1 Besondere Lstg Land'!C184&amp;" "&amp;'HB-D1 Besondere Lstg Land'!F184&amp;" "&amp;'HB-D1 Besondere Lstg Land'!F185,IF(AND(Projektgrundlagen!$I$26,'HB-D2 Besondere Lstg Bund'!M142=TRUE),'HB-D2 Besondere Lstg Bund'!C142&amp;" "&amp;'HB-D2 Besondere Lstg Bund'!F142&amp;" "&amp;'HB-D2 Besondere Lstg Bund'!F143,""))</f>
        <v/>
      </c>
      <c r="C188" s="1129"/>
      <c r="D188" s="1129" t="str">
        <f>IF(AND(Projektgrundlagen!$I$25,'HB-D1 Besondere Lstg Land'!M184=TRUE),(IF('HB-D1 Besondere Lstg Land'!H184&gt;0,"v.H.","pauschal")),IF(AND(Projektgrundlagen!$I$26,'HB-D2 Besondere Lstg Bund'!M142=TRUE),(IF('HB-D2 Besondere Lstg Bund'!H142&gt;0,"v.H.","pauschal")),""))</f>
        <v/>
      </c>
      <c r="E188" s="1129" t="str">
        <f>IF(AND(Projektgrundlagen!$I$25,'HB-D1 Besondere Lstg Land'!M184=TRUE),'HB-D1 Besondere Lstg Land'!H184+'HB-D1 Besondere Lstg Land'!J184,IF(AND(Projektgrundlagen!$I$26,'HB-D2 Besondere Lstg Bund'!M142=TRUE),'HB-D2 Besondere Lstg Bund'!H142+'HB-D2 Besondere Lstg Bund'!J142,""))</f>
        <v/>
      </c>
      <c r="F188" s="1129" t="str">
        <f>IF(AND(Projektgrundlagen!$I$25,'HB-D1 Besondere Lstg Land'!M184=TRUE),'HB-D1 Besondere Lstg Land'!K184,IF(AND(Projektgrundlagen!$I$26,'HB-D2 Besondere Lstg Bund'!M142=TRUE),'HB-D2 Besondere Lstg Bund'!K142,""))</f>
        <v/>
      </c>
      <c r="G188" s="1134"/>
      <c r="H188" s="1135"/>
    </row>
    <row r="189" spans="2:8" ht="15">
      <c r="B189" t="str">
        <f>IF(AND(Projektgrundlagen!$I$25,'HB-D1 Besondere Lstg Land'!M185=TRUE),'HB-D1 Besondere Lstg Land'!C185&amp;" "&amp;'HB-D1 Besondere Lstg Land'!F185&amp;" "&amp;'HB-D1 Besondere Lstg Land'!F186,IF(AND(Projektgrundlagen!$I$26,'HB-D2 Besondere Lstg Bund'!M143=TRUE),'HB-D2 Besondere Lstg Bund'!C143&amp;" "&amp;'HB-D2 Besondere Lstg Bund'!F143&amp;" "&amp;'HB-D2 Besondere Lstg Bund'!F144,""))</f>
        <v/>
      </c>
      <c r="C189" s="1129"/>
      <c r="D189" s="1129" t="str">
        <f>IF(AND(Projektgrundlagen!$I$25,'HB-D1 Besondere Lstg Land'!M185=TRUE),(IF('HB-D1 Besondere Lstg Land'!H185&gt;0,"v.H.","pauschal")),IF(AND(Projektgrundlagen!$I$26,'HB-D2 Besondere Lstg Bund'!M143=TRUE),(IF('HB-D2 Besondere Lstg Bund'!H143&gt;0,"v.H.","pauschal")),""))</f>
        <v/>
      </c>
      <c r="E189" s="1129" t="str">
        <f>IF(AND(Projektgrundlagen!$I$25,'HB-D1 Besondere Lstg Land'!M185=TRUE),'HB-D1 Besondere Lstg Land'!H185+'HB-D1 Besondere Lstg Land'!J185,IF(AND(Projektgrundlagen!$I$26,'HB-D2 Besondere Lstg Bund'!M143=TRUE),'HB-D2 Besondere Lstg Bund'!H143+'HB-D2 Besondere Lstg Bund'!J143,""))</f>
        <v/>
      </c>
      <c r="F189" s="1129" t="str">
        <f>IF(AND(Projektgrundlagen!$I$25,'HB-D1 Besondere Lstg Land'!M185=TRUE),'HB-D1 Besondere Lstg Land'!K185,IF(AND(Projektgrundlagen!$I$26,'HB-D2 Besondere Lstg Bund'!M143=TRUE),'HB-D2 Besondere Lstg Bund'!K143,""))</f>
        <v/>
      </c>
      <c r="G189" s="1134"/>
      <c r="H189" s="1135"/>
    </row>
    <row r="190" spans="2:8" ht="15">
      <c r="B190" t="str">
        <f>IF(AND(Projektgrundlagen!$I$25,'HB-D1 Besondere Lstg Land'!M186=TRUE),'HB-D1 Besondere Lstg Land'!C186&amp;" "&amp;'HB-D1 Besondere Lstg Land'!F186&amp;" "&amp;'HB-D1 Besondere Lstg Land'!F187,IF(AND(Projektgrundlagen!$I$26,'HB-D2 Besondere Lstg Bund'!M144=TRUE),'HB-D2 Besondere Lstg Bund'!C144&amp;" "&amp;'HB-D2 Besondere Lstg Bund'!F144&amp;" "&amp;'HB-D2 Besondere Lstg Bund'!F145,""))</f>
        <v/>
      </c>
      <c r="C190" s="1129"/>
      <c r="D190" s="1129" t="str">
        <f>IF(AND(Projektgrundlagen!$I$25,'HB-D1 Besondere Lstg Land'!M186=TRUE),(IF('HB-D1 Besondere Lstg Land'!H186&gt;0,"v.H.","pauschal")),IF(AND(Projektgrundlagen!$I$26,'HB-D2 Besondere Lstg Bund'!M144=TRUE),(IF('HB-D2 Besondere Lstg Bund'!H144&gt;0,"v.H.","pauschal")),""))</f>
        <v/>
      </c>
      <c r="E190" s="1129" t="str">
        <f>IF(AND(Projektgrundlagen!$I$25,'HB-D1 Besondere Lstg Land'!M186=TRUE),'HB-D1 Besondere Lstg Land'!H186+'HB-D1 Besondere Lstg Land'!J186,IF(AND(Projektgrundlagen!$I$26,'HB-D2 Besondere Lstg Bund'!M144=TRUE),'HB-D2 Besondere Lstg Bund'!H144+'HB-D2 Besondere Lstg Bund'!J144,""))</f>
        <v/>
      </c>
      <c r="F190" s="1129" t="str">
        <f>IF(AND(Projektgrundlagen!$I$25,'HB-D1 Besondere Lstg Land'!M186=TRUE),'HB-D1 Besondere Lstg Land'!K186,IF(AND(Projektgrundlagen!$I$26,'HB-D2 Besondere Lstg Bund'!M144=TRUE),'HB-D2 Besondere Lstg Bund'!K144,""))</f>
        <v/>
      </c>
      <c r="G190" s="1134"/>
      <c r="H190" s="1135"/>
    </row>
    <row r="191" spans="2:8" ht="15">
      <c r="B191" t="str">
        <f>IF(AND(Projektgrundlagen!$I$25,'HB-D1 Besondere Lstg Land'!M187=TRUE),'HB-D1 Besondere Lstg Land'!C187&amp;" "&amp;'HB-D1 Besondere Lstg Land'!F187&amp;" "&amp;'HB-D1 Besondere Lstg Land'!F192,IF(AND(Projektgrundlagen!$I$26,'HB-D2 Besondere Lstg Bund'!M145=TRUE),'HB-D2 Besondere Lstg Bund'!C145&amp;" "&amp;'HB-D2 Besondere Lstg Bund'!F145&amp;" "&amp;'HB-D2 Besondere Lstg Bund'!F146,""))</f>
        <v/>
      </c>
      <c r="C191" s="1129"/>
      <c r="D191" s="1129" t="str">
        <f>IF(AND(Projektgrundlagen!$I$25,'HB-D1 Besondere Lstg Land'!M187=TRUE),(IF('HB-D1 Besondere Lstg Land'!H187&gt;0,"v.H.","pauschal")),IF(AND(Projektgrundlagen!$I$26,'HB-D2 Besondere Lstg Bund'!M145=TRUE),(IF('HB-D2 Besondere Lstg Bund'!H145&gt;0,"v.H.","pauschal")),""))</f>
        <v/>
      </c>
      <c r="E191" s="1129" t="str">
        <f>IF(AND(Projektgrundlagen!$I$25,'HB-D1 Besondere Lstg Land'!M187=TRUE),'HB-D1 Besondere Lstg Land'!H187+'HB-D1 Besondere Lstg Land'!J187,IF(AND(Projektgrundlagen!$I$26,'HB-D2 Besondere Lstg Bund'!M145=TRUE),'HB-D2 Besondere Lstg Bund'!H145+'HB-D2 Besondere Lstg Bund'!J145,""))</f>
        <v/>
      </c>
      <c r="F191" s="1129" t="str">
        <f>IF(AND(Projektgrundlagen!$I$25,'HB-D1 Besondere Lstg Land'!M187=TRUE),'HB-D1 Besondere Lstg Land'!K187,IF(AND(Projektgrundlagen!$I$26,'HB-D2 Besondere Lstg Bund'!M145=TRUE),'HB-D2 Besondere Lstg Bund'!K145,""))</f>
        <v/>
      </c>
      <c r="G191" s="1134"/>
      <c r="H191" s="1135"/>
    </row>
    <row r="192" spans="2:8" ht="15">
      <c r="B192" t="str">
        <f>IF(AND(Projektgrundlagen!$I$25,'HB-D1 Besondere Lstg Land'!M192=TRUE),'HB-D1 Besondere Lstg Land'!C192&amp;" "&amp;'HB-D1 Besondere Lstg Land'!F192&amp;" "&amp;'HB-D1 Besondere Lstg Land'!F193,IF(AND(Projektgrundlagen!$I$26,'HB-D2 Besondere Lstg Bund'!M146=TRUE),'HB-D2 Besondere Lstg Bund'!C146&amp;" "&amp;'HB-D2 Besondere Lstg Bund'!F146&amp;" "&amp;'HB-D2 Besondere Lstg Bund'!F147,""))</f>
        <v/>
      </c>
      <c r="C192" s="1129"/>
      <c r="D192" s="1129" t="str">
        <f>IF(AND(Projektgrundlagen!$I$25,'HB-D1 Besondere Lstg Land'!M192=TRUE),(IF('HB-D1 Besondere Lstg Land'!H192&gt;0,"v.H.","pauschal")),IF(AND(Projektgrundlagen!$I$26,'HB-D2 Besondere Lstg Bund'!M146=TRUE),(IF('HB-D2 Besondere Lstg Bund'!H146&gt;0,"v.H.","pauschal")),""))</f>
        <v/>
      </c>
      <c r="E192" s="1129" t="str">
        <f>IF(AND(Projektgrundlagen!$I$25,'HB-D1 Besondere Lstg Land'!M192=TRUE),'HB-D1 Besondere Lstg Land'!H192+'HB-D1 Besondere Lstg Land'!J192,IF(AND(Projektgrundlagen!$I$26,'HB-D2 Besondere Lstg Bund'!M146=TRUE),'HB-D2 Besondere Lstg Bund'!H146+'HB-D2 Besondere Lstg Bund'!J146,""))</f>
        <v/>
      </c>
      <c r="F192" s="1129" t="str">
        <f>IF(AND(Projektgrundlagen!$I$25,'HB-D1 Besondere Lstg Land'!M192=TRUE),'HB-D1 Besondere Lstg Land'!K192,IF(AND(Projektgrundlagen!$I$26,'HB-D2 Besondere Lstg Bund'!M146=TRUE),'HB-D2 Besondere Lstg Bund'!K146,""))</f>
        <v/>
      </c>
      <c r="G192" s="1134"/>
      <c r="H192" s="1135"/>
    </row>
    <row r="193" spans="2:8" ht="15">
      <c r="B193" t="str">
        <f>IF(AND(Projektgrundlagen!$I$25,'HB-D1 Besondere Lstg Land'!M193=TRUE),'HB-D1 Besondere Lstg Land'!C193&amp;" "&amp;'HB-D1 Besondere Lstg Land'!F193&amp;" "&amp;'HB-D1 Besondere Lstg Land'!F194,IF(AND(Projektgrundlagen!$I$26,'HB-D2 Besondere Lstg Bund'!M147=TRUE),'HB-D2 Besondere Lstg Bund'!C147&amp;" "&amp;'HB-D2 Besondere Lstg Bund'!F147&amp;" "&amp;'HB-D2 Besondere Lstg Bund'!F148,""))</f>
        <v/>
      </c>
      <c r="C193" s="1129"/>
      <c r="D193" s="1129" t="str">
        <f>IF(AND(Projektgrundlagen!$I$25,'HB-D1 Besondere Lstg Land'!M193=TRUE),(IF('HB-D1 Besondere Lstg Land'!H193&gt;0,"v.H.","pauschal")),IF(AND(Projektgrundlagen!$I$26,'HB-D2 Besondere Lstg Bund'!M147=TRUE),(IF('HB-D2 Besondere Lstg Bund'!H147&gt;0,"v.H.","pauschal")),""))</f>
        <v/>
      </c>
      <c r="E193" s="1129" t="str">
        <f>IF(AND(Projektgrundlagen!$I$25,'HB-D1 Besondere Lstg Land'!M193=TRUE),'HB-D1 Besondere Lstg Land'!H193+'HB-D1 Besondere Lstg Land'!J193,IF(AND(Projektgrundlagen!$I$26,'HB-D2 Besondere Lstg Bund'!M147=TRUE),'HB-D2 Besondere Lstg Bund'!H147+'HB-D2 Besondere Lstg Bund'!J147,""))</f>
        <v/>
      </c>
      <c r="F193" s="1129" t="str">
        <f>IF(AND(Projektgrundlagen!$I$25,'HB-D1 Besondere Lstg Land'!M193=TRUE),'HB-D1 Besondere Lstg Land'!K193,IF(AND(Projektgrundlagen!$I$26,'HB-D2 Besondere Lstg Bund'!M147=TRUE),'HB-D2 Besondere Lstg Bund'!K147,""))</f>
        <v/>
      </c>
      <c r="G193" s="1134"/>
      <c r="H193" s="1135"/>
    </row>
    <row r="194" spans="2:8" ht="15">
      <c r="B194" t="str">
        <f>IF(AND(Projektgrundlagen!$I$25,'HB-D1 Besondere Lstg Land'!M194=TRUE),'HB-D1 Besondere Lstg Land'!C194&amp;" "&amp;'HB-D1 Besondere Lstg Land'!F194&amp;" "&amp;'HB-D1 Besondere Lstg Land'!F195,IF(AND(Projektgrundlagen!$I$26,'HB-D2 Besondere Lstg Bund'!M148=TRUE),'HB-D2 Besondere Lstg Bund'!C148&amp;" "&amp;'HB-D2 Besondere Lstg Bund'!F148&amp;" "&amp;'HB-D2 Besondere Lstg Bund'!F149,""))</f>
        <v/>
      </c>
      <c r="C194" s="1129"/>
      <c r="D194" s="1129" t="str">
        <f>IF(AND(Projektgrundlagen!$I$25,'HB-D1 Besondere Lstg Land'!M194=TRUE),(IF('HB-D1 Besondere Lstg Land'!H194&gt;0,"v.H.","pauschal")),IF(AND(Projektgrundlagen!$I$26,'HB-D2 Besondere Lstg Bund'!M148=TRUE),(IF('HB-D2 Besondere Lstg Bund'!H148&gt;0,"v.H.","pauschal")),""))</f>
        <v/>
      </c>
      <c r="E194" s="1129" t="str">
        <f>IF(AND(Projektgrundlagen!$I$25,'HB-D1 Besondere Lstg Land'!M194=TRUE),'HB-D1 Besondere Lstg Land'!H194+'HB-D1 Besondere Lstg Land'!J194,IF(AND(Projektgrundlagen!$I$26,'HB-D2 Besondere Lstg Bund'!M148=TRUE),'HB-D2 Besondere Lstg Bund'!H148+'HB-D2 Besondere Lstg Bund'!J148,""))</f>
        <v/>
      </c>
      <c r="F194" s="1129" t="str">
        <f>IF(AND(Projektgrundlagen!$I$25,'HB-D1 Besondere Lstg Land'!M194=TRUE),'HB-D1 Besondere Lstg Land'!K194,IF(AND(Projektgrundlagen!$I$26,'HB-D2 Besondere Lstg Bund'!M148=TRUE),'HB-D2 Besondere Lstg Bund'!K148,""))</f>
        <v/>
      </c>
      <c r="G194" s="1134"/>
      <c r="H194" s="1135"/>
    </row>
    <row r="195" spans="2:8" ht="15">
      <c r="B195" t="str">
        <f>IF(AND(Projektgrundlagen!$I$25,'HB-D1 Besondere Lstg Land'!M195=TRUE),'HB-D1 Besondere Lstg Land'!C195&amp;" "&amp;'HB-D1 Besondere Lstg Land'!F195&amp;" "&amp;'HB-D1 Besondere Lstg Land'!F196,IF(AND(Projektgrundlagen!$I$26,'HB-D2 Besondere Lstg Bund'!M149=TRUE),'HB-D2 Besondere Lstg Bund'!C149&amp;" "&amp;'HB-D2 Besondere Lstg Bund'!F149&amp;" "&amp;'HB-D2 Besondere Lstg Bund'!F150,""))</f>
        <v/>
      </c>
      <c r="C195" s="1129"/>
      <c r="D195" s="1129" t="str">
        <f>IF(AND(Projektgrundlagen!$I$25,'HB-D1 Besondere Lstg Land'!M195=TRUE),(IF('HB-D1 Besondere Lstg Land'!H195&gt;0,"v.H.","pauschal")),IF(AND(Projektgrundlagen!$I$26,'HB-D2 Besondere Lstg Bund'!M149=TRUE),(IF('HB-D2 Besondere Lstg Bund'!H149&gt;0,"v.H.","pauschal")),""))</f>
        <v/>
      </c>
      <c r="E195" s="1129" t="str">
        <f>IF(AND(Projektgrundlagen!$I$25,'HB-D1 Besondere Lstg Land'!M195=TRUE),'HB-D1 Besondere Lstg Land'!H195+'HB-D1 Besondere Lstg Land'!J195,IF(AND(Projektgrundlagen!$I$26,'HB-D2 Besondere Lstg Bund'!M149=TRUE),'HB-D2 Besondere Lstg Bund'!H149+'HB-D2 Besondere Lstg Bund'!J149,""))</f>
        <v/>
      </c>
      <c r="F195" s="1129" t="str">
        <f>IF(AND(Projektgrundlagen!$I$25,'HB-D1 Besondere Lstg Land'!M195=TRUE),'HB-D1 Besondere Lstg Land'!K195,IF(AND(Projektgrundlagen!$I$26,'HB-D2 Besondere Lstg Bund'!M149=TRUE),'HB-D2 Besondere Lstg Bund'!K149,""))</f>
        <v/>
      </c>
      <c r="G195" s="1134"/>
      <c r="H195" s="1135"/>
    </row>
    <row r="196" spans="2:8" ht="15">
      <c r="B196" t="str">
        <f>IF(AND(Projektgrundlagen!$I$25,'HB-D1 Besondere Lstg Land'!M196=TRUE),'HB-D1 Besondere Lstg Land'!C196&amp;" "&amp;'HB-D1 Besondere Lstg Land'!F196&amp;" "&amp;'HB-D1 Besondere Lstg Land'!F197,IF(AND(Projektgrundlagen!$I$26,'HB-D2 Besondere Lstg Bund'!M150=TRUE),'HB-D2 Besondere Lstg Bund'!C150&amp;" "&amp;'HB-D2 Besondere Lstg Bund'!F150&amp;" "&amp;'HB-D2 Besondere Lstg Bund'!F151,""))</f>
        <v/>
      </c>
      <c r="C196" s="1129"/>
      <c r="D196" s="1129" t="str">
        <f>IF(AND(Projektgrundlagen!$I$25,'HB-D1 Besondere Lstg Land'!M196=TRUE),(IF('HB-D1 Besondere Lstg Land'!H196&gt;0,"v.H.","pauschal")),IF(AND(Projektgrundlagen!$I$26,'HB-D2 Besondere Lstg Bund'!M150=TRUE),(IF('HB-D2 Besondere Lstg Bund'!H150&gt;0,"v.H.","pauschal")),""))</f>
        <v/>
      </c>
      <c r="E196" s="1129" t="str">
        <f>IF(AND(Projektgrundlagen!$I$25,'HB-D1 Besondere Lstg Land'!M196=TRUE),'HB-D1 Besondere Lstg Land'!H196+'HB-D1 Besondere Lstg Land'!J196,IF(AND(Projektgrundlagen!$I$26,'HB-D2 Besondere Lstg Bund'!M150=TRUE),'HB-D2 Besondere Lstg Bund'!H150+'HB-D2 Besondere Lstg Bund'!J150,""))</f>
        <v/>
      </c>
      <c r="F196" s="1129" t="str">
        <f>IF(AND(Projektgrundlagen!$I$25,'HB-D1 Besondere Lstg Land'!M196=TRUE),'HB-D1 Besondere Lstg Land'!K196,IF(AND(Projektgrundlagen!$I$26,'HB-D2 Besondere Lstg Bund'!M150=TRUE),'HB-D2 Besondere Lstg Bund'!K150,""))</f>
        <v/>
      </c>
      <c r="G196" s="1134"/>
      <c r="H196" s="1135"/>
    </row>
    <row r="197" spans="2:8" ht="15">
      <c r="B197" t="str">
        <f>IF(AND(Projektgrundlagen!$I$25,'HB-D1 Besondere Lstg Land'!M197=TRUE),'HB-D1 Besondere Lstg Land'!C197&amp;" "&amp;'HB-D1 Besondere Lstg Land'!F197&amp;" "&amp;'HB-D1 Besondere Lstg Land'!F198,IF(AND(Projektgrundlagen!$I$26,'HB-D2 Besondere Lstg Bund'!M151=TRUE),'HB-D2 Besondere Lstg Bund'!C151&amp;" "&amp;'HB-D2 Besondere Lstg Bund'!F151&amp;" "&amp;'HB-D2 Besondere Lstg Bund'!F152,""))</f>
        <v/>
      </c>
      <c r="C197" s="1129"/>
      <c r="D197" s="1129" t="str">
        <f>IF(AND(Projektgrundlagen!$I$25,'HB-D1 Besondere Lstg Land'!M197=TRUE),(IF('HB-D1 Besondere Lstg Land'!H197&gt;0,"v.H.","pauschal")),IF(AND(Projektgrundlagen!$I$26,'HB-D2 Besondere Lstg Bund'!M151=TRUE),(IF('HB-D2 Besondere Lstg Bund'!H151&gt;0,"v.H.","pauschal")),""))</f>
        <v/>
      </c>
      <c r="E197" s="1129" t="str">
        <f>IF(AND(Projektgrundlagen!$I$25,'HB-D1 Besondere Lstg Land'!M197=TRUE),'HB-D1 Besondere Lstg Land'!H197+'HB-D1 Besondere Lstg Land'!J197,IF(AND(Projektgrundlagen!$I$26,'HB-D2 Besondere Lstg Bund'!M151=TRUE),'HB-D2 Besondere Lstg Bund'!H151+'HB-D2 Besondere Lstg Bund'!J151,""))</f>
        <v/>
      </c>
      <c r="F197" s="1129" t="str">
        <f>IF(AND(Projektgrundlagen!$I$25,'HB-D1 Besondere Lstg Land'!M197=TRUE),'HB-D1 Besondere Lstg Land'!K197,IF(AND(Projektgrundlagen!$I$26,'HB-D2 Besondere Lstg Bund'!M151=TRUE),'HB-D2 Besondere Lstg Bund'!K151,""))</f>
        <v/>
      </c>
      <c r="G197" s="1134"/>
      <c r="H197" s="1135"/>
    </row>
    <row r="198" spans="2:8" ht="15">
      <c r="B198" t="str">
        <f>IF(AND(Projektgrundlagen!$I$25,'HB-D1 Besondere Lstg Land'!M198=TRUE),'HB-D1 Besondere Lstg Land'!C198&amp;" "&amp;'HB-D1 Besondere Lstg Land'!F198&amp;" "&amp;'HB-D1 Besondere Lstg Land'!F199,IF(AND(Projektgrundlagen!$I$26,'HB-D2 Besondere Lstg Bund'!M152=TRUE),'HB-D2 Besondere Lstg Bund'!C152&amp;" "&amp;'HB-D2 Besondere Lstg Bund'!F152&amp;" "&amp;'HB-D2 Besondere Lstg Bund'!F153,""))</f>
        <v/>
      </c>
      <c r="C198" s="1129"/>
      <c r="D198" s="1129" t="str">
        <f>IF(AND(Projektgrundlagen!$I$25,'HB-D1 Besondere Lstg Land'!M198=TRUE),(IF('HB-D1 Besondere Lstg Land'!H198&gt;0,"v.H.","pauschal")),IF(AND(Projektgrundlagen!$I$26,'HB-D2 Besondere Lstg Bund'!M152=TRUE),(IF('HB-D2 Besondere Lstg Bund'!H152&gt;0,"v.H.","pauschal")),""))</f>
        <v/>
      </c>
      <c r="E198" s="1129" t="str">
        <f>IF(AND(Projektgrundlagen!$I$25,'HB-D1 Besondere Lstg Land'!M198=TRUE),'HB-D1 Besondere Lstg Land'!H198+'HB-D1 Besondere Lstg Land'!J198,IF(AND(Projektgrundlagen!$I$26,'HB-D2 Besondere Lstg Bund'!M152=TRUE),'HB-D2 Besondere Lstg Bund'!H152+'HB-D2 Besondere Lstg Bund'!J152,""))</f>
        <v/>
      </c>
      <c r="F198" s="1129" t="str">
        <f>IF(AND(Projektgrundlagen!$I$25,'HB-D1 Besondere Lstg Land'!M198=TRUE),'HB-D1 Besondere Lstg Land'!K198,IF(AND(Projektgrundlagen!$I$26,'HB-D2 Besondere Lstg Bund'!M152=TRUE),'HB-D2 Besondere Lstg Bund'!K152,""))</f>
        <v/>
      </c>
      <c r="G198" s="1134"/>
      <c r="H198" s="1135"/>
    </row>
    <row r="199" spans="2:8" ht="15">
      <c r="B199" t="str">
        <f>IF(AND(Projektgrundlagen!$I$25,'HB-D1 Besondere Lstg Land'!M199=TRUE),'HB-D1 Besondere Lstg Land'!C199&amp;" "&amp;'HB-D1 Besondere Lstg Land'!F199&amp;" "&amp;'HB-D1 Besondere Lstg Land'!F200,IF(AND(Projektgrundlagen!$I$26,'HB-D2 Besondere Lstg Bund'!M153=TRUE),'HB-D2 Besondere Lstg Bund'!C153&amp;" "&amp;'HB-D2 Besondere Lstg Bund'!F153&amp;" "&amp;'HB-D2 Besondere Lstg Bund'!F154,""))</f>
        <v/>
      </c>
      <c r="C199" s="1129"/>
      <c r="D199" s="1129" t="str">
        <f>IF(AND(Projektgrundlagen!$I$25,'HB-D1 Besondere Lstg Land'!M199=TRUE),(IF('HB-D1 Besondere Lstg Land'!H199&gt;0,"v.H.","pauschal")),IF(AND(Projektgrundlagen!$I$26,'HB-D2 Besondere Lstg Bund'!M153=TRUE),(IF('HB-D2 Besondere Lstg Bund'!H153&gt;0,"v.H.","pauschal")),""))</f>
        <v/>
      </c>
      <c r="E199" s="1129" t="str">
        <f>IF(AND(Projektgrundlagen!$I$25,'HB-D1 Besondere Lstg Land'!M199=TRUE),'HB-D1 Besondere Lstg Land'!H199+'HB-D1 Besondere Lstg Land'!J199,IF(AND(Projektgrundlagen!$I$26,'HB-D2 Besondere Lstg Bund'!M153=TRUE),'HB-D2 Besondere Lstg Bund'!H153+'HB-D2 Besondere Lstg Bund'!J153,""))</f>
        <v/>
      </c>
      <c r="F199" s="1129" t="str">
        <f>IF(AND(Projektgrundlagen!$I$25,'HB-D1 Besondere Lstg Land'!M199=TRUE),'HB-D1 Besondere Lstg Land'!K199,IF(AND(Projektgrundlagen!$I$26,'HB-D2 Besondere Lstg Bund'!M153=TRUE),'HB-D2 Besondere Lstg Bund'!K153,""))</f>
        <v/>
      </c>
      <c r="G199" s="1134"/>
      <c r="H199" s="1135"/>
    </row>
    <row r="200" spans="2:8" ht="15">
      <c r="B200" t="str">
        <f>IF(AND(Projektgrundlagen!$I$25,'HB-D1 Besondere Lstg Land'!M200=TRUE),'HB-D1 Besondere Lstg Land'!C200&amp;" "&amp;'HB-D1 Besondere Lstg Land'!F200&amp;" "&amp;'HB-D1 Besondere Lstg Land'!F201,IF(AND(Projektgrundlagen!$I$26,'HB-D2 Besondere Lstg Bund'!M154=TRUE),'HB-D2 Besondere Lstg Bund'!C154&amp;" "&amp;'HB-D2 Besondere Lstg Bund'!F154&amp;" "&amp;'HB-D2 Besondere Lstg Bund'!F155,""))</f>
        <v/>
      </c>
      <c r="C200" s="1129"/>
      <c r="D200" s="1129" t="str">
        <f>IF(AND(Projektgrundlagen!$I$25,'HB-D1 Besondere Lstg Land'!M200=TRUE),(IF('HB-D1 Besondere Lstg Land'!H200&gt;0,"v.H.","pauschal")),IF(AND(Projektgrundlagen!$I$26,'HB-D2 Besondere Lstg Bund'!M154=TRUE),(IF('HB-D2 Besondere Lstg Bund'!H154&gt;0,"v.H.","pauschal")),""))</f>
        <v/>
      </c>
      <c r="E200" s="1129" t="str">
        <f>IF(AND(Projektgrundlagen!$I$25,'HB-D1 Besondere Lstg Land'!M200=TRUE),'HB-D1 Besondere Lstg Land'!H200+'HB-D1 Besondere Lstg Land'!J200,IF(AND(Projektgrundlagen!$I$26,'HB-D2 Besondere Lstg Bund'!M154=TRUE),'HB-D2 Besondere Lstg Bund'!H154+'HB-D2 Besondere Lstg Bund'!J154,""))</f>
        <v/>
      </c>
      <c r="F200" s="1129" t="str">
        <f>IF(AND(Projektgrundlagen!$I$25,'HB-D1 Besondere Lstg Land'!M200=TRUE),'HB-D1 Besondere Lstg Land'!K200,IF(AND(Projektgrundlagen!$I$26,'HB-D2 Besondere Lstg Bund'!M154=TRUE),'HB-D2 Besondere Lstg Bund'!K154,""))</f>
        <v/>
      </c>
      <c r="G200" s="1134"/>
      <c r="H200" s="1135"/>
    </row>
    <row r="201" spans="2:8" ht="15">
      <c r="B201" t="str">
        <f>IF(AND(Projektgrundlagen!$I$25,'HB-D1 Besondere Lstg Land'!M201=TRUE),'HB-D1 Besondere Lstg Land'!C201&amp;" "&amp;'HB-D1 Besondere Lstg Land'!F201&amp;" "&amp;'HB-D1 Besondere Lstg Land'!F202,IF(AND(Projektgrundlagen!$I$26,'HB-D2 Besondere Lstg Bund'!M155=TRUE),'HB-D2 Besondere Lstg Bund'!C155&amp;" "&amp;'HB-D2 Besondere Lstg Bund'!F155&amp;" "&amp;'HB-D2 Besondere Lstg Bund'!F156,""))</f>
        <v/>
      </c>
      <c r="C201" s="1129"/>
      <c r="D201" s="1129" t="str">
        <f>IF(AND(Projektgrundlagen!$I$25,'HB-D1 Besondere Lstg Land'!M201=TRUE),(IF('HB-D1 Besondere Lstg Land'!H201&gt;0,"v.H.","pauschal")),IF(AND(Projektgrundlagen!$I$26,'HB-D2 Besondere Lstg Bund'!M155=TRUE),(IF('HB-D2 Besondere Lstg Bund'!H155&gt;0,"v.H.","pauschal")),""))</f>
        <v/>
      </c>
      <c r="E201" s="1129" t="str">
        <f>IF(AND(Projektgrundlagen!$I$25,'HB-D1 Besondere Lstg Land'!M201=TRUE),'HB-D1 Besondere Lstg Land'!H201+'HB-D1 Besondere Lstg Land'!J201,IF(AND(Projektgrundlagen!$I$26,'HB-D2 Besondere Lstg Bund'!M155=TRUE),'HB-D2 Besondere Lstg Bund'!H155+'HB-D2 Besondere Lstg Bund'!J155,""))</f>
        <v/>
      </c>
      <c r="F201" s="1129" t="str">
        <f>IF(AND(Projektgrundlagen!$I$25,'HB-D1 Besondere Lstg Land'!M201=TRUE),'HB-D1 Besondere Lstg Land'!K201,IF(AND(Projektgrundlagen!$I$26,'HB-D2 Besondere Lstg Bund'!M155=TRUE),'HB-D2 Besondere Lstg Bund'!K155,""))</f>
        <v/>
      </c>
      <c r="G201" s="1134"/>
      <c r="H201" s="1135"/>
    </row>
    <row r="202" spans="2:8" ht="15">
      <c r="B202" t="str">
        <f>IF(AND(Projektgrundlagen!$I$25,'HB-D1 Besondere Lstg Land'!M202=TRUE),'HB-D1 Besondere Lstg Land'!C202&amp;" "&amp;'HB-D1 Besondere Lstg Land'!F202&amp;" "&amp;'HB-D1 Besondere Lstg Land'!F203,IF(AND(Projektgrundlagen!$I$26,'HB-D2 Besondere Lstg Bund'!M156=TRUE),'HB-D2 Besondere Lstg Bund'!C156&amp;" "&amp;'HB-D2 Besondere Lstg Bund'!F156&amp;" "&amp;'HB-D2 Besondere Lstg Bund'!F157,""))</f>
        <v/>
      </c>
      <c r="C202" s="1129"/>
      <c r="D202" s="1129" t="str">
        <f>IF(AND(Projektgrundlagen!$I$25,'HB-D1 Besondere Lstg Land'!M202=TRUE),(IF('HB-D1 Besondere Lstg Land'!H202&gt;0,"v.H.","pauschal")),IF(AND(Projektgrundlagen!$I$26,'HB-D2 Besondere Lstg Bund'!M156=TRUE),(IF('HB-D2 Besondere Lstg Bund'!H156&gt;0,"v.H.","pauschal")),""))</f>
        <v/>
      </c>
      <c r="E202" s="1129" t="str">
        <f>IF(AND(Projektgrundlagen!$I$25,'HB-D1 Besondere Lstg Land'!M202=TRUE),'HB-D1 Besondere Lstg Land'!H202+'HB-D1 Besondere Lstg Land'!J202,IF(AND(Projektgrundlagen!$I$26,'HB-D2 Besondere Lstg Bund'!M156=TRUE),'HB-D2 Besondere Lstg Bund'!H156+'HB-D2 Besondere Lstg Bund'!J156,""))</f>
        <v/>
      </c>
      <c r="F202" s="1129" t="str">
        <f>IF(AND(Projektgrundlagen!$I$25,'HB-D1 Besondere Lstg Land'!M202=TRUE),'HB-D1 Besondere Lstg Land'!K202,IF(AND(Projektgrundlagen!$I$26,'HB-D2 Besondere Lstg Bund'!M156=TRUE),'HB-D2 Besondere Lstg Bund'!K156,""))</f>
        <v/>
      </c>
      <c r="G202" s="1134"/>
      <c r="H202" s="1135"/>
    </row>
    <row r="203" spans="2:8" ht="15">
      <c r="B203" t="str">
        <f>IF(AND(Projektgrundlagen!$I$25,'HB-D1 Besondere Lstg Land'!M203=TRUE),'HB-D1 Besondere Lstg Land'!C203&amp;" "&amp;'HB-D1 Besondere Lstg Land'!F203&amp;" "&amp;'HB-D1 Besondere Lstg Land'!F204,IF(AND(Projektgrundlagen!$I$26,'HB-D2 Besondere Lstg Bund'!M157=TRUE),'HB-D2 Besondere Lstg Bund'!C157&amp;" "&amp;'HB-D2 Besondere Lstg Bund'!F157&amp;" "&amp;'HB-D2 Besondere Lstg Bund'!F158,""))</f>
        <v/>
      </c>
      <c r="C203" s="1129"/>
      <c r="D203" s="1129" t="str">
        <f>IF(AND(Projektgrundlagen!$I$25,'HB-D1 Besondere Lstg Land'!M203=TRUE),(IF('HB-D1 Besondere Lstg Land'!H203&gt;0,"v.H.","pauschal")),IF(AND(Projektgrundlagen!$I$26,'HB-D2 Besondere Lstg Bund'!M157=TRUE),(IF('HB-D2 Besondere Lstg Bund'!H157&gt;0,"v.H.","pauschal")),""))</f>
        <v/>
      </c>
      <c r="E203" s="1129" t="str">
        <f>IF(AND(Projektgrundlagen!$I$25,'HB-D1 Besondere Lstg Land'!M203=TRUE),'HB-D1 Besondere Lstg Land'!H203+'HB-D1 Besondere Lstg Land'!J203,IF(AND(Projektgrundlagen!$I$26,'HB-D2 Besondere Lstg Bund'!M157=TRUE),'HB-D2 Besondere Lstg Bund'!H157+'HB-D2 Besondere Lstg Bund'!J157,""))</f>
        <v/>
      </c>
      <c r="F203" s="1129" t="str">
        <f>IF(AND(Projektgrundlagen!$I$25,'HB-D1 Besondere Lstg Land'!M203=TRUE),'HB-D1 Besondere Lstg Land'!K203,IF(AND(Projektgrundlagen!$I$26,'HB-D2 Besondere Lstg Bund'!M157=TRUE),'HB-D2 Besondere Lstg Bund'!K157,""))</f>
        <v/>
      </c>
      <c r="G203" s="1134"/>
      <c r="H203" s="1135"/>
    </row>
    <row r="204" spans="2:8" ht="15">
      <c r="B204" t="str">
        <f>IF(AND(Projektgrundlagen!$I$25,'HB-D1 Besondere Lstg Land'!M204=TRUE),'HB-D1 Besondere Lstg Land'!C204&amp;" "&amp;'HB-D1 Besondere Lstg Land'!F204&amp;" "&amp;'HB-D1 Besondere Lstg Land'!F205,IF(AND(Projektgrundlagen!$I$26,'HB-D2 Besondere Lstg Bund'!M158=TRUE),'HB-D2 Besondere Lstg Bund'!C158&amp;" "&amp;'HB-D2 Besondere Lstg Bund'!F158&amp;" "&amp;'HB-D2 Besondere Lstg Bund'!F159,""))</f>
        <v/>
      </c>
      <c r="C204" s="1129"/>
      <c r="D204" s="1129" t="str">
        <f>IF(AND(Projektgrundlagen!$I$25,'HB-D1 Besondere Lstg Land'!M204=TRUE),(IF('HB-D1 Besondere Lstg Land'!H204&gt;0,"v.H.","pauschal")),IF(AND(Projektgrundlagen!$I$26,'HB-D2 Besondere Lstg Bund'!M158=TRUE),(IF('HB-D2 Besondere Lstg Bund'!H158&gt;0,"v.H.","pauschal")),""))</f>
        <v/>
      </c>
      <c r="E204" s="1129" t="str">
        <f>IF(AND(Projektgrundlagen!$I$25,'HB-D1 Besondere Lstg Land'!M204=TRUE),'HB-D1 Besondere Lstg Land'!H204+'HB-D1 Besondere Lstg Land'!J204,IF(AND(Projektgrundlagen!$I$26,'HB-D2 Besondere Lstg Bund'!M158=TRUE),'HB-D2 Besondere Lstg Bund'!H158+'HB-D2 Besondere Lstg Bund'!J158,""))</f>
        <v/>
      </c>
      <c r="F204" s="1129" t="str">
        <f>IF(AND(Projektgrundlagen!$I$25,'HB-D1 Besondere Lstg Land'!M204=TRUE),'HB-D1 Besondere Lstg Land'!K204,IF(AND(Projektgrundlagen!$I$26,'HB-D2 Besondere Lstg Bund'!M158=TRUE),'HB-D2 Besondere Lstg Bund'!K158,""))</f>
        <v/>
      </c>
      <c r="G204" s="1134"/>
      <c r="H204" s="1135"/>
    </row>
    <row r="205" spans="2:8" ht="15">
      <c r="B205" t="str">
        <f>IF(AND(Projektgrundlagen!$I$25,'HB-D1 Besondere Lstg Land'!M205=TRUE),'HB-D1 Besondere Lstg Land'!C205&amp;" "&amp;'HB-D1 Besondere Lstg Land'!F205&amp;" "&amp;'HB-D1 Besondere Lstg Land'!F206,IF(AND(Projektgrundlagen!$I$26,'HB-D2 Besondere Lstg Bund'!M159=TRUE),'HB-D2 Besondere Lstg Bund'!C159&amp;" "&amp;'HB-D2 Besondere Lstg Bund'!F159&amp;" "&amp;'HB-D2 Besondere Lstg Bund'!F160,""))</f>
        <v/>
      </c>
      <c r="C205" s="1129"/>
      <c r="D205" s="1129" t="str">
        <f>IF(AND(Projektgrundlagen!$I$25,'HB-D1 Besondere Lstg Land'!M205=TRUE),(IF('HB-D1 Besondere Lstg Land'!H205&gt;0,"v.H.","pauschal")),IF(AND(Projektgrundlagen!$I$26,'HB-D2 Besondere Lstg Bund'!M159=TRUE),(IF('HB-D2 Besondere Lstg Bund'!H159&gt;0,"v.H.","pauschal")),""))</f>
        <v/>
      </c>
      <c r="E205" s="1129" t="str">
        <f>IF(AND(Projektgrundlagen!$I$25,'HB-D1 Besondere Lstg Land'!M205=TRUE),'HB-D1 Besondere Lstg Land'!H205+'HB-D1 Besondere Lstg Land'!J205,IF(AND(Projektgrundlagen!$I$26,'HB-D2 Besondere Lstg Bund'!M159=TRUE),'HB-D2 Besondere Lstg Bund'!H159+'HB-D2 Besondere Lstg Bund'!J159,""))</f>
        <v/>
      </c>
      <c r="F205" s="1129" t="str">
        <f>IF(AND(Projektgrundlagen!$I$25,'HB-D1 Besondere Lstg Land'!M205=TRUE),'HB-D1 Besondere Lstg Land'!K205,IF(AND(Projektgrundlagen!$I$26,'HB-D2 Besondere Lstg Bund'!M159=TRUE),'HB-D2 Besondere Lstg Bund'!K159,""))</f>
        <v/>
      </c>
      <c r="G205" s="1134"/>
      <c r="H205" s="1135"/>
    </row>
    <row r="206" spans="2:8" ht="15">
      <c r="B206" t="str">
        <f>IF(AND(Projektgrundlagen!$I$25,'HB-D1 Besondere Lstg Land'!M206=TRUE),'HB-D1 Besondere Lstg Land'!C206&amp;" "&amp;'HB-D1 Besondere Lstg Land'!F206&amp;" "&amp;'HB-D1 Besondere Lstg Land'!F207,IF(AND(Projektgrundlagen!$I$26,'HB-D2 Besondere Lstg Bund'!M160=TRUE),'HB-D2 Besondere Lstg Bund'!C160&amp;" "&amp;'HB-D2 Besondere Lstg Bund'!F160&amp;" "&amp;'HB-D2 Besondere Lstg Bund'!F161,""))</f>
        <v/>
      </c>
      <c r="C206" s="1129"/>
      <c r="D206" s="1129" t="str">
        <f>IF(AND(Projektgrundlagen!$I$25,'HB-D1 Besondere Lstg Land'!M206=TRUE),(IF('HB-D1 Besondere Lstg Land'!H206&gt;0,"v.H.","pauschal")),IF(AND(Projektgrundlagen!$I$26,'HB-D2 Besondere Lstg Bund'!M160=TRUE),(IF('HB-D2 Besondere Lstg Bund'!H160&gt;0,"v.H.","pauschal")),""))</f>
        <v/>
      </c>
      <c r="E206" s="1129" t="str">
        <f>IF(AND(Projektgrundlagen!$I$25,'HB-D1 Besondere Lstg Land'!M206=TRUE),'HB-D1 Besondere Lstg Land'!H206+'HB-D1 Besondere Lstg Land'!J206,IF(AND(Projektgrundlagen!$I$26,'HB-D2 Besondere Lstg Bund'!M160=TRUE),'HB-D2 Besondere Lstg Bund'!H160+'HB-D2 Besondere Lstg Bund'!J160,""))</f>
        <v/>
      </c>
      <c r="F206" s="1129" t="str">
        <f>IF(AND(Projektgrundlagen!$I$25,'HB-D1 Besondere Lstg Land'!M206=TRUE),'HB-D1 Besondere Lstg Land'!K206,IF(AND(Projektgrundlagen!$I$26,'HB-D2 Besondere Lstg Bund'!M160=TRUE),'HB-D2 Besondere Lstg Bund'!K160,""))</f>
        <v/>
      </c>
      <c r="G206" s="1134"/>
      <c r="H206" s="1135"/>
    </row>
    <row r="207" spans="2:8" ht="15">
      <c r="B207" t="str">
        <f>IF(AND(Projektgrundlagen!$I$25,'HB-D1 Besondere Lstg Land'!M207=TRUE),'HB-D1 Besondere Lstg Land'!C207&amp;" "&amp;'HB-D1 Besondere Lstg Land'!F207&amp;" "&amp;'HB-D1 Besondere Lstg Land'!F208,IF(AND(Projektgrundlagen!$I$26,'HB-D2 Besondere Lstg Bund'!M161=TRUE),'HB-D2 Besondere Lstg Bund'!C161&amp;" "&amp;'HB-D2 Besondere Lstg Bund'!F161&amp;" "&amp;'HB-D2 Besondere Lstg Bund'!F162,""))</f>
        <v/>
      </c>
      <c r="C207" s="1129"/>
      <c r="D207" s="1129" t="str">
        <f>IF(AND(Projektgrundlagen!$I$25,'HB-D1 Besondere Lstg Land'!M207=TRUE),(IF('HB-D1 Besondere Lstg Land'!H207&gt;0,"v.H.","pauschal")),IF(AND(Projektgrundlagen!$I$26,'HB-D2 Besondere Lstg Bund'!M161=TRUE),(IF('HB-D2 Besondere Lstg Bund'!H161&gt;0,"v.H.","pauschal")),""))</f>
        <v/>
      </c>
      <c r="E207" s="1129" t="str">
        <f>IF(AND(Projektgrundlagen!$I$25,'HB-D1 Besondere Lstg Land'!M207=TRUE),'HB-D1 Besondere Lstg Land'!H207+'HB-D1 Besondere Lstg Land'!J207,IF(AND(Projektgrundlagen!$I$26,'HB-D2 Besondere Lstg Bund'!M161=TRUE),'HB-D2 Besondere Lstg Bund'!H161+'HB-D2 Besondere Lstg Bund'!J161,""))</f>
        <v/>
      </c>
      <c r="F207" s="1129" t="str">
        <f>IF(AND(Projektgrundlagen!$I$25,'HB-D1 Besondere Lstg Land'!M207=TRUE),'HB-D1 Besondere Lstg Land'!K207,IF(AND(Projektgrundlagen!$I$26,'HB-D2 Besondere Lstg Bund'!M161=TRUE),'HB-D2 Besondere Lstg Bund'!K161,""))</f>
        <v/>
      </c>
      <c r="G207" s="1134"/>
      <c r="H207" s="1135"/>
    </row>
    <row r="208" spans="2:8" ht="15">
      <c r="B208" t="str">
        <f>IF(AND(Projektgrundlagen!$I$25,'HB-D1 Besondere Lstg Land'!M208=TRUE),'HB-D1 Besondere Lstg Land'!C208&amp;" "&amp;'HB-D1 Besondere Lstg Land'!F208&amp;" "&amp;'HB-D1 Besondere Lstg Land'!F209,IF(AND(Projektgrundlagen!$I$26,'HB-D2 Besondere Lstg Bund'!M162=TRUE),'HB-D2 Besondere Lstg Bund'!C162&amp;" "&amp;'HB-D2 Besondere Lstg Bund'!F162&amp;" "&amp;'HB-D2 Besondere Lstg Bund'!F163,""))</f>
        <v/>
      </c>
      <c r="C208" s="1129"/>
      <c r="D208" s="1129" t="str">
        <f>IF(AND(Projektgrundlagen!$I$25,'HB-D1 Besondere Lstg Land'!M208=TRUE),(IF('HB-D1 Besondere Lstg Land'!H208&gt;0,"v.H.","pauschal")),IF(AND(Projektgrundlagen!$I$26,'HB-D2 Besondere Lstg Bund'!M162=TRUE),(IF('HB-D2 Besondere Lstg Bund'!H162&gt;0,"v.H.","pauschal")),""))</f>
        <v/>
      </c>
      <c r="E208" s="1129" t="str">
        <f>IF(AND(Projektgrundlagen!$I$25,'HB-D1 Besondere Lstg Land'!M208=TRUE),'HB-D1 Besondere Lstg Land'!H208+'HB-D1 Besondere Lstg Land'!J208,IF(AND(Projektgrundlagen!$I$26,'HB-D2 Besondere Lstg Bund'!M162=TRUE),'HB-D2 Besondere Lstg Bund'!H162+'HB-D2 Besondere Lstg Bund'!J162,""))</f>
        <v/>
      </c>
      <c r="F208" s="1129" t="str">
        <f>IF(AND(Projektgrundlagen!$I$25,'HB-D1 Besondere Lstg Land'!M208=TRUE),'HB-D1 Besondere Lstg Land'!K208,IF(AND(Projektgrundlagen!$I$26,'HB-D2 Besondere Lstg Bund'!M162=TRUE),'HB-D2 Besondere Lstg Bund'!K162,""))</f>
        <v/>
      </c>
      <c r="G208" s="1134"/>
      <c r="H208" s="1135"/>
    </row>
    <row r="209" spans="2:8" ht="15">
      <c r="B209" t="str">
        <f>IF(AND(Projektgrundlagen!$I$25,'HB-D1 Besondere Lstg Land'!M209=TRUE),'HB-D1 Besondere Lstg Land'!C209&amp;" "&amp;'HB-D1 Besondere Lstg Land'!F209&amp;" "&amp;'HB-D1 Besondere Lstg Land'!F210,IF(AND(Projektgrundlagen!$I$26,'HB-D2 Besondere Lstg Bund'!M163=TRUE),'HB-D2 Besondere Lstg Bund'!C163&amp;" "&amp;'HB-D2 Besondere Lstg Bund'!F163&amp;" "&amp;'HB-D2 Besondere Lstg Bund'!F164,""))</f>
        <v/>
      </c>
      <c r="C209" s="1129"/>
      <c r="D209" s="1129" t="str">
        <f>IF(AND(Projektgrundlagen!$I$25,'HB-D1 Besondere Lstg Land'!M209=TRUE),(IF('HB-D1 Besondere Lstg Land'!H209&gt;0,"v.H.","pauschal")),IF(AND(Projektgrundlagen!$I$26,'HB-D2 Besondere Lstg Bund'!M163=TRUE),(IF('HB-D2 Besondere Lstg Bund'!H163&gt;0,"v.H.","pauschal")),""))</f>
        <v/>
      </c>
      <c r="E209" s="1129" t="str">
        <f>IF(AND(Projektgrundlagen!$I$25,'HB-D1 Besondere Lstg Land'!M209=TRUE),'HB-D1 Besondere Lstg Land'!H209+'HB-D1 Besondere Lstg Land'!J209,IF(AND(Projektgrundlagen!$I$26,'HB-D2 Besondere Lstg Bund'!M163=TRUE),'HB-D2 Besondere Lstg Bund'!H163+'HB-D2 Besondere Lstg Bund'!J163,""))</f>
        <v/>
      </c>
      <c r="F209" s="1129" t="str">
        <f>IF(AND(Projektgrundlagen!$I$25,'HB-D1 Besondere Lstg Land'!M209=TRUE),'HB-D1 Besondere Lstg Land'!K209,IF(AND(Projektgrundlagen!$I$26,'HB-D2 Besondere Lstg Bund'!M163=TRUE),'HB-D2 Besondere Lstg Bund'!K163,""))</f>
        <v/>
      </c>
      <c r="G209" s="1134"/>
      <c r="H209" s="1135"/>
    </row>
    <row r="210" spans="2:8" ht="15">
      <c r="B210" t="str">
        <f>IF(AND(Projektgrundlagen!$I$25,'HB-D1 Besondere Lstg Land'!M210=TRUE),'HB-D1 Besondere Lstg Land'!C210&amp;" "&amp;'HB-D1 Besondere Lstg Land'!F210&amp;" "&amp;'HB-D1 Besondere Lstg Land'!F211,IF(AND(Projektgrundlagen!$I$26,'HB-D2 Besondere Lstg Bund'!M164=TRUE),'HB-D2 Besondere Lstg Bund'!C164&amp;" "&amp;'HB-D2 Besondere Lstg Bund'!F164&amp;" "&amp;'HB-D2 Besondere Lstg Bund'!F165,""))</f>
        <v/>
      </c>
      <c r="C210" s="1129"/>
      <c r="D210" s="1129" t="str">
        <f>IF(AND(Projektgrundlagen!$I$25,'HB-D1 Besondere Lstg Land'!M210=TRUE),(IF('HB-D1 Besondere Lstg Land'!H210&gt;0,"v.H.","pauschal")),IF(AND(Projektgrundlagen!$I$26,'HB-D2 Besondere Lstg Bund'!M164=TRUE),(IF('HB-D2 Besondere Lstg Bund'!H164&gt;0,"v.H.","pauschal")),""))</f>
        <v/>
      </c>
      <c r="E210" s="1129" t="str">
        <f>IF(AND(Projektgrundlagen!$I$25,'HB-D1 Besondere Lstg Land'!M210=TRUE),'HB-D1 Besondere Lstg Land'!H210+'HB-D1 Besondere Lstg Land'!J210,IF(AND(Projektgrundlagen!$I$26,'HB-D2 Besondere Lstg Bund'!M164=TRUE),'HB-D2 Besondere Lstg Bund'!H164+'HB-D2 Besondere Lstg Bund'!J164,""))</f>
        <v/>
      </c>
      <c r="F210" s="1129" t="str">
        <f>IF(AND(Projektgrundlagen!$I$25,'HB-D1 Besondere Lstg Land'!M210=TRUE),'HB-D1 Besondere Lstg Land'!K210,IF(AND(Projektgrundlagen!$I$26,'HB-D2 Besondere Lstg Bund'!M164=TRUE),'HB-D2 Besondere Lstg Bund'!K164,""))</f>
        <v/>
      </c>
      <c r="G210" s="1134"/>
      <c r="H210" s="1135"/>
    </row>
    <row r="211" spans="2:8" ht="15">
      <c r="B211" t="str">
        <f>IF(AND(Projektgrundlagen!$I$25,'HB-D1 Besondere Lstg Land'!M211=TRUE),'HB-D1 Besondere Lstg Land'!C211&amp;" "&amp;'HB-D1 Besondere Lstg Land'!F211&amp;" "&amp;'HB-D1 Besondere Lstg Land'!F212,IF(AND(Projektgrundlagen!$I$26,'HB-D2 Besondere Lstg Bund'!M165=TRUE),'HB-D2 Besondere Lstg Bund'!C165&amp;" "&amp;'HB-D2 Besondere Lstg Bund'!F165&amp;" "&amp;'HB-D2 Besondere Lstg Bund'!F166,""))</f>
        <v/>
      </c>
      <c r="C211" s="1129"/>
      <c r="D211" s="1129" t="str">
        <f>IF(AND(Projektgrundlagen!$I$25,'HB-D1 Besondere Lstg Land'!M211=TRUE),(IF('HB-D1 Besondere Lstg Land'!H211&gt;0,"v.H.","pauschal")),IF(AND(Projektgrundlagen!$I$26,'HB-D2 Besondere Lstg Bund'!M165=TRUE),(IF('HB-D2 Besondere Lstg Bund'!H165&gt;0,"v.H.","pauschal")),""))</f>
        <v/>
      </c>
      <c r="E211" s="1129" t="str">
        <f>IF(AND(Projektgrundlagen!$I$25,'HB-D1 Besondere Lstg Land'!M211=TRUE),'HB-D1 Besondere Lstg Land'!H211+'HB-D1 Besondere Lstg Land'!J211,IF(AND(Projektgrundlagen!$I$26,'HB-D2 Besondere Lstg Bund'!M165=TRUE),'HB-D2 Besondere Lstg Bund'!H165+'HB-D2 Besondere Lstg Bund'!J165,""))</f>
        <v/>
      </c>
      <c r="F211" s="1129" t="str">
        <f>IF(AND(Projektgrundlagen!$I$25,'HB-D1 Besondere Lstg Land'!M211=TRUE),'HB-D1 Besondere Lstg Land'!K211,IF(AND(Projektgrundlagen!$I$26,'HB-D2 Besondere Lstg Bund'!M165=TRUE),'HB-D2 Besondere Lstg Bund'!K165,""))</f>
        <v/>
      </c>
      <c r="G211" s="1134"/>
      <c r="H211" s="1135"/>
    </row>
    <row r="212" spans="2:8" ht="15">
      <c r="B212" t="str">
        <f>IF(AND(Projektgrundlagen!$I$25,'HB-D1 Besondere Lstg Land'!M212=TRUE),'HB-D1 Besondere Lstg Land'!C212&amp;" "&amp;'HB-D1 Besondere Lstg Land'!F212&amp;" "&amp;'HB-D1 Besondere Lstg Land'!F213,IF(AND(Projektgrundlagen!$I$26,'HB-D2 Besondere Lstg Bund'!M166=TRUE),'HB-D2 Besondere Lstg Bund'!C166&amp;" "&amp;'HB-D2 Besondere Lstg Bund'!F166&amp;" "&amp;'HB-D2 Besondere Lstg Bund'!F167,""))</f>
        <v/>
      </c>
      <c r="C212" s="1129"/>
      <c r="D212" s="1129" t="str">
        <f>IF(AND(Projektgrundlagen!$I$25,'HB-D1 Besondere Lstg Land'!M212=TRUE),(IF('HB-D1 Besondere Lstg Land'!H212&gt;0,"v.H.","pauschal")),IF(AND(Projektgrundlagen!$I$26,'HB-D2 Besondere Lstg Bund'!M166=TRUE),(IF('HB-D2 Besondere Lstg Bund'!H166&gt;0,"v.H.","pauschal")),""))</f>
        <v/>
      </c>
      <c r="E212" s="1129" t="str">
        <f>IF(AND(Projektgrundlagen!$I$25,'HB-D1 Besondere Lstg Land'!M212=TRUE),'HB-D1 Besondere Lstg Land'!H212+'HB-D1 Besondere Lstg Land'!J212,IF(AND(Projektgrundlagen!$I$26,'HB-D2 Besondere Lstg Bund'!M166=TRUE),'HB-D2 Besondere Lstg Bund'!H166+'HB-D2 Besondere Lstg Bund'!J166,""))</f>
        <v/>
      </c>
      <c r="F212" s="1129" t="str">
        <f>IF(AND(Projektgrundlagen!$I$25,'HB-D1 Besondere Lstg Land'!M212=TRUE),'HB-D1 Besondere Lstg Land'!K212,IF(AND(Projektgrundlagen!$I$26,'HB-D2 Besondere Lstg Bund'!M166=TRUE),'HB-D2 Besondere Lstg Bund'!K166,""))</f>
        <v/>
      </c>
      <c r="G212" s="1134"/>
      <c r="H212" s="1135"/>
    </row>
    <row r="213" spans="2:8" ht="15">
      <c r="B213" t="str">
        <f>IF(AND(Projektgrundlagen!$I$25,'HB-D1 Besondere Lstg Land'!M213=TRUE),'HB-D1 Besondere Lstg Land'!C213&amp;" "&amp;'HB-D1 Besondere Lstg Land'!F213&amp;" "&amp;'HB-D1 Besondere Lstg Land'!F214,IF(AND(Projektgrundlagen!$I$26,'HB-D2 Besondere Lstg Bund'!M167=TRUE),'HB-D2 Besondere Lstg Bund'!C167&amp;" "&amp;'HB-D2 Besondere Lstg Bund'!F167&amp;" "&amp;'HB-D2 Besondere Lstg Bund'!F168,""))</f>
        <v/>
      </c>
      <c r="C213" s="1129"/>
      <c r="D213" s="1129" t="str">
        <f>IF(AND(Projektgrundlagen!$I$25,'HB-D1 Besondere Lstg Land'!M213=TRUE),(IF('HB-D1 Besondere Lstg Land'!H213&gt;0,"v.H.","pauschal")),IF(AND(Projektgrundlagen!$I$26,'HB-D2 Besondere Lstg Bund'!M167=TRUE),(IF('HB-D2 Besondere Lstg Bund'!H167&gt;0,"v.H.","pauschal")),""))</f>
        <v/>
      </c>
      <c r="E213" s="1129" t="str">
        <f>IF(AND(Projektgrundlagen!$I$25,'HB-D1 Besondere Lstg Land'!M213=TRUE),'HB-D1 Besondere Lstg Land'!H213+'HB-D1 Besondere Lstg Land'!J213,IF(AND(Projektgrundlagen!$I$26,'HB-D2 Besondere Lstg Bund'!M167=TRUE),'HB-D2 Besondere Lstg Bund'!H167+'HB-D2 Besondere Lstg Bund'!J167,""))</f>
        <v/>
      </c>
      <c r="F213" s="1129" t="str">
        <f>IF(AND(Projektgrundlagen!$I$25,'HB-D1 Besondere Lstg Land'!M213=TRUE),'HB-D1 Besondere Lstg Land'!K213,IF(AND(Projektgrundlagen!$I$26,'HB-D2 Besondere Lstg Bund'!M167=TRUE),'HB-D2 Besondere Lstg Bund'!K167,""))</f>
        <v/>
      </c>
      <c r="G213" s="1134"/>
      <c r="H213" s="1135"/>
    </row>
    <row r="214" spans="2:8" ht="15">
      <c r="B214" t="str">
        <f>IF(AND(Projektgrundlagen!$I$25,'HB-D1 Besondere Lstg Land'!M214=TRUE),'HB-D1 Besondere Lstg Land'!C214&amp;" "&amp;'HB-D1 Besondere Lstg Land'!F214&amp;" "&amp;'HB-D1 Besondere Lstg Land'!F215,IF(AND(Projektgrundlagen!$I$26,'HB-D2 Besondere Lstg Bund'!M168=TRUE),'HB-D2 Besondere Lstg Bund'!C168&amp;" "&amp;'HB-D2 Besondere Lstg Bund'!F168&amp;" "&amp;'HB-D2 Besondere Lstg Bund'!F169,""))</f>
        <v/>
      </c>
      <c r="C214" s="1129"/>
      <c r="D214" s="1129" t="str">
        <f>IF(AND(Projektgrundlagen!$I$25,'HB-D1 Besondere Lstg Land'!M214=TRUE),(IF('HB-D1 Besondere Lstg Land'!H214&gt;0,"v.H.","pauschal")),IF(AND(Projektgrundlagen!$I$26,'HB-D2 Besondere Lstg Bund'!M168=TRUE),(IF('HB-D2 Besondere Lstg Bund'!H168&gt;0,"v.H.","pauschal")),""))</f>
        <v/>
      </c>
      <c r="E214" s="1129" t="str">
        <f>IF(AND(Projektgrundlagen!$I$25,'HB-D1 Besondere Lstg Land'!M214=TRUE),'HB-D1 Besondere Lstg Land'!H214+'HB-D1 Besondere Lstg Land'!J214,IF(AND(Projektgrundlagen!$I$26,'HB-D2 Besondere Lstg Bund'!M168=TRUE),'HB-D2 Besondere Lstg Bund'!H168+'HB-D2 Besondere Lstg Bund'!J168,""))</f>
        <v/>
      </c>
      <c r="F214" s="1129" t="str">
        <f>IF(AND(Projektgrundlagen!$I$25,'HB-D1 Besondere Lstg Land'!M214=TRUE),'HB-D1 Besondere Lstg Land'!K214,IF(AND(Projektgrundlagen!$I$26,'HB-D2 Besondere Lstg Bund'!M168=TRUE),'HB-D2 Besondere Lstg Bund'!K168,""))</f>
        <v/>
      </c>
      <c r="G214" s="1134"/>
      <c r="H214" s="1135"/>
    </row>
    <row r="215" spans="2:8" ht="15">
      <c r="B215" t="str">
        <f>IF(AND(Projektgrundlagen!$I$25,'HB-D1 Besondere Lstg Land'!M215=TRUE),'HB-D1 Besondere Lstg Land'!C215&amp;" "&amp;'HB-D1 Besondere Lstg Land'!F215&amp;" "&amp;'HB-D1 Besondere Lstg Land'!F216,IF(AND(Projektgrundlagen!$I$26,'HB-D2 Besondere Lstg Bund'!M169=TRUE),'HB-D2 Besondere Lstg Bund'!C169&amp;" "&amp;'HB-D2 Besondere Lstg Bund'!F169&amp;" "&amp;'HB-D2 Besondere Lstg Bund'!F170,""))</f>
        <v/>
      </c>
      <c r="C215" s="1129"/>
      <c r="D215" s="1129" t="str">
        <f>IF(AND(Projektgrundlagen!$I$25,'HB-D1 Besondere Lstg Land'!M215=TRUE),(IF('HB-D1 Besondere Lstg Land'!H215&gt;0,"v.H.","pauschal")),IF(AND(Projektgrundlagen!$I$26,'HB-D2 Besondere Lstg Bund'!M169=TRUE),(IF('HB-D2 Besondere Lstg Bund'!H169&gt;0,"v.H.","pauschal")),""))</f>
        <v/>
      </c>
      <c r="E215" s="1129" t="str">
        <f>IF(AND(Projektgrundlagen!$I$25,'HB-D1 Besondere Lstg Land'!M215=TRUE),'HB-D1 Besondere Lstg Land'!H215+'HB-D1 Besondere Lstg Land'!J215,IF(AND(Projektgrundlagen!$I$26,'HB-D2 Besondere Lstg Bund'!M169=TRUE),'HB-D2 Besondere Lstg Bund'!H169+'HB-D2 Besondere Lstg Bund'!J169,""))</f>
        <v/>
      </c>
      <c r="F215" s="1129" t="str">
        <f>IF(AND(Projektgrundlagen!$I$25,'HB-D1 Besondere Lstg Land'!M215=TRUE),'HB-D1 Besondere Lstg Land'!K215,IF(AND(Projektgrundlagen!$I$26,'HB-D2 Besondere Lstg Bund'!M169=TRUE),'HB-D2 Besondere Lstg Bund'!K169,""))</f>
        <v/>
      </c>
      <c r="G215" s="1134"/>
      <c r="H215" s="1135"/>
    </row>
    <row r="216" spans="2:8" ht="15">
      <c r="B216" t="str">
        <f>IF(AND(Projektgrundlagen!$I$25,'HB-D1 Besondere Lstg Land'!M216=TRUE),'HB-D1 Besondere Lstg Land'!C216&amp;" "&amp;'HB-D1 Besondere Lstg Land'!F216&amp;" "&amp;'HB-D1 Besondere Lstg Land'!F217,IF(AND(Projektgrundlagen!$I$26,'HB-D2 Besondere Lstg Bund'!M170=TRUE),'HB-D2 Besondere Lstg Bund'!C170&amp;" "&amp;'HB-D2 Besondere Lstg Bund'!F170&amp;" "&amp;'HB-D2 Besondere Lstg Bund'!F171,""))</f>
        <v/>
      </c>
      <c r="C216" s="1129"/>
      <c r="D216" s="1129" t="str">
        <f>IF(AND(Projektgrundlagen!$I$25,'HB-D1 Besondere Lstg Land'!M216=TRUE),(IF('HB-D1 Besondere Lstg Land'!H216&gt;0,"v.H.","pauschal")),IF(AND(Projektgrundlagen!$I$26,'HB-D2 Besondere Lstg Bund'!M170=TRUE),(IF('HB-D2 Besondere Lstg Bund'!H170&gt;0,"v.H.","pauschal")),""))</f>
        <v/>
      </c>
      <c r="E216" s="1129" t="str">
        <f>IF(AND(Projektgrundlagen!$I$25,'HB-D1 Besondere Lstg Land'!M216=TRUE),'HB-D1 Besondere Lstg Land'!H216+'HB-D1 Besondere Lstg Land'!J216,IF(AND(Projektgrundlagen!$I$26,'HB-D2 Besondere Lstg Bund'!M170=TRUE),'HB-D2 Besondere Lstg Bund'!H170+'HB-D2 Besondere Lstg Bund'!J170,""))</f>
        <v/>
      </c>
      <c r="F216" s="1129" t="str">
        <f>IF(AND(Projektgrundlagen!$I$25,'HB-D1 Besondere Lstg Land'!M216=TRUE),'HB-D1 Besondere Lstg Land'!K216,IF(AND(Projektgrundlagen!$I$26,'HB-D2 Besondere Lstg Bund'!M170=TRUE),'HB-D2 Besondere Lstg Bund'!K170,""))</f>
        <v/>
      </c>
      <c r="G216" s="1134"/>
      <c r="H216" s="1135"/>
    </row>
    <row r="217" spans="2:8" ht="15">
      <c r="B217" t="str">
        <f>IF(AND(Projektgrundlagen!$I$25,'HB-D1 Besondere Lstg Land'!M217=TRUE),'HB-D1 Besondere Lstg Land'!C217&amp;" "&amp;'HB-D1 Besondere Lstg Land'!F217&amp;" "&amp;'HB-D1 Besondere Lstg Land'!F218,IF(AND(Projektgrundlagen!$I$26,'HB-D2 Besondere Lstg Bund'!M171=TRUE),'HB-D2 Besondere Lstg Bund'!C171&amp;" "&amp;'HB-D2 Besondere Lstg Bund'!F171&amp;" "&amp;'HB-D2 Besondere Lstg Bund'!F172,""))</f>
        <v/>
      </c>
      <c r="C217" s="1129"/>
      <c r="D217" s="1129" t="str">
        <f>IF(AND(Projektgrundlagen!$I$25,'HB-D1 Besondere Lstg Land'!M217=TRUE),(IF('HB-D1 Besondere Lstg Land'!H217&gt;0,"v.H.","pauschal")),IF(AND(Projektgrundlagen!$I$26,'HB-D2 Besondere Lstg Bund'!M171=TRUE),(IF('HB-D2 Besondere Lstg Bund'!H171&gt;0,"v.H.","pauschal")),""))</f>
        <v/>
      </c>
      <c r="E217" s="1129" t="str">
        <f>IF(AND(Projektgrundlagen!$I$25,'HB-D1 Besondere Lstg Land'!M217=TRUE),'HB-D1 Besondere Lstg Land'!H217+'HB-D1 Besondere Lstg Land'!J217,IF(AND(Projektgrundlagen!$I$26,'HB-D2 Besondere Lstg Bund'!M171=TRUE),'HB-D2 Besondere Lstg Bund'!H171+'HB-D2 Besondere Lstg Bund'!J171,""))</f>
        <v/>
      </c>
      <c r="F217" s="1129" t="str">
        <f>IF(AND(Projektgrundlagen!$I$25,'HB-D1 Besondere Lstg Land'!M217=TRUE),'HB-D1 Besondere Lstg Land'!K217,IF(AND(Projektgrundlagen!$I$26,'HB-D2 Besondere Lstg Bund'!M171=TRUE),'HB-D2 Besondere Lstg Bund'!K171,""))</f>
        <v/>
      </c>
      <c r="G217" s="1134"/>
      <c r="H217" s="1135"/>
    </row>
    <row r="218" spans="2:8" ht="15">
      <c r="B218" t="str">
        <f>IF(AND(Projektgrundlagen!$I$25,'HB-D1 Besondere Lstg Land'!M218=TRUE),'HB-D1 Besondere Lstg Land'!C218&amp;" "&amp;'HB-D1 Besondere Lstg Land'!F218&amp;" "&amp;'HB-D1 Besondere Lstg Land'!F219,IF(AND(Projektgrundlagen!$I$26,'HB-D2 Besondere Lstg Bund'!M172=TRUE),'HB-D2 Besondere Lstg Bund'!C172&amp;" "&amp;'HB-D2 Besondere Lstg Bund'!F172&amp;" "&amp;'HB-D2 Besondere Lstg Bund'!F173,""))</f>
        <v/>
      </c>
      <c r="C218" s="1129"/>
      <c r="D218" s="1129" t="str">
        <f>IF(AND(Projektgrundlagen!$I$25,'HB-D1 Besondere Lstg Land'!M218=TRUE),(IF('HB-D1 Besondere Lstg Land'!H218&gt;0,"v.H.","pauschal")),IF(AND(Projektgrundlagen!$I$26,'HB-D2 Besondere Lstg Bund'!M172=TRUE),(IF('HB-D2 Besondere Lstg Bund'!H172&gt;0,"v.H.","pauschal")),""))</f>
        <v/>
      </c>
      <c r="E218" s="1129" t="str">
        <f>IF(AND(Projektgrundlagen!$I$25,'HB-D1 Besondere Lstg Land'!M218=TRUE),'HB-D1 Besondere Lstg Land'!H218+'HB-D1 Besondere Lstg Land'!J218,IF(AND(Projektgrundlagen!$I$26,'HB-D2 Besondere Lstg Bund'!M172=TRUE),'HB-D2 Besondere Lstg Bund'!H172+'HB-D2 Besondere Lstg Bund'!J172,""))</f>
        <v/>
      </c>
      <c r="F218" s="1129" t="str">
        <f>IF(AND(Projektgrundlagen!$I$25,'HB-D1 Besondere Lstg Land'!M218=TRUE),'HB-D1 Besondere Lstg Land'!K218,IF(AND(Projektgrundlagen!$I$26,'HB-D2 Besondere Lstg Bund'!M172=TRUE),'HB-D2 Besondere Lstg Bund'!K172,""))</f>
        <v/>
      </c>
      <c r="G218" s="1134"/>
      <c r="H218" s="1135"/>
    </row>
    <row r="219" spans="2:8" ht="15">
      <c r="B219" t="str">
        <f>IF(AND(Projektgrundlagen!$I$25,'HB-D1 Besondere Lstg Land'!M219=TRUE),'HB-D1 Besondere Lstg Land'!C219&amp;" "&amp;'HB-D1 Besondere Lstg Land'!F219&amp;" "&amp;'HB-D1 Besondere Lstg Land'!F220,IF(AND(Projektgrundlagen!$I$26,'HB-D2 Besondere Lstg Bund'!M173=TRUE),'HB-D2 Besondere Lstg Bund'!C173&amp;" "&amp;'HB-D2 Besondere Lstg Bund'!F173&amp;" "&amp;'HB-D2 Besondere Lstg Bund'!F174,""))</f>
        <v/>
      </c>
      <c r="C219" s="1129"/>
      <c r="D219" s="1129" t="str">
        <f>IF(AND(Projektgrundlagen!$I$25,'HB-D1 Besondere Lstg Land'!M219=TRUE),(IF('HB-D1 Besondere Lstg Land'!H219&gt;0,"v.H.","pauschal")),IF(AND(Projektgrundlagen!$I$26,'HB-D2 Besondere Lstg Bund'!M173=TRUE),(IF('HB-D2 Besondere Lstg Bund'!H173&gt;0,"v.H.","pauschal")),""))</f>
        <v/>
      </c>
      <c r="E219" s="1129" t="str">
        <f>IF(AND(Projektgrundlagen!$I$25,'HB-D1 Besondere Lstg Land'!M219=TRUE),'HB-D1 Besondere Lstg Land'!H219+'HB-D1 Besondere Lstg Land'!J219,IF(AND(Projektgrundlagen!$I$26,'HB-D2 Besondere Lstg Bund'!M173=TRUE),'HB-D2 Besondere Lstg Bund'!H173+'HB-D2 Besondere Lstg Bund'!J173,""))</f>
        <v/>
      </c>
      <c r="F219" s="1129" t="str">
        <f>IF(AND(Projektgrundlagen!$I$25,'HB-D1 Besondere Lstg Land'!M219=TRUE),'HB-D1 Besondere Lstg Land'!K219,IF(AND(Projektgrundlagen!$I$26,'HB-D2 Besondere Lstg Bund'!M173=TRUE),'HB-D2 Besondere Lstg Bund'!K173,""))</f>
        <v/>
      </c>
      <c r="G219" s="1134"/>
      <c r="H219" s="1135"/>
    </row>
    <row r="220" spans="2:8" ht="15">
      <c r="B220" t="str">
        <f>IF(AND(Projektgrundlagen!$I$25,'HB-D1 Besondere Lstg Land'!M220=TRUE),'HB-D1 Besondere Lstg Land'!C220&amp;" "&amp;'HB-D1 Besondere Lstg Land'!F220&amp;" "&amp;'HB-D1 Besondere Lstg Land'!F221,IF(AND(Projektgrundlagen!$I$26,'HB-D2 Besondere Lstg Bund'!M174=TRUE),'HB-D2 Besondere Lstg Bund'!C174&amp;" "&amp;'HB-D2 Besondere Lstg Bund'!F174&amp;" "&amp;'HB-D2 Besondere Lstg Bund'!F175,""))</f>
        <v/>
      </c>
      <c r="C220" s="1129"/>
      <c r="D220" s="1129" t="str">
        <f>IF(AND(Projektgrundlagen!$I$25,'HB-D1 Besondere Lstg Land'!M220=TRUE),(IF('HB-D1 Besondere Lstg Land'!H220&gt;0,"v.H.","pauschal")),IF(AND(Projektgrundlagen!$I$26,'HB-D2 Besondere Lstg Bund'!M174=TRUE),(IF('HB-D2 Besondere Lstg Bund'!H174&gt;0,"v.H.","pauschal")),""))</f>
        <v/>
      </c>
      <c r="E220" s="1129" t="str">
        <f>IF(AND(Projektgrundlagen!$I$25,'HB-D1 Besondere Lstg Land'!M220=TRUE),'HB-D1 Besondere Lstg Land'!H220+'HB-D1 Besondere Lstg Land'!J220,IF(AND(Projektgrundlagen!$I$26,'HB-D2 Besondere Lstg Bund'!M174=TRUE),'HB-D2 Besondere Lstg Bund'!H174+'HB-D2 Besondere Lstg Bund'!J174,""))</f>
        <v/>
      </c>
      <c r="F220" s="1129" t="str">
        <f>IF(AND(Projektgrundlagen!$I$25,'HB-D1 Besondere Lstg Land'!M220=TRUE),'HB-D1 Besondere Lstg Land'!K220,IF(AND(Projektgrundlagen!$I$26,'HB-D2 Besondere Lstg Bund'!M174=TRUE),'HB-D2 Besondere Lstg Bund'!K174,""))</f>
        <v/>
      </c>
      <c r="G220" s="1134"/>
      <c r="H220" s="1135"/>
    </row>
    <row r="221" spans="2:8" ht="15">
      <c r="B221" t="str">
        <f>IF(AND(Projektgrundlagen!$I$25,'HB-D1 Besondere Lstg Land'!M221=TRUE),'HB-D1 Besondere Lstg Land'!C221&amp;" "&amp;'HB-D1 Besondere Lstg Land'!F221&amp;" "&amp;'HB-D1 Besondere Lstg Land'!F222,IF(AND(Projektgrundlagen!$I$26,'HB-D2 Besondere Lstg Bund'!M175=TRUE),'HB-D2 Besondere Lstg Bund'!C175&amp;" "&amp;'HB-D2 Besondere Lstg Bund'!F175&amp;" "&amp;'HB-D2 Besondere Lstg Bund'!F176,""))</f>
        <v/>
      </c>
      <c r="C221" s="1129"/>
      <c r="D221" s="1129" t="str">
        <f>IF(AND(Projektgrundlagen!$I$25,'HB-D1 Besondere Lstg Land'!M221=TRUE),(IF('HB-D1 Besondere Lstg Land'!H221&gt;0,"v.H.","pauschal")),IF(AND(Projektgrundlagen!$I$26,'HB-D2 Besondere Lstg Bund'!M175=TRUE),(IF('HB-D2 Besondere Lstg Bund'!H175&gt;0,"v.H.","pauschal")),""))</f>
        <v/>
      </c>
      <c r="E221" s="1129" t="str">
        <f>IF(AND(Projektgrundlagen!$I$25,'HB-D1 Besondere Lstg Land'!M221=TRUE),'HB-D1 Besondere Lstg Land'!H221+'HB-D1 Besondere Lstg Land'!J221,IF(AND(Projektgrundlagen!$I$26,'HB-D2 Besondere Lstg Bund'!M175=TRUE),'HB-D2 Besondere Lstg Bund'!H175+'HB-D2 Besondere Lstg Bund'!J175,""))</f>
        <v/>
      </c>
      <c r="F221" s="1129" t="str">
        <f>IF(AND(Projektgrundlagen!$I$25,'HB-D1 Besondere Lstg Land'!M221=TRUE),'HB-D1 Besondere Lstg Land'!K221,IF(AND(Projektgrundlagen!$I$26,'HB-D2 Besondere Lstg Bund'!M175=TRUE),'HB-D2 Besondere Lstg Bund'!K175,""))</f>
        <v/>
      </c>
      <c r="G221" s="1134"/>
      <c r="H221" s="1135"/>
    </row>
    <row r="222" spans="2:8" ht="15">
      <c r="B222" t="str">
        <f>IF(AND(Projektgrundlagen!$I$25,'HB-D1 Besondere Lstg Land'!M222=TRUE),'HB-D1 Besondere Lstg Land'!C222&amp;" "&amp;'HB-D1 Besondere Lstg Land'!F222&amp;" "&amp;'HB-D1 Besondere Lstg Land'!F223,IF(AND(Projektgrundlagen!$I$26,'HB-D2 Besondere Lstg Bund'!M176=TRUE),'HB-D2 Besondere Lstg Bund'!C176&amp;" "&amp;'HB-D2 Besondere Lstg Bund'!F176&amp;" "&amp;'HB-D2 Besondere Lstg Bund'!F177,""))</f>
        <v/>
      </c>
      <c r="C222" s="1129"/>
      <c r="D222" s="1129" t="str">
        <f>IF(AND(Projektgrundlagen!$I$25,'HB-D1 Besondere Lstg Land'!M222=TRUE),(IF('HB-D1 Besondere Lstg Land'!H222&gt;0,"v.H.","pauschal")),IF(AND(Projektgrundlagen!$I$26,'HB-D2 Besondere Lstg Bund'!M176=TRUE),(IF('HB-D2 Besondere Lstg Bund'!H176&gt;0,"v.H.","pauschal")),""))</f>
        <v/>
      </c>
      <c r="E222" s="1129" t="str">
        <f>IF(AND(Projektgrundlagen!$I$25,'HB-D1 Besondere Lstg Land'!M222=TRUE),'HB-D1 Besondere Lstg Land'!H222+'HB-D1 Besondere Lstg Land'!J222,IF(AND(Projektgrundlagen!$I$26,'HB-D2 Besondere Lstg Bund'!M176=TRUE),'HB-D2 Besondere Lstg Bund'!H176+'HB-D2 Besondere Lstg Bund'!J176,""))</f>
        <v/>
      </c>
      <c r="F222" s="1129" t="str">
        <f>IF(AND(Projektgrundlagen!$I$25,'HB-D1 Besondere Lstg Land'!M222=TRUE),'HB-D1 Besondere Lstg Land'!K222,IF(AND(Projektgrundlagen!$I$26,'HB-D2 Besondere Lstg Bund'!M176=TRUE),'HB-D2 Besondere Lstg Bund'!K176,""))</f>
        <v/>
      </c>
      <c r="G222" s="1134"/>
      <c r="H222" s="1135"/>
    </row>
    <row r="223" spans="2:8" ht="15">
      <c r="B223" t="str">
        <f>IF(AND(Projektgrundlagen!$I$25,'HB-D1 Besondere Lstg Land'!M223=TRUE),'HB-D1 Besondere Lstg Land'!C223&amp;" "&amp;'HB-D1 Besondere Lstg Land'!F223&amp;" "&amp;'HB-D1 Besondere Lstg Land'!F224,IF(AND(Projektgrundlagen!$I$26,'HB-D2 Besondere Lstg Bund'!M177=TRUE),'HB-D2 Besondere Lstg Bund'!C177&amp;" "&amp;'HB-D2 Besondere Lstg Bund'!F177&amp;" "&amp;'HB-D2 Besondere Lstg Bund'!F178,""))</f>
        <v/>
      </c>
      <c r="C223" s="1129"/>
      <c r="D223" s="1129" t="str">
        <f>IF(AND(Projektgrundlagen!$I$25,'HB-D1 Besondere Lstg Land'!M223=TRUE),(IF('HB-D1 Besondere Lstg Land'!H223&gt;0,"v.H.","pauschal")),IF(AND(Projektgrundlagen!$I$26,'HB-D2 Besondere Lstg Bund'!M177=TRUE),(IF('HB-D2 Besondere Lstg Bund'!H177&gt;0,"v.H.","pauschal")),""))</f>
        <v/>
      </c>
      <c r="E223" s="1129" t="str">
        <f>IF(AND(Projektgrundlagen!$I$25,'HB-D1 Besondere Lstg Land'!M223=TRUE),'HB-D1 Besondere Lstg Land'!H223+'HB-D1 Besondere Lstg Land'!J223,IF(AND(Projektgrundlagen!$I$26,'HB-D2 Besondere Lstg Bund'!M177=TRUE),'HB-D2 Besondere Lstg Bund'!H177+'HB-D2 Besondere Lstg Bund'!J177,""))</f>
        <v/>
      </c>
      <c r="F223" s="1129" t="str">
        <f>IF(AND(Projektgrundlagen!$I$25,'HB-D1 Besondere Lstg Land'!M223=TRUE),'HB-D1 Besondere Lstg Land'!K223,IF(AND(Projektgrundlagen!$I$26,'HB-D2 Besondere Lstg Bund'!M177=TRUE),'HB-D2 Besondere Lstg Bund'!K177,""))</f>
        <v/>
      </c>
      <c r="G223" s="1134"/>
      <c r="H223" s="1135"/>
    </row>
    <row r="224" spans="2:8" ht="15">
      <c r="B224" t="str">
        <f>IF(AND(Projektgrundlagen!$I$25,'HB-D1 Besondere Lstg Land'!M224=TRUE),'HB-D1 Besondere Lstg Land'!C224&amp;" "&amp;'HB-D1 Besondere Lstg Land'!F224&amp;" "&amp;'HB-D1 Besondere Lstg Land'!F225,IF(AND(Projektgrundlagen!$I$26,'HB-D2 Besondere Lstg Bund'!M178=TRUE),'HB-D2 Besondere Lstg Bund'!C178&amp;" "&amp;'HB-D2 Besondere Lstg Bund'!F178&amp;" "&amp;'HB-D2 Besondere Lstg Bund'!F179,""))</f>
        <v/>
      </c>
      <c r="C224" s="1129"/>
      <c r="D224" s="1129" t="str">
        <f>IF(AND(Projektgrundlagen!$I$25,'HB-D1 Besondere Lstg Land'!M224=TRUE),(IF('HB-D1 Besondere Lstg Land'!H224&gt;0,"v.H.","pauschal")),IF(AND(Projektgrundlagen!$I$26,'HB-D2 Besondere Lstg Bund'!M178=TRUE),(IF('HB-D2 Besondere Lstg Bund'!H178&gt;0,"v.H.","pauschal")),""))</f>
        <v/>
      </c>
      <c r="E224" s="1129" t="str">
        <f>IF(AND(Projektgrundlagen!$I$25,'HB-D1 Besondere Lstg Land'!M224=TRUE),'HB-D1 Besondere Lstg Land'!H224+'HB-D1 Besondere Lstg Land'!J224,IF(AND(Projektgrundlagen!$I$26,'HB-D2 Besondere Lstg Bund'!M178=TRUE),'HB-D2 Besondere Lstg Bund'!H178+'HB-D2 Besondere Lstg Bund'!J178,""))</f>
        <v/>
      </c>
      <c r="F224" s="1129" t="str">
        <f>IF(AND(Projektgrundlagen!$I$25,'HB-D1 Besondere Lstg Land'!M224=TRUE),'HB-D1 Besondere Lstg Land'!K224,IF(AND(Projektgrundlagen!$I$26,'HB-D2 Besondere Lstg Bund'!M178=TRUE),'HB-D2 Besondere Lstg Bund'!K178,""))</f>
        <v/>
      </c>
      <c r="G224" s="1134"/>
      <c r="H224" s="1135"/>
    </row>
    <row r="225" spans="2:8" ht="15">
      <c r="B225" t="str">
        <f>IF(AND(Projektgrundlagen!$I$25,'HB-D1 Besondere Lstg Land'!M225=TRUE),'HB-D1 Besondere Lstg Land'!C225&amp;" "&amp;'HB-D1 Besondere Lstg Land'!F225&amp;" "&amp;'HB-D1 Besondere Lstg Land'!F226,IF(AND(Projektgrundlagen!$I$26,'HB-D2 Besondere Lstg Bund'!M179=TRUE),'HB-D2 Besondere Lstg Bund'!C179&amp;" "&amp;'HB-D2 Besondere Lstg Bund'!F179&amp;" "&amp;'HB-D2 Besondere Lstg Bund'!F180,""))</f>
        <v/>
      </c>
      <c r="C225" s="1129"/>
      <c r="D225" s="1129" t="str">
        <f>IF(AND(Projektgrundlagen!$I$25,'HB-D1 Besondere Lstg Land'!M225=TRUE),(IF('HB-D1 Besondere Lstg Land'!H225&gt;0,"v.H.","pauschal")),IF(AND(Projektgrundlagen!$I$26,'HB-D2 Besondere Lstg Bund'!M179=TRUE),(IF('HB-D2 Besondere Lstg Bund'!H179&gt;0,"v.H.","pauschal")),""))</f>
        <v/>
      </c>
      <c r="E225" s="1129" t="str">
        <f>IF(AND(Projektgrundlagen!$I$25,'HB-D1 Besondere Lstg Land'!M225=TRUE),'HB-D1 Besondere Lstg Land'!H225+'HB-D1 Besondere Lstg Land'!J225,IF(AND(Projektgrundlagen!$I$26,'HB-D2 Besondere Lstg Bund'!M179=TRUE),'HB-D2 Besondere Lstg Bund'!H179+'HB-D2 Besondere Lstg Bund'!J179,""))</f>
        <v/>
      </c>
      <c r="F225" s="1129" t="str">
        <f>IF(AND(Projektgrundlagen!$I$25,'HB-D1 Besondere Lstg Land'!M225=TRUE),'HB-D1 Besondere Lstg Land'!K225,IF(AND(Projektgrundlagen!$I$26,'HB-D2 Besondere Lstg Bund'!M179=TRUE),'HB-D2 Besondere Lstg Bund'!K179,""))</f>
        <v/>
      </c>
      <c r="G225" s="1134"/>
      <c r="H225" s="1135"/>
    </row>
    <row r="226" spans="2:8" ht="15">
      <c r="B226" t="str">
        <f>IF(AND(Projektgrundlagen!$I$25,'HB-D1 Besondere Lstg Land'!M226=TRUE),'HB-D1 Besondere Lstg Land'!C226&amp;" "&amp;'HB-D1 Besondere Lstg Land'!F226&amp;" "&amp;'HB-D1 Besondere Lstg Land'!F227,IF(AND(Projektgrundlagen!$I$26,'HB-D2 Besondere Lstg Bund'!M180=TRUE),'HB-D2 Besondere Lstg Bund'!C180&amp;" "&amp;'HB-D2 Besondere Lstg Bund'!F180&amp;" "&amp;'HB-D2 Besondere Lstg Bund'!F181,""))</f>
        <v/>
      </c>
      <c r="C226" s="1129"/>
      <c r="D226" s="1129" t="str">
        <f>IF(AND(Projektgrundlagen!$I$25,'HB-D1 Besondere Lstg Land'!M226=TRUE),(IF('HB-D1 Besondere Lstg Land'!H226&gt;0,"v.H.","pauschal")),IF(AND(Projektgrundlagen!$I$26,'HB-D2 Besondere Lstg Bund'!M180=TRUE),(IF('HB-D2 Besondere Lstg Bund'!H180&gt;0,"v.H.","pauschal")),""))</f>
        <v/>
      </c>
      <c r="E226" s="1129" t="str">
        <f>IF(AND(Projektgrundlagen!$I$25,'HB-D1 Besondere Lstg Land'!M226=TRUE),'HB-D1 Besondere Lstg Land'!H226+'HB-D1 Besondere Lstg Land'!J226,IF(AND(Projektgrundlagen!$I$26,'HB-D2 Besondere Lstg Bund'!M180=TRUE),'HB-D2 Besondere Lstg Bund'!H180+'HB-D2 Besondere Lstg Bund'!J180,""))</f>
        <v/>
      </c>
      <c r="F226" s="1129" t="str">
        <f>IF(AND(Projektgrundlagen!$I$25,'HB-D1 Besondere Lstg Land'!M226=TRUE),'HB-D1 Besondere Lstg Land'!K226,IF(AND(Projektgrundlagen!$I$26,'HB-D2 Besondere Lstg Bund'!M180=TRUE),'HB-D2 Besondere Lstg Bund'!K180,""))</f>
        <v/>
      </c>
      <c r="G226" s="1134"/>
      <c r="H226" s="1135"/>
    </row>
    <row r="227" spans="2:8" ht="15">
      <c r="B227" t="str">
        <f>IF(AND(Projektgrundlagen!$I$25,'HB-D1 Besondere Lstg Land'!M227=TRUE),'HB-D1 Besondere Lstg Land'!C227&amp;" "&amp;'HB-D1 Besondere Lstg Land'!F227&amp;" "&amp;'HB-D1 Besondere Lstg Land'!F228,IF(AND(Projektgrundlagen!$I$26,'HB-D2 Besondere Lstg Bund'!M181=TRUE),'HB-D2 Besondere Lstg Bund'!C181&amp;" "&amp;'HB-D2 Besondere Lstg Bund'!F181&amp;" "&amp;'HB-D2 Besondere Lstg Bund'!F182,""))</f>
        <v/>
      </c>
      <c r="C227" s="1129"/>
      <c r="D227" s="1129" t="str">
        <f>IF(AND(Projektgrundlagen!$I$25,'HB-D1 Besondere Lstg Land'!M227=TRUE),(IF('HB-D1 Besondere Lstg Land'!H227&gt;0,"v.H.","pauschal")),IF(AND(Projektgrundlagen!$I$26,'HB-D2 Besondere Lstg Bund'!M181=TRUE),(IF('HB-D2 Besondere Lstg Bund'!H181&gt;0,"v.H.","pauschal")),""))</f>
        <v/>
      </c>
      <c r="E227" s="1129" t="str">
        <f>IF(AND(Projektgrundlagen!$I$25,'HB-D1 Besondere Lstg Land'!M227=TRUE),'HB-D1 Besondere Lstg Land'!H227+'HB-D1 Besondere Lstg Land'!J227,IF(AND(Projektgrundlagen!$I$26,'HB-D2 Besondere Lstg Bund'!M181=TRUE),'HB-D2 Besondere Lstg Bund'!H181+'HB-D2 Besondere Lstg Bund'!J181,""))</f>
        <v/>
      </c>
      <c r="F227" s="1129" t="str">
        <f>IF(AND(Projektgrundlagen!$I$25,'HB-D1 Besondere Lstg Land'!M227=TRUE),'HB-D1 Besondere Lstg Land'!K227,IF(AND(Projektgrundlagen!$I$26,'HB-D2 Besondere Lstg Bund'!M181=TRUE),'HB-D2 Besondere Lstg Bund'!K181,""))</f>
        <v/>
      </c>
      <c r="G227" s="1134"/>
      <c r="H227" s="1135"/>
    </row>
    <row r="228" spans="2:8" ht="15">
      <c r="B228" t="str">
        <f>IF(AND(Projektgrundlagen!$I$25,'HB-D1 Besondere Lstg Land'!M228=TRUE),'HB-D1 Besondere Lstg Land'!C228&amp;" "&amp;'HB-D1 Besondere Lstg Land'!F228&amp;" "&amp;'HB-D1 Besondere Lstg Land'!F229,IF(AND(Projektgrundlagen!$I$26,'HB-D2 Besondere Lstg Bund'!M182=TRUE),'HB-D2 Besondere Lstg Bund'!C182&amp;" "&amp;'HB-D2 Besondere Lstg Bund'!F182&amp;" "&amp;'HB-D2 Besondere Lstg Bund'!F183,""))</f>
        <v/>
      </c>
      <c r="C228" s="1129"/>
      <c r="D228" s="1129" t="str">
        <f>IF(AND(Projektgrundlagen!$I$25,'HB-D1 Besondere Lstg Land'!M228=TRUE),(IF('HB-D1 Besondere Lstg Land'!H228&gt;0,"v.H.","pauschal")),IF(AND(Projektgrundlagen!$I$26,'HB-D2 Besondere Lstg Bund'!M182=TRUE),(IF('HB-D2 Besondere Lstg Bund'!H182&gt;0,"v.H.","pauschal")),""))</f>
        <v/>
      </c>
      <c r="E228" s="1129" t="str">
        <f>IF(AND(Projektgrundlagen!$I$25,'HB-D1 Besondere Lstg Land'!M228=TRUE),'HB-D1 Besondere Lstg Land'!H228+'HB-D1 Besondere Lstg Land'!J228,IF(AND(Projektgrundlagen!$I$26,'HB-D2 Besondere Lstg Bund'!M182=TRUE),'HB-D2 Besondere Lstg Bund'!H182+'HB-D2 Besondere Lstg Bund'!J182,""))</f>
        <v/>
      </c>
      <c r="F228" s="1129" t="str">
        <f>IF(AND(Projektgrundlagen!$I$25,'HB-D1 Besondere Lstg Land'!M228=TRUE),'HB-D1 Besondere Lstg Land'!K228,IF(AND(Projektgrundlagen!$I$26,'HB-D2 Besondere Lstg Bund'!M182=TRUE),'HB-D2 Besondere Lstg Bund'!K182,""))</f>
        <v/>
      </c>
      <c r="G228" s="1134"/>
      <c r="H228" s="1135"/>
    </row>
    <row r="229" spans="2:8" ht="15">
      <c r="B229" t="str">
        <f>IF(AND(Projektgrundlagen!$I$25,'HB-D1 Besondere Lstg Land'!M229=TRUE),'HB-D1 Besondere Lstg Land'!C229&amp;" "&amp;'HB-D1 Besondere Lstg Land'!F229&amp;" "&amp;'HB-D1 Besondere Lstg Land'!F230,IF(AND(Projektgrundlagen!$I$26,'HB-D2 Besondere Lstg Bund'!M183=TRUE),'HB-D2 Besondere Lstg Bund'!C183&amp;" "&amp;'HB-D2 Besondere Lstg Bund'!F183&amp;" "&amp;'HB-D2 Besondere Lstg Bund'!F184,""))</f>
        <v/>
      </c>
      <c r="C229" s="1129"/>
      <c r="D229" s="1129" t="str">
        <f>IF(AND(Projektgrundlagen!$I$25,'HB-D1 Besondere Lstg Land'!M229=TRUE),(IF('HB-D1 Besondere Lstg Land'!H229&gt;0,"v.H.","pauschal")),IF(AND(Projektgrundlagen!$I$26,'HB-D2 Besondere Lstg Bund'!M183=TRUE),(IF('HB-D2 Besondere Lstg Bund'!H183&gt;0,"v.H.","pauschal")),""))</f>
        <v/>
      </c>
      <c r="E229" s="1129" t="str">
        <f>IF(AND(Projektgrundlagen!$I$25,'HB-D1 Besondere Lstg Land'!M229=TRUE),'HB-D1 Besondere Lstg Land'!H229+'HB-D1 Besondere Lstg Land'!J229,IF(AND(Projektgrundlagen!$I$26,'HB-D2 Besondere Lstg Bund'!M183=TRUE),'HB-D2 Besondere Lstg Bund'!H183+'HB-D2 Besondere Lstg Bund'!J183,""))</f>
        <v/>
      </c>
      <c r="F229" s="1129" t="str">
        <f>IF(AND(Projektgrundlagen!$I$25,'HB-D1 Besondere Lstg Land'!M229=TRUE),'HB-D1 Besondere Lstg Land'!K229,IF(AND(Projektgrundlagen!$I$26,'HB-D2 Besondere Lstg Bund'!M183=TRUE),'HB-D2 Besondere Lstg Bund'!K183,""))</f>
        <v/>
      </c>
      <c r="G229" s="1134"/>
      <c r="H229" s="1135"/>
    </row>
    <row r="230" spans="2:8" ht="15">
      <c r="B230" t="str">
        <f>IF(AND(Projektgrundlagen!$I$25,'HB-D1 Besondere Lstg Land'!M230=TRUE),'HB-D1 Besondere Lstg Land'!C230&amp;" "&amp;'HB-D1 Besondere Lstg Land'!F230&amp;" "&amp;'HB-D1 Besondere Lstg Land'!F231,IF(AND(Projektgrundlagen!$I$26,'HB-D2 Besondere Lstg Bund'!M184=TRUE),'HB-D2 Besondere Lstg Bund'!C184&amp;" "&amp;'HB-D2 Besondere Lstg Bund'!F184&amp;" "&amp;'HB-D2 Besondere Lstg Bund'!F185,""))</f>
        <v/>
      </c>
      <c r="C230" s="1129"/>
      <c r="D230" s="1129" t="str">
        <f>IF(AND(Projektgrundlagen!$I$25,'HB-D1 Besondere Lstg Land'!M230=TRUE),(IF('HB-D1 Besondere Lstg Land'!H230&gt;0,"v.H.","pauschal")),IF(AND(Projektgrundlagen!$I$26,'HB-D2 Besondere Lstg Bund'!M184=TRUE),(IF('HB-D2 Besondere Lstg Bund'!H184&gt;0,"v.H.","pauschal")),""))</f>
        <v/>
      </c>
      <c r="E230" s="1129" t="str">
        <f>IF(AND(Projektgrundlagen!$I$25,'HB-D1 Besondere Lstg Land'!M230=TRUE),'HB-D1 Besondere Lstg Land'!H230+'HB-D1 Besondere Lstg Land'!J230,IF(AND(Projektgrundlagen!$I$26,'HB-D2 Besondere Lstg Bund'!M184=TRUE),'HB-D2 Besondere Lstg Bund'!H184+'HB-D2 Besondere Lstg Bund'!J184,""))</f>
        <v/>
      </c>
      <c r="F230" s="1129" t="str">
        <f>IF(AND(Projektgrundlagen!$I$25,'HB-D1 Besondere Lstg Land'!M230=TRUE),'HB-D1 Besondere Lstg Land'!K230,IF(AND(Projektgrundlagen!$I$26,'HB-D2 Besondere Lstg Bund'!M184=TRUE),'HB-D2 Besondere Lstg Bund'!K184,""))</f>
        <v/>
      </c>
      <c r="G230" s="1134"/>
      <c r="H230" s="1135"/>
    </row>
    <row r="231" spans="2:8" ht="15">
      <c r="B231" t="str">
        <f>IF(AND(Projektgrundlagen!$I$25,'HB-D1 Besondere Lstg Land'!M231=TRUE),'HB-D1 Besondere Lstg Land'!C231&amp;" "&amp;'HB-D1 Besondere Lstg Land'!F231&amp;" "&amp;'HB-D1 Besondere Lstg Land'!F232,IF(AND(Projektgrundlagen!$I$26,'HB-D2 Besondere Lstg Bund'!M185=TRUE),'HB-D2 Besondere Lstg Bund'!C185&amp;" "&amp;'HB-D2 Besondere Lstg Bund'!F185&amp;" "&amp;'HB-D2 Besondere Lstg Bund'!F186,""))</f>
        <v/>
      </c>
      <c r="C231" s="1129"/>
      <c r="D231" s="1129" t="str">
        <f>IF(AND(Projektgrundlagen!$I$25,'HB-D1 Besondere Lstg Land'!M231=TRUE),(IF('HB-D1 Besondere Lstg Land'!H231&gt;0,"v.H.","pauschal")),IF(AND(Projektgrundlagen!$I$26,'HB-D2 Besondere Lstg Bund'!M185=TRUE),(IF('HB-D2 Besondere Lstg Bund'!H185&gt;0,"v.H.","pauschal")),""))</f>
        <v/>
      </c>
      <c r="E231" s="1129" t="str">
        <f>IF(AND(Projektgrundlagen!$I$25,'HB-D1 Besondere Lstg Land'!M231=TRUE),'HB-D1 Besondere Lstg Land'!H231+'HB-D1 Besondere Lstg Land'!J231,IF(AND(Projektgrundlagen!$I$26,'HB-D2 Besondere Lstg Bund'!M185=TRUE),'HB-D2 Besondere Lstg Bund'!H185+'HB-D2 Besondere Lstg Bund'!J185,""))</f>
        <v/>
      </c>
      <c r="F231" s="1129" t="str">
        <f>IF(AND(Projektgrundlagen!$I$25,'HB-D1 Besondere Lstg Land'!M231=TRUE),'HB-D1 Besondere Lstg Land'!K231,IF(AND(Projektgrundlagen!$I$26,'HB-D2 Besondere Lstg Bund'!M185=TRUE),'HB-D2 Besondere Lstg Bund'!K185,""))</f>
        <v/>
      </c>
      <c r="G231" s="1134"/>
      <c r="H231" s="1135"/>
    </row>
    <row r="232" spans="2:8" ht="15">
      <c r="B232" t="str">
        <f>IF(AND(Projektgrundlagen!$I$25,'HB-D1 Besondere Lstg Land'!M232=TRUE),'HB-D1 Besondere Lstg Land'!C232&amp;" "&amp;'HB-D1 Besondere Lstg Land'!F232&amp;" "&amp;'HB-D1 Besondere Lstg Land'!F233,IF(AND(Projektgrundlagen!$I$26,'HB-D2 Besondere Lstg Bund'!M186=TRUE),'HB-D2 Besondere Lstg Bund'!C186&amp;" "&amp;'HB-D2 Besondere Lstg Bund'!F186&amp;" "&amp;'HB-D2 Besondere Lstg Bund'!F187,""))</f>
        <v/>
      </c>
      <c r="C232" s="1129"/>
      <c r="D232" s="1129" t="str">
        <f>IF(AND(Projektgrundlagen!$I$25,'HB-D1 Besondere Lstg Land'!M232=TRUE),(IF('HB-D1 Besondere Lstg Land'!H232&gt;0,"v.H.","pauschal")),IF(AND(Projektgrundlagen!$I$26,'HB-D2 Besondere Lstg Bund'!M186=TRUE),(IF('HB-D2 Besondere Lstg Bund'!H186&gt;0,"v.H.","pauschal")),""))</f>
        <v/>
      </c>
      <c r="E232" s="1129" t="str">
        <f>IF(AND(Projektgrundlagen!$I$25,'HB-D1 Besondere Lstg Land'!M232=TRUE),'HB-D1 Besondere Lstg Land'!H232+'HB-D1 Besondere Lstg Land'!J232,IF(AND(Projektgrundlagen!$I$26,'HB-D2 Besondere Lstg Bund'!M186=TRUE),'HB-D2 Besondere Lstg Bund'!H186+'HB-D2 Besondere Lstg Bund'!J186,""))</f>
        <v/>
      </c>
      <c r="F232" s="1129" t="str">
        <f>IF(AND(Projektgrundlagen!$I$25,'HB-D1 Besondere Lstg Land'!M232=TRUE),'HB-D1 Besondere Lstg Land'!K232,IF(AND(Projektgrundlagen!$I$26,'HB-D2 Besondere Lstg Bund'!M186=TRUE),'HB-D2 Besondere Lstg Bund'!K186,""))</f>
        <v/>
      </c>
      <c r="G232" s="1134"/>
      <c r="H232" s="1135"/>
    </row>
    <row r="233" spans="2:8" ht="15">
      <c r="B233" t="str">
        <f>IF(AND(Projektgrundlagen!$I$25,'HB-D1 Besondere Lstg Land'!M233=TRUE),'HB-D1 Besondere Lstg Land'!C233&amp;" "&amp;'HB-D1 Besondere Lstg Land'!F233&amp;" "&amp;'HB-D1 Besondere Lstg Land'!F234,IF(AND(Projektgrundlagen!$I$26,'HB-D2 Besondere Lstg Bund'!M187=TRUE),'HB-D2 Besondere Lstg Bund'!C187&amp;" "&amp;'HB-D2 Besondere Lstg Bund'!F187&amp;" "&amp;'HB-D2 Besondere Lstg Bund'!F188,""))</f>
        <v/>
      </c>
      <c r="C233" s="1129"/>
      <c r="D233" s="1129" t="str">
        <f>IF(AND(Projektgrundlagen!$I$25,'HB-D1 Besondere Lstg Land'!M233=TRUE),(IF('HB-D1 Besondere Lstg Land'!H233&gt;0,"v.H.","pauschal")),IF(AND(Projektgrundlagen!$I$26,'HB-D2 Besondere Lstg Bund'!M187=TRUE),(IF('HB-D2 Besondere Lstg Bund'!H187&gt;0,"v.H.","pauschal")),""))</f>
        <v/>
      </c>
      <c r="E233" s="1129" t="str">
        <f>IF(AND(Projektgrundlagen!$I$25,'HB-D1 Besondere Lstg Land'!M233=TRUE),'HB-D1 Besondere Lstg Land'!H233+'HB-D1 Besondere Lstg Land'!J233,IF(AND(Projektgrundlagen!$I$26,'HB-D2 Besondere Lstg Bund'!M187=TRUE),'HB-D2 Besondere Lstg Bund'!H187+'HB-D2 Besondere Lstg Bund'!J187,""))</f>
        <v/>
      </c>
      <c r="F233" s="1129" t="str">
        <f>IF(AND(Projektgrundlagen!$I$25,'HB-D1 Besondere Lstg Land'!M233=TRUE),'HB-D1 Besondere Lstg Land'!K233,IF(AND(Projektgrundlagen!$I$26,'HB-D2 Besondere Lstg Bund'!M187=TRUE),'HB-D2 Besondere Lstg Bund'!K187,""))</f>
        <v/>
      </c>
      <c r="G233" s="1134"/>
      <c r="H233" s="1135"/>
    </row>
    <row r="234" spans="2:8" ht="15">
      <c r="B234" t="str">
        <f>IF(AND(Projektgrundlagen!$I$25,'HB-D1 Besondere Lstg Land'!M234=TRUE),'HB-D1 Besondere Lstg Land'!C234&amp;" "&amp;'HB-D1 Besondere Lstg Land'!F234&amp;" "&amp;'HB-D1 Besondere Lstg Land'!F235,IF(AND(Projektgrundlagen!$I$26,'HB-D2 Besondere Lstg Bund'!M188=TRUE),'HB-D2 Besondere Lstg Bund'!C188&amp;" "&amp;'HB-D2 Besondere Lstg Bund'!F188&amp;" "&amp;'HB-D2 Besondere Lstg Bund'!F189,""))</f>
        <v/>
      </c>
      <c r="C234" s="1129"/>
      <c r="D234" s="1129" t="str">
        <f>IF(AND(Projektgrundlagen!$I$25,'HB-D1 Besondere Lstg Land'!M234=TRUE),(IF('HB-D1 Besondere Lstg Land'!H234&gt;0,"v.H.","pauschal")),IF(AND(Projektgrundlagen!$I$26,'HB-D2 Besondere Lstg Bund'!M188=TRUE),(IF('HB-D2 Besondere Lstg Bund'!H188&gt;0,"v.H.","pauschal")),""))</f>
        <v/>
      </c>
      <c r="E234" s="1129" t="str">
        <f>IF(AND(Projektgrundlagen!$I$25,'HB-D1 Besondere Lstg Land'!M234=TRUE),'HB-D1 Besondere Lstg Land'!H234+'HB-D1 Besondere Lstg Land'!J234,IF(AND(Projektgrundlagen!$I$26,'HB-D2 Besondere Lstg Bund'!M188=TRUE),'HB-D2 Besondere Lstg Bund'!H188+'HB-D2 Besondere Lstg Bund'!J188,""))</f>
        <v/>
      </c>
      <c r="F234" s="1129" t="str">
        <f>IF(AND(Projektgrundlagen!$I$25,'HB-D1 Besondere Lstg Land'!M234=TRUE),'HB-D1 Besondere Lstg Land'!K234,IF(AND(Projektgrundlagen!$I$26,'HB-D2 Besondere Lstg Bund'!M188=TRUE),'HB-D2 Besondere Lstg Bund'!K188,""))</f>
        <v/>
      </c>
      <c r="G234" s="1134"/>
      <c r="H234" s="1135"/>
    </row>
    <row r="235" spans="2:8" ht="15">
      <c r="B235" t="str">
        <f>IF(AND(Projektgrundlagen!$I$25,'HB-D1 Besondere Lstg Land'!M235=TRUE),'HB-D1 Besondere Lstg Land'!C235&amp;" "&amp;'HB-D1 Besondere Lstg Land'!F235&amp;" "&amp;'HB-D1 Besondere Lstg Land'!F236,IF(AND(Projektgrundlagen!$I$26,'HB-D2 Besondere Lstg Bund'!M189=TRUE),'HB-D2 Besondere Lstg Bund'!C189&amp;" "&amp;'HB-D2 Besondere Lstg Bund'!F189&amp;" "&amp;'HB-D2 Besondere Lstg Bund'!F190,""))</f>
        <v/>
      </c>
      <c r="C235" s="1129"/>
      <c r="D235" s="1129" t="str">
        <f>IF(AND(Projektgrundlagen!$I$25,'HB-D1 Besondere Lstg Land'!M235=TRUE),(IF('HB-D1 Besondere Lstg Land'!H235&gt;0,"v.H.","pauschal")),IF(AND(Projektgrundlagen!$I$26,'HB-D2 Besondere Lstg Bund'!M189=TRUE),(IF('HB-D2 Besondere Lstg Bund'!H189&gt;0,"v.H.","pauschal")),""))</f>
        <v/>
      </c>
      <c r="E235" s="1129" t="str">
        <f>IF(AND(Projektgrundlagen!$I$25,'HB-D1 Besondere Lstg Land'!M235=TRUE),'HB-D1 Besondere Lstg Land'!H235+'HB-D1 Besondere Lstg Land'!J235,IF(AND(Projektgrundlagen!$I$26,'HB-D2 Besondere Lstg Bund'!M189=TRUE),'HB-D2 Besondere Lstg Bund'!H189+'HB-D2 Besondere Lstg Bund'!J189,""))</f>
        <v/>
      </c>
      <c r="F235" s="1129" t="str">
        <f>IF(AND(Projektgrundlagen!$I$25,'HB-D1 Besondere Lstg Land'!M235=TRUE),'HB-D1 Besondere Lstg Land'!K235,IF(AND(Projektgrundlagen!$I$26,'HB-D2 Besondere Lstg Bund'!M189=TRUE),'HB-D2 Besondere Lstg Bund'!K189,""))</f>
        <v/>
      </c>
      <c r="G235" s="1134"/>
      <c r="H235" s="1135"/>
    </row>
    <row r="236" spans="2:8" ht="15">
      <c r="B236" t="str">
        <f>IF(AND(Projektgrundlagen!$I$25,'HB-D1 Besondere Lstg Land'!M236=TRUE),'HB-D1 Besondere Lstg Land'!C236&amp;" "&amp;'HB-D1 Besondere Lstg Land'!F236&amp;" "&amp;'HB-D1 Besondere Lstg Land'!F237,IF(AND(Projektgrundlagen!$I$26,'HB-D2 Besondere Lstg Bund'!M190=TRUE),'HB-D2 Besondere Lstg Bund'!C190&amp;" "&amp;'HB-D2 Besondere Lstg Bund'!F190&amp;" "&amp;'HB-D2 Besondere Lstg Bund'!F191,""))</f>
        <v/>
      </c>
      <c r="C236" s="1129"/>
      <c r="D236" s="1129" t="str">
        <f>IF(AND(Projektgrundlagen!$I$25,'HB-D1 Besondere Lstg Land'!M236=TRUE),(IF('HB-D1 Besondere Lstg Land'!H236&gt;0,"v.H.","pauschal")),IF(AND(Projektgrundlagen!$I$26,'HB-D2 Besondere Lstg Bund'!M190=TRUE),(IF('HB-D2 Besondere Lstg Bund'!H190&gt;0,"v.H.","pauschal")),""))</f>
        <v/>
      </c>
      <c r="E236" s="1129" t="str">
        <f>IF(AND(Projektgrundlagen!$I$25,'HB-D1 Besondere Lstg Land'!M236=TRUE),'HB-D1 Besondere Lstg Land'!H236+'HB-D1 Besondere Lstg Land'!J236,IF(AND(Projektgrundlagen!$I$26,'HB-D2 Besondere Lstg Bund'!M190=TRUE),'HB-D2 Besondere Lstg Bund'!H190+'HB-D2 Besondere Lstg Bund'!J190,""))</f>
        <v/>
      </c>
      <c r="F236" s="1129" t="str">
        <f>IF(AND(Projektgrundlagen!$I$25,'HB-D1 Besondere Lstg Land'!M236=TRUE),'HB-D1 Besondere Lstg Land'!K236,IF(AND(Projektgrundlagen!$I$26,'HB-D2 Besondere Lstg Bund'!M190=TRUE),'HB-D2 Besondere Lstg Bund'!K190,""))</f>
        <v/>
      </c>
      <c r="G236" s="1134"/>
      <c r="H236" s="1135"/>
    </row>
    <row r="237" spans="2:8" ht="15">
      <c r="B237" t="str">
        <f>IF(AND(Projektgrundlagen!$I$25,'HB-D1 Besondere Lstg Land'!M237=TRUE),'HB-D1 Besondere Lstg Land'!C237&amp;" "&amp;'HB-D1 Besondere Lstg Land'!F237&amp;" "&amp;'HB-D1 Besondere Lstg Land'!F238,IF(AND(Projektgrundlagen!$I$26,'HB-D2 Besondere Lstg Bund'!M191=TRUE),'HB-D2 Besondere Lstg Bund'!C191&amp;" "&amp;'HB-D2 Besondere Lstg Bund'!F191&amp;" "&amp;'HB-D2 Besondere Lstg Bund'!F192,""))</f>
        <v/>
      </c>
      <c r="C237" s="1129"/>
      <c r="D237" s="1129" t="str">
        <f>IF(AND(Projektgrundlagen!$I$25,'HB-D1 Besondere Lstg Land'!M237=TRUE),(IF('HB-D1 Besondere Lstg Land'!H237&gt;0,"v.H.","pauschal")),IF(AND(Projektgrundlagen!$I$26,'HB-D2 Besondere Lstg Bund'!M191=TRUE),(IF('HB-D2 Besondere Lstg Bund'!H191&gt;0,"v.H.","pauschal")),""))</f>
        <v/>
      </c>
      <c r="E237" s="1129" t="str">
        <f>IF(AND(Projektgrundlagen!$I$25,'HB-D1 Besondere Lstg Land'!M237=TRUE),'HB-D1 Besondere Lstg Land'!H237+'HB-D1 Besondere Lstg Land'!J237,IF(AND(Projektgrundlagen!$I$26,'HB-D2 Besondere Lstg Bund'!M191=TRUE),'HB-D2 Besondere Lstg Bund'!H191+'HB-D2 Besondere Lstg Bund'!J191,""))</f>
        <v/>
      </c>
      <c r="F237" s="1129" t="str">
        <f>IF(AND(Projektgrundlagen!$I$25,'HB-D1 Besondere Lstg Land'!M237=TRUE),'HB-D1 Besondere Lstg Land'!K237,IF(AND(Projektgrundlagen!$I$26,'HB-D2 Besondere Lstg Bund'!M191=TRUE),'HB-D2 Besondere Lstg Bund'!K191,""))</f>
        <v/>
      </c>
      <c r="G237" s="1134"/>
      <c r="H237" s="1135"/>
    </row>
    <row r="238" spans="2:8" ht="15">
      <c r="B238" t="str">
        <f>IF(AND(Projektgrundlagen!$I$25,'HB-D1 Besondere Lstg Land'!M238=TRUE),'HB-D1 Besondere Lstg Land'!C238&amp;" "&amp;'HB-D1 Besondere Lstg Land'!F238&amp;" "&amp;'HB-D1 Besondere Lstg Land'!F239,IF(AND(Projektgrundlagen!$I$26,'HB-D2 Besondere Lstg Bund'!M192=TRUE),'HB-D2 Besondere Lstg Bund'!C192&amp;" "&amp;'HB-D2 Besondere Lstg Bund'!F192&amp;" "&amp;'HB-D2 Besondere Lstg Bund'!F193,""))</f>
        <v/>
      </c>
      <c r="C238" s="1129"/>
      <c r="D238" s="1129" t="str">
        <f>IF(AND(Projektgrundlagen!$I$25,'HB-D1 Besondere Lstg Land'!M238=TRUE),(IF('HB-D1 Besondere Lstg Land'!H238&gt;0,"v.H.","pauschal")),IF(AND(Projektgrundlagen!$I$26,'HB-D2 Besondere Lstg Bund'!M192=TRUE),(IF('HB-D2 Besondere Lstg Bund'!H192&gt;0,"v.H.","pauschal")),""))</f>
        <v/>
      </c>
      <c r="E238" s="1129" t="str">
        <f>IF(AND(Projektgrundlagen!$I$25,'HB-D1 Besondere Lstg Land'!M238=TRUE),'HB-D1 Besondere Lstg Land'!H238+'HB-D1 Besondere Lstg Land'!J238,IF(AND(Projektgrundlagen!$I$26,'HB-D2 Besondere Lstg Bund'!M192=TRUE),'HB-D2 Besondere Lstg Bund'!H192+'HB-D2 Besondere Lstg Bund'!J192,""))</f>
        <v/>
      </c>
      <c r="F238" s="1129" t="str">
        <f>IF(AND(Projektgrundlagen!$I$25,'HB-D1 Besondere Lstg Land'!M238=TRUE),'HB-D1 Besondere Lstg Land'!K238,IF(AND(Projektgrundlagen!$I$26,'HB-D2 Besondere Lstg Bund'!M192=TRUE),'HB-D2 Besondere Lstg Bund'!K192,""))</f>
        <v/>
      </c>
      <c r="G238" s="1134"/>
      <c r="H238" s="1135"/>
    </row>
    <row r="239" spans="2:8" ht="15">
      <c r="B239" t="str">
        <f>IF(AND(Projektgrundlagen!$I$25,'HB-D1 Besondere Lstg Land'!M239=TRUE),'HB-D1 Besondere Lstg Land'!C239&amp;" "&amp;'HB-D1 Besondere Lstg Land'!F239&amp;" "&amp;'HB-D1 Besondere Lstg Land'!F240,IF(AND(Projektgrundlagen!$I$26,'HB-D2 Besondere Lstg Bund'!M193=TRUE),'HB-D2 Besondere Lstg Bund'!C193&amp;" "&amp;'HB-D2 Besondere Lstg Bund'!F193&amp;" "&amp;'HB-D2 Besondere Lstg Bund'!F194,""))</f>
        <v/>
      </c>
      <c r="C239" s="1129"/>
      <c r="D239" s="1129" t="str">
        <f>IF(AND(Projektgrundlagen!$I$25,'HB-D1 Besondere Lstg Land'!M239=TRUE),(IF('HB-D1 Besondere Lstg Land'!H239&gt;0,"v.H.","pauschal")),IF(AND(Projektgrundlagen!$I$26,'HB-D2 Besondere Lstg Bund'!M193=TRUE),(IF('HB-D2 Besondere Lstg Bund'!H193&gt;0,"v.H.","pauschal")),""))</f>
        <v/>
      </c>
      <c r="E239" s="1129" t="str">
        <f>IF(AND(Projektgrundlagen!$I$25,'HB-D1 Besondere Lstg Land'!M239=TRUE),'HB-D1 Besondere Lstg Land'!H239+'HB-D1 Besondere Lstg Land'!J239,IF(AND(Projektgrundlagen!$I$26,'HB-D2 Besondere Lstg Bund'!M193=TRUE),'HB-D2 Besondere Lstg Bund'!H193+'HB-D2 Besondere Lstg Bund'!J193,""))</f>
        <v/>
      </c>
      <c r="F239" s="1129" t="str">
        <f>IF(AND(Projektgrundlagen!$I$25,'HB-D1 Besondere Lstg Land'!M239=TRUE),'HB-D1 Besondere Lstg Land'!K239,IF(AND(Projektgrundlagen!$I$26,'HB-D2 Besondere Lstg Bund'!M193=TRUE),'HB-D2 Besondere Lstg Bund'!K193,""))</f>
        <v/>
      </c>
      <c r="G239" s="1134"/>
      <c r="H239" s="1135"/>
    </row>
    <row r="240" spans="2:8" ht="15">
      <c r="B240" t="str">
        <f>IF(AND(Projektgrundlagen!$I$25,'HB-D1 Besondere Lstg Land'!M240=TRUE),'HB-D1 Besondere Lstg Land'!C240&amp;" "&amp;'HB-D1 Besondere Lstg Land'!F240&amp;" "&amp;'HB-D1 Besondere Lstg Land'!F241,IF(AND(Projektgrundlagen!$I$26,'HB-D2 Besondere Lstg Bund'!M194=TRUE),'HB-D2 Besondere Lstg Bund'!C194&amp;" "&amp;'HB-D2 Besondere Lstg Bund'!F194&amp;" "&amp;'HB-D2 Besondere Lstg Bund'!F195,""))</f>
        <v/>
      </c>
      <c r="C240" s="1129"/>
      <c r="D240" s="1129" t="str">
        <f>IF(AND(Projektgrundlagen!$I$25,'HB-D1 Besondere Lstg Land'!M240=TRUE),(IF('HB-D1 Besondere Lstg Land'!H240&gt;0,"v.H.","pauschal")),IF(AND(Projektgrundlagen!$I$26,'HB-D2 Besondere Lstg Bund'!M194=TRUE),(IF('HB-D2 Besondere Lstg Bund'!H194&gt;0,"v.H.","pauschal")),""))</f>
        <v/>
      </c>
      <c r="E240" s="1129" t="str">
        <f>IF(AND(Projektgrundlagen!$I$25,'HB-D1 Besondere Lstg Land'!M240=TRUE),'HB-D1 Besondere Lstg Land'!H240+'HB-D1 Besondere Lstg Land'!J240,IF(AND(Projektgrundlagen!$I$26,'HB-D2 Besondere Lstg Bund'!M194=TRUE),'HB-D2 Besondere Lstg Bund'!H194+'HB-D2 Besondere Lstg Bund'!J194,""))</f>
        <v/>
      </c>
      <c r="F240" s="1129" t="str">
        <f>IF(AND(Projektgrundlagen!$I$25,'HB-D1 Besondere Lstg Land'!M240=TRUE),'HB-D1 Besondere Lstg Land'!K240,IF(AND(Projektgrundlagen!$I$26,'HB-D2 Besondere Lstg Bund'!M194=TRUE),'HB-D2 Besondere Lstg Bund'!K194,""))</f>
        <v/>
      </c>
      <c r="G240" s="1134"/>
      <c r="H240" s="1135"/>
    </row>
    <row r="241" spans="2:8" ht="15">
      <c r="B241" t="str">
        <f>IF(AND(Projektgrundlagen!$I$25,'HB-D1 Besondere Lstg Land'!M241=TRUE),'HB-D1 Besondere Lstg Land'!C241&amp;" "&amp;'HB-D1 Besondere Lstg Land'!F241&amp;" "&amp;'HB-D1 Besondere Lstg Land'!F242,IF(AND(Projektgrundlagen!$I$26,'HB-D2 Besondere Lstg Bund'!M195=TRUE),'HB-D2 Besondere Lstg Bund'!C195&amp;" "&amp;'HB-D2 Besondere Lstg Bund'!F195&amp;" "&amp;'HB-D2 Besondere Lstg Bund'!F196,""))</f>
        <v/>
      </c>
      <c r="C241" s="1129"/>
      <c r="D241" s="1129" t="str">
        <f>IF(AND(Projektgrundlagen!$I$25,'HB-D1 Besondere Lstg Land'!M241=TRUE),(IF('HB-D1 Besondere Lstg Land'!H241&gt;0,"v.H.","pauschal")),IF(AND(Projektgrundlagen!$I$26,'HB-D2 Besondere Lstg Bund'!M195=TRUE),(IF('HB-D2 Besondere Lstg Bund'!H195&gt;0,"v.H.","pauschal")),""))</f>
        <v/>
      </c>
      <c r="E241" s="1129" t="str">
        <f>IF(AND(Projektgrundlagen!$I$25,'HB-D1 Besondere Lstg Land'!M241=TRUE),'HB-D1 Besondere Lstg Land'!H241+'HB-D1 Besondere Lstg Land'!J241,IF(AND(Projektgrundlagen!$I$26,'HB-D2 Besondere Lstg Bund'!M195=TRUE),'HB-D2 Besondere Lstg Bund'!H195+'HB-D2 Besondere Lstg Bund'!J195,""))</f>
        <v/>
      </c>
      <c r="F241" s="1129" t="str">
        <f>IF(AND(Projektgrundlagen!$I$25,'HB-D1 Besondere Lstg Land'!M241=TRUE),'HB-D1 Besondere Lstg Land'!K241,IF(AND(Projektgrundlagen!$I$26,'HB-D2 Besondere Lstg Bund'!M195=TRUE),'HB-D2 Besondere Lstg Bund'!K195,""))</f>
        <v/>
      </c>
      <c r="G241" s="1134"/>
      <c r="H241" s="1135"/>
    </row>
    <row r="242" spans="2:8" ht="15">
      <c r="B242" t="str">
        <f>IF(AND(Projektgrundlagen!$I$25,'HB-D1 Besondere Lstg Land'!M242=TRUE),'HB-D1 Besondere Lstg Land'!C242&amp;" "&amp;'HB-D1 Besondere Lstg Land'!F242&amp;" "&amp;'HB-D1 Besondere Lstg Land'!F243,IF(AND(Projektgrundlagen!$I$26,'HB-D2 Besondere Lstg Bund'!M196=TRUE),'HB-D2 Besondere Lstg Bund'!C196&amp;" "&amp;'HB-D2 Besondere Lstg Bund'!F196&amp;" "&amp;'HB-D2 Besondere Lstg Bund'!F197,""))</f>
        <v/>
      </c>
      <c r="C242" s="1129"/>
      <c r="D242" s="1129" t="str">
        <f>IF(AND(Projektgrundlagen!$I$25,'HB-D1 Besondere Lstg Land'!M242=TRUE),(IF('HB-D1 Besondere Lstg Land'!H242&gt;0,"v.H.","pauschal")),IF(AND(Projektgrundlagen!$I$26,'HB-D2 Besondere Lstg Bund'!M196=TRUE),(IF('HB-D2 Besondere Lstg Bund'!H196&gt;0,"v.H.","pauschal")),""))</f>
        <v/>
      </c>
      <c r="E242" s="1129" t="str">
        <f>IF(AND(Projektgrundlagen!$I$25,'HB-D1 Besondere Lstg Land'!M242=TRUE),'HB-D1 Besondere Lstg Land'!H242+'HB-D1 Besondere Lstg Land'!J242,IF(AND(Projektgrundlagen!$I$26,'HB-D2 Besondere Lstg Bund'!M196=TRUE),'HB-D2 Besondere Lstg Bund'!H196+'HB-D2 Besondere Lstg Bund'!J196,""))</f>
        <v/>
      </c>
      <c r="F242" s="1129" t="str">
        <f>IF(AND(Projektgrundlagen!$I$25,'HB-D1 Besondere Lstg Land'!M242=TRUE),'HB-D1 Besondere Lstg Land'!K242,IF(AND(Projektgrundlagen!$I$26,'HB-D2 Besondere Lstg Bund'!M196=TRUE),'HB-D2 Besondere Lstg Bund'!K196,""))</f>
        <v/>
      </c>
      <c r="G242" s="1134"/>
      <c r="H242" s="1135"/>
    </row>
    <row r="243" spans="2:8" ht="15">
      <c r="B243" t="str">
        <f>IF(AND(Projektgrundlagen!$I$25,'HB-D1 Besondere Lstg Land'!M243=TRUE),'HB-D1 Besondere Lstg Land'!C243&amp;" "&amp;'HB-D1 Besondere Lstg Land'!F243&amp;" "&amp;'HB-D1 Besondere Lstg Land'!F244,IF(AND(Projektgrundlagen!$I$26,'HB-D2 Besondere Lstg Bund'!M197=TRUE),'HB-D2 Besondere Lstg Bund'!C197&amp;" "&amp;'HB-D2 Besondere Lstg Bund'!F197&amp;" "&amp;'HB-D2 Besondere Lstg Bund'!F198,""))</f>
        <v/>
      </c>
      <c r="C243" s="1129"/>
      <c r="D243" s="1129" t="str">
        <f>IF(AND(Projektgrundlagen!$I$25,'HB-D1 Besondere Lstg Land'!M243=TRUE),(IF('HB-D1 Besondere Lstg Land'!H243&gt;0,"v.H.","pauschal")),IF(AND(Projektgrundlagen!$I$26,'HB-D2 Besondere Lstg Bund'!M197=TRUE),(IF('HB-D2 Besondere Lstg Bund'!H197&gt;0,"v.H.","pauschal")),""))</f>
        <v/>
      </c>
      <c r="E243" s="1129" t="str">
        <f>IF(AND(Projektgrundlagen!$I$25,'HB-D1 Besondere Lstg Land'!M243=TRUE),'HB-D1 Besondere Lstg Land'!H243+'HB-D1 Besondere Lstg Land'!J243,IF(AND(Projektgrundlagen!$I$26,'HB-D2 Besondere Lstg Bund'!M197=TRUE),'HB-D2 Besondere Lstg Bund'!H197+'HB-D2 Besondere Lstg Bund'!J197,""))</f>
        <v/>
      </c>
      <c r="F243" s="1129" t="str">
        <f>IF(AND(Projektgrundlagen!$I$25,'HB-D1 Besondere Lstg Land'!M243=TRUE),'HB-D1 Besondere Lstg Land'!K243,IF(AND(Projektgrundlagen!$I$26,'HB-D2 Besondere Lstg Bund'!M197=TRUE),'HB-D2 Besondere Lstg Bund'!K197,""))</f>
        <v/>
      </c>
      <c r="G243" s="1134"/>
      <c r="H243" s="1135"/>
    </row>
    <row r="244" spans="2:8" ht="15">
      <c r="B244" t="str">
        <f>IF(AND(Projektgrundlagen!$I$25,'HB-D1 Besondere Lstg Land'!M244=TRUE),'HB-D1 Besondere Lstg Land'!C244&amp;" "&amp;'HB-D1 Besondere Lstg Land'!F244&amp;" "&amp;'HB-D1 Besondere Lstg Land'!F245,IF(AND(Projektgrundlagen!$I$26,'HB-D2 Besondere Lstg Bund'!M198=TRUE),'HB-D2 Besondere Lstg Bund'!C198&amp;" "&amp;'HB-D2 Besondere Lstg Bund'!F198&amp;" "&amp;'HB-D2 Besondere Lstg Bund'!F199,""))</f>
        <v/>
      </c>
      <c r="C244" s="1129"/>
      <c r="D244" s="1129" t="str">
        <f>IF(AND(Projektgrundlagen!$I$25,'HB-D1 Besondere Lstg Land'!M244=TRUE),(IF('HB-D1 Besondere Lstg Land'!H244&gt;0,"v.H.","pauschal")),IF(AND(Projektgrundlagen!$I$26,'HB-D2 Besondere Lstg Bund'!M198=TRUE),(IF('HB-D2 Besondere Lstg Bund'!H198&gt;0,"v.H.","pauschal")),""))</f>
        <v/>
      </c>
      <c r="E244" s="1129" t="str">
        <f>IF(AND(Projektgrundlagen!$I$25,'HB-D1 Besondere Lstg Land'!M244=TRUE),'HB-D1 Besondere Lstg Land'!H244+'HB-D1 Besondere Lstg Land'!J244,IF(AND(Projektgrundlagen!$I$26,'HB-D2 Besondere Lstg Bund'!M198=TRUE),'HB-D2 Besondere Lstg Bund'!H198+'HB-D2 Besondere Lstg Bund'!J198,""))</f>
        <v/>
      </c>
      <c r="F244" s="1129" t="str">
        <f>IF(AND(Projektgrundlagen!$I$25,'HB-D1 Besondere Lstg Land'!M244=TRUE),'HB-D1 Besondere Lstg Land'!K244,IF(AND(Projektgrundlagen!$I$26,'HB-D2 Besondere Lstg Bund'!M198=TRUE),'HB-D2 Besondere Lstg Bund'!K198,""))</f>
        <v/>
      </c>
      <c r="G244" s="1134"/>
      <c r="H244" s="1135"/>
    </row>
    <row r="245" spans="2:8" ht="15">
      <c r="B245" t="str">
        <f>IF(AND(Projektgrundlagen!$I$25,'HB-D1 Besondere Lstg Land'!M245=TRUE),'HB-D1 Besondere Lstg Land'!C245&amp;" "&amp;'HB-D1 Besondere Lstg Land'!F245&amp;" "&amp;'HB-D1 Besondere Lstg Land'!F246,IF(AND(Projektgrundlagen!$I$26,'HB-D2 Besondere Lstg Bund'!M199=TRUE),'HB-D2 Besondere Lstg Bund'!C199&amp;" "&amp;'HB-D2 Besondere Lstg Bund'!F199&amp;" "&amp;'HB-D2 Besondere Lstg Bund'!F200,""))</f>
        <v/>
      </c>
      <c r="C245" s="1129"/>
      <c r="D245" s="1129" t="str">
        <f>IF(AND(Projektgrundlagen!$I$25,'HB-D1 Besondere Lstg Land'!M245=TRUE),(IF('HB-D1 Besondere Lstg Land'!H245&gt;0,"v.H.","pauschal")),IF(AND(Projektgrundlagen!$I$26,'HB-D2 Besondere Lstg Bund'!M199=TRUE),(IF('HB-D2 Besondere Lstg Bund'!H199&gt;0,"v.H.","pauschal")),""))</f>
        <v/>
      </c>
      <c r="E245" s="1129" t="str">
        <f>IF(AND(Projektgrundlagen!$I$25,'HB-D1 Besondere Lstg Land'!M245=TRUE),'HB-D1 Besondere Lstg Land'!H245+'HB-D1 Besondere Lstg Land'!J245,IF(AND(Projektgrundlagen!$I$26,'HB-D2 Besondere Lstg Bund'!M199=TRUE),'HB-D2 Besondere Lstg Bund'!H199+'HB-D2 Besondere Lstg Bund'!J199,""))</f>
        <v/>
      </c>
      <c r="F245" s="1129" t="str">
        <f>IF(AND(Projektgrundlagen!$I$25,'HB-D1 Besondere Lstg Land'!M245=TRUE),'HB-D1 Besondere Lstg Land'!K245,IF(AND(Projektgrundlagen!$I$26,'HB-D2 Besondere Lstg Bund'!M199=TRUE),'HB-D2 Besondere Lstg Bund'!K199,""))</f>
        <v/>
      </c>
      <c r="G245" s="1134"/>
      <c r="H245" s="1135"/>
    </row>
    <row r="246" spans="2:8" ht="15">
      <c r="B246" t="str">
        <f>IF(AND(Projektgrundlagen!$I$25,'HB-D1 Besondere Lstg Land'!M246=TRUE),'HB-D1 Besondere Lstg Land'!C246&amp;" "&amp;'HB-D1 Besondere Lstg Land'!F246&amp;" "&amp;'HB-D1 Besondere Lstg Land'!F247,IF(AND(Projektgrundlagen!$I$26,'HB-D2 Besondere Lstg Bund'!M200=TRUE),'HB-D2 Besondere Lstg Bund'!C200&amp;" "&amp;'HB-D2 Besondere Lstg Bund'!F200&amp;" "&amp;'HB-D2 Besondere Lstg Bund'!F201,""))</f>
        <v/>
      </c>
      <c r="C246" s="1129"/>
      <c r="D246" s="1129" t="str">
        <f>IF(AND(Projektgrundlagen!$I$25,'HB-D1 Besondere Lstg Land'!M246=TRUE),(IF('HB-D1 Besondere Lstg Land'!H246&gt;0,"v.H.","pauschal")),IF(AND(Projektgrundlagen!$I$26,'HB-D2 Besondere Lstg Bund'!M200=TRUE),(IF('HB-D2 Besondere Lstg Bund'!H200&gt;0,"v.H.","pauschal")),""))</f>
        <v/>
      </c>
      <c r="E246" s="1129" t="str">
        <f>IF(AND(Projektgrundlagen!$I$25,'HB-D1 Besondere Lstg Land'!M246=TRUE),'HB-D1 Besondere Lstg Land'!H246+'HB-D1 Besondere Lstg Land'!J246,IF(AND(Projektgrundlagen!$I$26,'HB-D2 Besondere Lstg Bund'!M200=TRUE),'HB-D2 Besondere Lstg Bund'!H200+'HB-D2 Besondere Lstg Bund'!J200,""))</f>
        <v/>
      </c>
      <c r="F246" s="1129" t="str">
        <f>IF(AND(Projektgrundlagen!$I$25,'HB-D1 Besondere Lstg Land'!M246=TRUE),'HB-D1 Besondere Lstg Land'!K246,IF(AND(Projektgrundlagen!$I$26,'HB-D2 Besondere Lstg Bund'!M200=TRUE),'HB-D2 Besondere Lstg Bund'!K200,""))</f>
        <v/>
      </c>
      <c r="G246" s="1134"/>
      <c r="H246" s="1135"/>
    </row>
    <row r="247" spans="2:8" ht="15">
      <c r="B247" t="str">
        <f>IF(AND(Projektgrundlagen!$I$25,'HB-D1 Besondere Lstg Land'!M247=TRUE),'HB-D1 Besondere Lstg Land'!C247&amp;" "&amp;'HB-D1 Besondere Lstg Land'!F247&amp;" "&amp;'HB-D1 Besondere Lstg Land'!F248,IF(AND(Projektgrundlagen!$I$26,'HB-D2 Besondere Lstg Bund'!M201=TRUE),'HB-D2 Besondere Lstg Bund'!C201&amp;" "&amp;'HB-D2 Besondere Lstg Bund'!F201&amp;" "&amp;'HB-D2 Besondere Lstg Bund'!F202,""))</f>
        <v/>
      </c>
      <c r="C247" s="1129"/>
      <c r="D247" s="1129" t="str">
        <f>IF(AND(Projektgrundlagen!$I$25,'HB-D1 Besondere Lstg Land'!M247=TRUE),(IF('HB-D1 Besondere Lstg Land'!H247&gt;0,"v.H.","pauschal")),IF(AND(Projektgrundlagen!$I$26,'HB-D2 Besondere Lstg Bund'!M201=TRUE),(IF('HB-D2 Besondere Lstg Bund'!H201&gt;0,"v.H.","pauschal")),""))</f>
        <v/>
      </c>
      <c r="E247" s="1129" t="str">
        <f>IF(AND(Projektgrundlagen!$I$25,'HB-D1 Besondere Lstg Land'!M247=TRUE),'HB-D1 Besondere Lstg Land'!H247+'HB-D1 Besondere Lstg Land'!J247,IF(AND(Projektgrundlagen!$I$26,'HB-D2 Besondere Lstg Bund'!M201=TRUE),'HB-D2 Besondere Lstg Bund'!H201+'HB-D2 Besondere Lstg Bund'!J201,""))</f>
        <v/>
      </c>
      <c r="F247" s="1129" t="str">
        <f>IF(AND(Projektgrundlagen!$I$25,'HB-D1 Besondere Lstg Land'!M247=TRUE),'HB-D1 Besondere Lstg Land'!K247,IF(AND(Projektgrundlagen!$I$26,'HB-D2 Besondere Lstg Bund'!M201=TRUE),'HB-D2 Besondere Lstg Bund'!K201,""))</f>
        <v/>
      </c>
      <c r="G247" s="1134"/>
      <c r="H247" s="1135"/>
    </row>
    <row r="248" spans="2:8" ht="15">
      <c r="B248" t="str">
        <f>IF(AND(Projektgrundlagen!$I$25,'HB-D1 Besondere Lstg Land'!M248=TRUE),'HB-D1 Besondere Lstg Land'!C248&amp;" "&amp;'HB-D1 Besondere Lstg Land'!F248&amp;" "&amp;'HB-D1 Besondere Lstg Land'!F249,IF(AND(Projektgrundlagen!$I$26,'HB-D2 Besondere Lstg Bund'!M202=TRUE),'HB-D2 Besondere Lstg Bund'!C202&amp;" "&amp;'HB-D2 Besondere Lstg Bund'!F202&amp;" "&amp;'HB-D2 Besondere Lstg Bund'!F203,""))</f>
        <v/>
      </c>
      <c r="C248" s="1129"/>
      <c r="D248" s="1129" t="str">
        <f>IF(AND(Projektgrundlagen!$I$25,'HB-D1 Besondere Lstg Land'!M248=TRUE),(IF('HB-D1 Besondere Lstg Land'!H248&gt;0,"v.H.","pauschal")),IF(AND(Projektgrundlagen!$I$26,'HB-D2 Besondere Lstg Bund'!M202=TRUE),(IF('HB-D2 Besondere Lstg Bund'!H202&gt;0,"v.H.","pauschal")),""))</f>
        <v/>
      </c>
      <c r="E248" s="1129" t="str">
        <f>IF(AND(Projektgrundlagen!$I$25,'HB-D1 Besondere Lstg Land'!M248=TRUE),'HB-D1 Besondere Lstg Land'!H248+'HB-D1 Besondere Lstg Land'!J248,IF(AND(Projektgrundlagen!$I$26,'HB-D2 Besondere Lstg Bund'!M202=TRUE),'HB-D2 Besondere Lstg Bund'!H202+'HB-D2 Besondere Lstg Bund'!J202,""))</f>
        <v/>
      </c>
      <c r="F248" s="1129" t="str">
        <f>IF(AND(Projektgrundlagen!$I$25,'HB-D1 Besondere Lstg Land'!M248=TRUE),'HB-D1 Besondere Lstg Land'!K248,IF(AND(Projektgrundlagen!$I$26,'HB-D2 Besondere Lstg Bund'!M202=TRUE),'HB-D2 Besondere Lstg Bund'!K202,""))</f>
        <v/>
      </c>
      <c r="G248" s="1134"/>
      <c r="H248" s="1135"/>
    </row>
    <row r="249" spans="2:8" ht="15">
      <c r="B249" t="str">
        <f>IF(AND(Projektgrundlagen!$I$25,'HB-D1 Besondere Lstg Land'!M249=TRUE),'HB-D1 Besondere Lstg Land'!C249&amp;" "&amp;'HB-D1 Besondere Lstg Land'!F249&amp;" "&amp;'HB-D1 Besondere Lstg Land'!F250,IF(AND(Projektgrundlagen!$I$26,'HB-D2 Besondere Lstg Bund'!M203=TRUE),'HB-D2 Besondere Lstg Bund'!C203&amp;" "&amp;'HB-D2 Besondere Lstg Bund'!F203&amp;" "&amp;'HB-D2 Besondere Lstg Bund'!F204,""))</f>
        <v/>
      </c>
      <c r="C249" s="1129"/>
      <c r="D249" s="1129" t="str">
        <f>IF(AND(Projektgrundlagen!$I$25,'HB-D1 Besondere Lstg Land'!M249=TRUE),(IF('HB-D1 Besondere Lstg Land'!H249&gt;0,"v.H.","pauschal")),IF(AND(Projektgrundlagen!$I$26,'HB-D2 Besondere Lstg Bund'!M203=TRUE),(IF('HB-D2 Besondere Lstg Bund'!H203&gt;0,"v.H.","pauschal")),""))</f>
        <v/>
      </c>
      <c r="E249" s="1129" t="str">
        <f>IF(AND(Projektgrundlagen!$I$25,'HB-D1 Besondere Lstg Land'!M249=TRUE),'HB-D1 Besondere Lstg Land'!H249+'HB-D1 Besondere Lstg Land'!J249,IF(AND(Projektgrundlagen!$I$26,'HB-D2 Besondere Lstg Bund'!M203=TRUE),'HB-D2 Besondere Lstg Bund'!H203+'HB-D2 Besondere Lstg Bund'!J203,""))</f>
        <v/>
      </c>
      <c r="F249" s="1129" t="str">
        <f>IF(AND(Projektgrundlagen!$I$25,'HB-D1 Besondere Lstg Land'!M249=TRUE),'HB-D1 Besondere Lstg Land'!K249,IF(AND(Projektgrundlagen!$I$26,'HB-D2 Besondere Lstg Bund'!M203=TRUE),'HB-D2 Besondere Lstg Bund'!K203,""))</f>
        <v/>
      </c>
      <c r="G249" s="1134"/>
      <c r="H249" s="1135"/>
    </row>
    <row r="250" spans="2:8" ht="15">
      <c r="B250" t="str">
        <f>IF(AND(Projektgrundlagen!$I$25,'HB-D1 Besondere Lstg Land'!M250=TRUE),'HB-D1 Besondere Lstg Land'!C250&amp;" "&amp;'HB-D1 Besondere Lstg Land'!F250&amp;" "&amp;'HB-D1 Besondere Lstg Land'!F251,IF(AND(Projektgrundlagen!$I$26,'HB-D2 Besondere Lstg Bund'!M204=TRUE),'HB-D2 Besondere Lstg Bund'!C204&amp;" "&amp;'HB-D2 Besondere Lstg Bund'!F204&amp;" "&amp;'HB-D2 Besondere Lstg Bund'!F205,""))</f>
        <v/>
      </c>
      <c r="C250" s="1129"/>
      <c r="D250" s="1129" t="str">
        <f>IF(AND(Projektgrundlagen!$I$25,'HB-D1 Besondere Lstg Land'!M250=TRUE),(IF('HB-D1 Besondere Lstg Land'!H250&gt;0,"v.H.","pauschal")),IF(AND(Projektgrundlagen!$I$26,'HB-D2 Besondere Lstg Bund'!M204=TRUE),(IF('HB-D2 Besondere Lstg Bund'!H204&gt;0,"v.H.","pauschal")),""))</f>
        <v/>
      </c>
      <c r="E250" s="1129" t="str">
        <f>IF(AND(Projektgrundlagen!$I$25,'HB-D1 Besondere Lstg Land'!M250=TRUE),'HB-D1 Besondere Lstg Land'!H250+'HB-D1 Besondere Lstg Land'!J250,IF(AND(Projektgrundlagen!$I$26,'HB-D2 Besondere Lstg Bund'!M204=TRUE),'HB-D2 Besondere Lstg Bund'!H204+'HB-D2 Besondere Lstg Bund'!J204,""))</f>
        <v/>
      </c>
      <c r="F250" s="1129" t="str">
        <f>IF(AND(Projektgrundlagen!$I$25,'HB-D1 Besondere Lstg Land'!M250=TRUE),'HB-D1 Besondere Lstg Land'!K250,IF(AND(Projektgrundlagen!$I$26,'HB-D2 Besondere Lstg Bund'!M204=TRUE),'HB-D2 Besondere Lstg Bund'!K204,""))</f>
        <v/>
      </c>
      <c r="G250" s="1134"/>
      <c r="H250" s="1135"/>
    </row>
    <row r="251" spans="2:8" ht="15">
      <c r="C251" s="1129"/>
      <c r="D251" s="1134"/>
      <c r="E251" s="1135"/>
    </row>
    <row r="252" spans="2:8" ht="15">
      <c r="C252" s="1129"/>
      <c r="D252" s="1134"/>
      <c r="E252" s="1135"/>
    </row>
    <row r="253" spans="2:8" ht="15">
      <c r="C253" s="1129"/>
      <c r="D253" s="1134"/>
      <c r="E253" s="1135"/>
    </row>
    <row r="254" spans="2:8" ht="15">
      <c r="C254" s="1129"/>
      <c r="D254" s="1134"/>
      <c r="E254" s="1135"/>
    </row>
    <row r="255" spans="2:8" ht="15">
      <c r="C255" s="1129"/>
      <c r="D255" s="1134"/>
      <c r="E255" s="1135"/>
    </row>
    <row r="256" spans="2:8" ht="15">
      <c r="C256" s="1129"/>
      <c r="D256" s="1134"/>
    </row>
    <row r="257" spans="2:4" ht="15">
      <c r="C257" s="1129"/>
      <c r="D257" s="1134"/>
    </row>
    <row r="258" spans="2:4">
      <c r="C258" s="1129"/>
    </row>
    <row r="259" spans="2:4">
      <c r="C259" s="1129"/>
    </row>
    <row r="260" spans="2:4">
      <c r="C260" s="1129"/>
    </row>
    <row r="261" spans="2:4">
      <c r="C261" s="1129"/>
    </row>
    <row r="262" spans="2:4">
      <c r="B262" s="1133"/>
      <c r="C262" s="1129"/>
    </row>
    <row r="263" spans="2:4">
      <c r="B263" s="1133"/>
      <c r="C263" s="1129"/>
    </row>
    <row r="264" spans="2:4">
      <c r="B264" s="1133"/>
      <c r="C264" s="1129"/>
    </row>
    <row r="265" spans="2:4">
      <c r="B265" s="1133"/>
      <c r="C265" s="1129"/>
    </row>
    <row r="266" spans="2:4">
      <c r="B266" s="1133"/>
      <c r="C266" s="1129"/>
    </row>
    <row r="267" spans="2:4">
      <c r="B267" s="1133"/>
      <c r="C267" s="1129"/>
    </row>
    <row r="268" spans="2:4">
      <c r="C268" s="1129"/>
    </row>
    <row r="269" spans="2:4">
      <c r="C269" s="1129"/>
    </row>
    <row r="270" spans="2:4">
      <c r="C270" s="1129"/>
    </row>
    <row r="271" spans="2:4">
      <c r="C271" s="1129"/>
    </row>
  </sheetData>
  <sheetProtection sheet="1" objects="1" scenarios="1"/>
  <pageMargins left="0.7" right="0.7" top="0.78740157499999996" bottom="0.78740157499999996" header="0.3" footer="0.3"/>
  <pageSetup orientation="portrait" r:id="rId1"/>
  <ignoredErrors>
    <ignoredError sqref="D9:D49" calculatedColumn="1"/>
  </ignoredErrors>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theme="0" tint="-0.14999847407452621"/>
    <pageSetUpPr fitToPage="1"/>
  </sheetPr>
  <dimension ref="A1:L42"/>
  <sheetViews>
    <sheetView showGridLines="0" showRuler="0" zoomScale="115" zoomScaleNormal="115" zoomScaleSheetLayoutView="110" workbookViewId="0">
      <selection activeCell="D11" sqref="D11:E11"/>
    </sheetView>
  </sheetViews>
  <sheetFormatPr baseColWidth="10" defaultColWidth="0" defaultRowHeight="16.8" zeroHeight="1"/>
  <cols>
    <col min="1" max="1" width="5.6640625" style="468" customWidth="1"/>
    <col min="2" max="2" width="5.6640625" style="1" customWidth="1"/>
    <col min="3" max="3" width="3.33203125" style="1" customWidth="1"/>
    <col min="4" max="4" width="5.6640625" style="1" customWidth="1"/>
    <col min="5" max="5" width="47.88671875" style="1" customWidth="1"/>
    <col min="6" max="6" width="19.109375" style="1" customWidth="1"/>
    <col min="7" max="7" width="22.33203125" style="1" customWidth="1"/>
    <col min="8" max="8" width="2.6640625" style="1" customWidth="1"/>
    <col min="9" max="9" width="16" style="10" hidden="1" customWidth="1"/>
    <col min="10" max="12" width="0" style="1" hidden="1" customWidth="1"/>
    <col min="13" max="16384" width="11.33203125" style="1" hidden="1"/>
  </cols>
  <sheetData>
    <row r="1" spans="1:12"/>
    <row r="2" spans="1:12" ht="16.5" customHeight="1">
      <c r="B2" s="1515" t="str">
        <f>Projektgrundlagen!L20</f>
        <v xml:space="preserve">Objektplanung Gebäude </v>
      </c>
      <c r="C2" s="1515"/>
      <c r="D2" s="1515"/>
      <c r="E2" s="1516"/>
      <c r="F2" s="376" t="str">
        <f>IF(Projektgrundlagen!F2="","",Projektgrundlagen!F2)</f>
        <v>VII.10.4</v>
      </c>
      <c r="G2" s="395" t="s">
        <v>180</v>
      </c>
      <c r="H2" s="1518" t="s">
        <v>332</v>
      </c>
      <c r="I2" s="31" t="s">
        <v>59</v>
      </c>
      <c r="J2" s="154"/>
      <c r="L2" s="207" t="s">
        <v>169</v>
      </c>
    </row>
    <row r="3" spans="1:12" ht="16.5" customHeight="1">
      <c r="B3" s="1529" t="s">
        <v>89</v>
      </c>
      <c r="C3" s="1529"/>
      <c r="D3" s="1529"/>
      <c r="E3" s="1530"/>
      <c r="F3" s="383" t="str">
        <f>IF(Projektgrundlagen!F3="","",Projektgrundlagen!F3)</f>
        <v>Vertrags-Nr.:</v>
      </c>
      <c r="G3" s="1879" t="str">
        <f>IF(Projektgrundlagen!G3="","",Projektgrundlagen!G3)</f>
        <v>000.792.717</v>
      </c>
      <c r="H3" s="1518"/>
      <c r="I3" s="9"/>
      <c r="L3" s="1" t="str">
        <f ca="1">MID(CELL("dateiname",A2),FIND("]",CELL("dateiname",A2))+1,255)</f>
        <v>A anrechb Kosten</v>
      </c>
    </row>
    <row r="4" spans="1:12" ht="7.5" customHeight="1">
      <c r="B4" s="377"/>
      <c r="C4" s="377"/>
      <c r="D4" s="377"/>
      <c r="E4" s="372"/>
      <c r="F4" s="146"/>
      <c r="G4" s="146"/>
      <c r="H4" s="1518"/>
    </row>
    <row r="5" spans="1:12">
      <c r="B5" s="1541" t="str">
        <f>IF(Projektgrundlagen!B5="","",Projektgrundlagen!B5)</f>
        <v>Maßnahmennr:</v>
      </c>
      <c r="C5" s="1542" t="str">
        <f>IF(Projektgrundlagen!C5="","",Projektgrundlagen!C5)</f>
        <v/>
      </c>
      <c r="D5" s="1542" t="str">
        <f>IF(Projektgrundlagen!D5="","",Projektgrundlagen!D5)</f>
        <v/>
      </c>
      <c r="E5" s="367" t="str">
        <f>IF(Projektgrundlagen!E5="","",Projektgrundlagen!E5)</f>
        <v>B14HA150700001</v>
      </c>
      <c r="F5" s="378" t="str">
        <f>IF(Projektgrundlagen!F5="","",Projektgrundlagen!F5)</f>
        <v>Vergabe-Nr.:</v>
      </c>
      <c r="G5" s="1880" t="str">
        <f>IF(Projektgrundlagen!G5="","",Projektgrundlagen!G5)</f>
        <v>26-004187</v>
      </c>
      <c r="H5" s="1518"/>
      <c r="I5" s="9"/>
    </row>
    <row r="6" spans="1:12">
      <c r="B6" s="1553" t="str">
        <f>IF(Projektgrundlagen!B6="","",Projektgrundlagen!B6)</f>
        <v>Maßnahme:</v>
      </c>
      <c r="C6" s="1554" t="str">
        <f>IF(Projektgrundlagen!C6="","",Projektgrundlagen!C6)</f>
        <v/>
      </c>
      <c r="D6" s="1554" t="str">
        <f>IF(Projektgrundlagen!D6="","",Projektgrundlagen!D6)</f>
        <v/>
      </c>
      <c r="E6" s="1545" t="str">
        <f>IF(Projektgrundlagen!E6="","",Projektgrundlagen!E6)</f>
        <v>Neubau ASG TUM Campus Taufkirchen / Ottobrunn</v>
      </c>
      <c r="F6" s="1545"/>
      <c r="G6" s="1546"/>
      <c r="H6" s="1518"/>
    </row>
    <row r="7" spans="1:12">
      <c r="B7" s="1555"/>
      <c r="C7" s="1556"/>
      <c r="D7" s="1556"/>
      <c r="E7" s="1547" t="str">
        <f>IF(Projektgrundlagen!E7="","",Projektgrundlagen!E7)</f>
        <v/>
      </c>
      <c r="F7" s="1547"/>
      <c r="G7" s="1548"/>
      <c r="H7" s="1518"/>
    </row>
    <row r="8" spans="1:12">
      <c r="B8" s="1513" t="s">
        <v>121</v>
      </c>
      <c r="C8" s="1514"/>
      <c r="D8" s="1514"/>
      <c r="E8" s="1543" t="str">
        <f>IF(Projektgrundlagen!E8="","",Projektgrundlagen!E8)</f>
        <v/>
      </c>
      <c r="F8" s="1543"/>
      <c r="G8" s="1544"/>
      <c r="H8" s="1518"/>
    </row>
    <row r="9" spans="1:12">
      <c r="B9" s="353"/>
      <c r="C9" s="353"/>
      <c r="D9" s="353"/>
      <c r="E9" s="374"/>
      <c r="F9" s="374"/>
      <c r="G9" s="374"/>
    </row>
    <row r="10" spans="1:12" s="21" customFormat="1" ht="26.25" customHeight="1">
      <c r="A10" s="470"/>
      <c r="B10" s="480"/>
      <c r="C10" s="1549" t="s">
        <v>65</v>
      </c>
      <c r="D10" s="1549"/>
      <c r="E10" s="1549"/>
      <c r="F10" s="1549"/>
      <c r="G10" s="481"/>
      <c r="I10" s="32"/>
    </row>
    <row r="11" spans="1:12">
      <c r="A11" s="1071" t="str">
        <f>IF(AND(Projektgrundlagen!I14=FALSE,Projektgrundlagen!I13,COUNTIF($I$11:$I$13,TRUE)&lt;&gt;1),"è","")</f>
        <v/>
      </c>
      <c r="B11" s="1550" t="s">
        <v>1</v>
      </c>
      <c r="C11" s="482"/>
      <c r="D11" s="1524" t="s">
        <v>501</v>
      </c>
      <c r="E11" s="1525"/>
      <c r="F11" s="485"/>
      <c r="G11" s="485"/>
      <c r="I11" s="10" t="b">
        <v>0</v>
      </c>
    </row>
    <row r="12" spans="1:12">
      <c r="A12" s="1071" t="str">
        <f>IF(COUNTIF($I$11:$I$13,TRUE)&lt;&gt;1,"è","")</f>
        <v/>
      </c>
      <c r="B12" s="1551"/>
      <c r="C12" s="262"/>
      <c r="D12" s="1537" t="s">
        <v>11</v>
      </c>
      <c r="E12" s="1538"/>
      <c r="F12" s="487"/>
      <c r="G12" s="934" t="s">
        <v>90</v>
      </c>
      <c r="I12" s="10" t="b">
        <v>1</v>
      </c>
    </row>
    <row r="13" spans="1:12">
      <c r="A13" s="1071" t="str">
        <f>IF(COUNTIF($I$11:$I$13,TRUE)&lt;&gt;1,"è","")</f>
        <v/>
      </c>
      <c r="B13" s="1552"/>
      <c r="C13" s="262"/>
      <c r="D13" s="1539" t="s">
        <v>0</v>
      </c>
      <c r="E13" s="1540"/>
      <c r="F13" s="488"/>
      <c r="G13" s="486" t="s">
        <v>415</v>
      </c>
      <c r="I13" s="10" t="b">
        <v>0</v>
      </c>
    </row>
    <row r="14" spans="1:12" ht="7.5" customHeight="1">
      <c r="A14" s="1072"/>
      <c r="B14" s="387"/>
      <c r="C14" s="384"/>
      <c r="D14" s="384"/>
      <c r="E14" s="384"/>
      <c r="F14" s="385"/>
      <c r="G14" s="386"/>
      <c r="H14" s="12"/>
    </row>
    <row r="15" spans="1:12" ht="16.5" customHeight="1">
      <c r="B15" s="46">
        <v>1</v>
      </c>
      <c r="C15" s="1587" t="s">
        <v>527</v>
      </c>
      <c r="D15" s="1588"/>
      <c r="E15" s="1588"/>
      <c r="F15" s="1589"/>
      <c r="G15" s="1881">
        <v>47755191</v>
      </c>
    </row>
    <row r="16" spans="1:12" ht="16.5" customHeight="1">
      <c r="B16" s="1112"/>
      <c r="C16" s="1110"/>
      <c r="D16" s="627" t="s">
        <v>829</v>
      </c>
      <c r="E16" s="1113"/>
      <c r="F16" s="1113"/>
      <c r="G16" s="1109"/>
      <c r="I16" s="10" t="b">
        <v>0</v>
      </c>
    </row>
    <row r="17" spans="2:7">
      <c r="B17" s="1111"/>
      <c r="C17" s="187"/>
      <c r="D17" s="187"/>
      <c r="E17" s="187"/>
      <c r="F17" s="187"/>
      <c r="G17" s="162"/>
    </row>
    <row r="18" spans="2:7" ht="16.5" customHeight="1">
      <c r="B18" s="475">
        <v>2</v>
      </c>
      <c r="C18" s="1590" t="s">
        <v>528</v>
      </c>
      <c r="D18" s="1591"/>
      <c r="E18" s="1591"/>
      <c r="F18" s="1592"/>
      <c r="G18" s="1881">
        <v>0</v>
      </c>
    </row>
    <row r="19" spans="2:7" ht="7.5" customHeight="1">
      <c r="B19" s="161"/>
      <c r="C19" s="187"/>
      <c r="D19" s="187"/>
      <c r="E19" s="187"/>
      <c r="F19" s="187"/>
      <c r="G19" s="162"/>
    </row>
    <row r="20" spans="2:7" ht="16.5" customHeight="1">
      <c r="B20" s="475">
        <v>3</v>
      </c>
      <c r="C20" s="1590" t="s">
        <v>529</v>
      </c>
      <c r="D20" s="1591"/>
      <c r="E20" s="1591"/>
      <c r="F20" s="1592"/>
      <c r="G20" s="1881">
        <v>0</v>
      </c>
    </row>
    <row r="21" spans="2:7" ht="7.5" customHeight="1">
      <c r="B21" s="161"/>
      <c r="C21" s="187"/>
      <c r="D21" s="187"/>
      <c r="E21" s="187"/>
      <c r="F21" s="187"/>
      <c r="G21" s="162"/>
    </row>
    <row r="22" spans="2:7" ht="16.5" customHeight="1">
      <c r="B22" s="46">
        <v>4</v>
      </c>
      <c r="C22" s="1593" t="s">
        <v>525</v>
      </c>
      <c r="D22" s="1594"/>
      <c r="E22" s="1594"/>
      <c r="F22" s="1594"/>
      <c r="G22" s="1592"/>
    </row>
    <row r="23" spans="2:7" ht="16.5" customHeight="1">
      <c r="B23" s="298" t="s">
        <v>2</v>
      </c>
      <c r="C23" s="1561" t="s">
        <v>530</v>
      </c>
      <c r="D23" s="1562"/>
      <c r="E23" s="1562"/>
      <c r="F23" s="1563"/>
      <c r="G23" s="1881">
        <v>0</v>
      </c>
    </row>
    <row r="24" spans="2:7" ht="16.5" customHeight="1">
      <c r="B24" s="298" t="s">
        <v>3</v>
      </c>
      <c r="C24" s="1561" t="s">
        <v>531</v>
      </c>
      <c r="D24" s="1562"/>
      <c r="E24" s="1562"/>
      <c r="F24" s="1563"/>
      <c r="G24" s="1881">
        <v>0</v>
      </c>
    </row>
    <row r="25" spans="2:7" ht="16.5" customHeight="1">
      <c r="B25" s="298" t="s">
        <v>4</v>
      </c>
      <c r="C25" s="1561" t="s">
        <v>532</v>
      </c>
      <c r="D25" s="1562"/>
      <c r="E25" s="1562"/>
      <c r="F25" s="1563"/>
      <c r="G25" s="1881">
        <v>0</v>
      </c>
    </row>
    <row r="26" spans="2:7" ht="16.5" customHeight="1">
      <c r="B26" s="388" t="s">
        <v>5</v>
      </c>
      <c r="C26" s="1564" t="s">
        <v>526</v>
      </c>
      <c r="D26" s="1565"/>
      <c r="E26" s="1565"/>
      <c r="F26" s="1566"/>
      <c r="G26" s="490">
        <f>IF(G20&gt;7500,0,G23+G24+G25+G15+G18+G20)</f>
        <v>47755191</v>
      </c>
    </row>
    <row r="27" spans="2:7">
      <c r="B27" s="161"/>
      <c r="C27" s="187"/>
      <c r="D27" s="187"/>
      <c r="E27" s="187"/>
      <c r="F27" s="187"/>
      <c r="G27" s="162"/>
    </row>
    <row r="28" spans="2:7" ht="16.5" customHeight="1">
      <c r="B28" s="476" t="s">
        <v>67</v>
      </c>
      <c r="C28" s="1570" t="s">
        <v>98</v>
      </c>
      <c r="D28" s="1571"/>
      <c r="E28" s="1571"/>
      <c r="F28" s="1572"/>
      <c r="G28" s="1881">
        <v>19982669</v>
      </c>
    </row>
    <row r="29" spans="2:7" ht="16.5" customHeight="1">
      <c r="B29" s="298" t="s">
        <v>9</v>
      </c>
      <c r="C29" s="1558" t="s">
        <v>533</v>
      </c>
      <c r="D29" s="1559"/>
      <c r="E29" s="1559"/>
      <c r="F29" s="1560"/>
      <c r="G29" s="65">
        <f>IF(AND(G15&gt;=0,G28&gt;0),G26,0)</f>
        <v>47755191</v>
      </c>
    </row>
    <row r="30" spans="2:7" ht="16.5" customHeight="1">
      <c r="B30" s="298" t="s">
        <v>55</v>
      </c>
      <c r="C30" s="1584" t="s">
        <v>534</v>
      </c>
      <c r="D30" s="1585"/>
      <c r="E30" s="1585"/>
      <c r="F30" s="1586"/>
      <c r="G30" s="66">
        <f>IF(G28&gt;0,0.25*G29,0)</f>
        <v>11938797.75</v>
      </c>
    </row>
    <row r="31" spans="2:7" ht="16.5" customHeight="1">
      <c r="B31" s="453" t="s">
        <v>86</v>
      </c>
      <c r="C31" s="1576" t="s">
        <v>316</v>
      </c>
      <c r="D31" s="1577"/>
      <c r="E31" s="1577"/>
      <c r="F31" s="1577"/>
      <c r="G31" s="389"/>
    </row>
    <row r="32" spans="2:7" ht="16.5" customHeight="1">
      <c r="B32" s="454"/>
      <c r="C32" s="1567" t="s">
        <v>536</v>
      </c>
      <c r="D32" s="1568"/>
      <c r="E32" s="1568"/>
      <c r="F32" s="1569"/>
      <c r="G32" s="66">
        <f>IF(G28&lt;=G30,G28,G30)</f>
        <v>11938797.75</v>
      </c>
    </row>
    <row r="33" spans="1:9" ht="16.5" customHeight="1">
      <c r="B33" s="453" t="s">
        <v>87</v>
      </c>
      <c r="C33" s="1576" t="s">
        <v>315</v>
      </c>
      <c r="D33" s="1577"/>
      <c r="E33" s="1577"/>
      <c r="F33" s="1577"/>
      <c r="G33" s="389"/>
    </row>
    <row r="34" spans="1:9" ht="16.5" customHeight="1">
      <c r="B34" s="454"/>
      <c r="C34" s="1573" t="s">
        <v>535</v>
      </c>
      <c r="D34" s="1574"/>
      <c r="E34" s="1574"/>
      <c r="F34" s="1575"/>
      <c r="G34" s="66">
        <f>IF(AND(G15&gt;=0,G28&gt;G30),(G28-G30)*0.5,0)</f>
        <v>4021935.625</v>
      </c>
    </row>
    <row r="35" spans="1:9" ht="16.5" customHeight="1">
      <c r="B35" s="388" t="s">
        <v>88</v>
      </c>
      <c r="C35" s="1578" t="s">
        <v>783</v>
      </c>
      <c r="D35" s="1579"/>
      <c r="E35" s="1579"/>
      <c r="F35" s="1580"/>
      <c r="G35" s="489">
        <f>+G32+G34</f>
        <v>15960733.375</v>
      </c>
      <c r="I35" s="1882" t="s">
        <v>120</v>
      </c>
    </row>
    <row r="36" spans="1:9" ht="17.399999999999999" thickBot="1">
      <c r="B36" s="483"/>
      <c r="C36" s="484"/>
      <c r="D36" s="484"/>
      <c r="E36" s="484"/>
      <c r="F36" s="484"/>
      <c r="G36" s="398"/>
      <c r="I36" s="1882"/>
    </row>
    <row r="37" spans="1:9" s="21" customFormat="1" ht="30" customHeight="1" thickBot="1">
      <c r="A37" s="470"/>
      <c r="B37" s="938">
        <v>6</v>
      </c>
      <c r="C37" s="1581" t="s">
        <v>537</v>
      </c>
      <c r="D37" s="1582"/>
      <c r="E37" s="1582"/>
      <c r="F37" s="1583"/>
      <c r="G37" s="606">
        <f>IF(COUNTIF($I$11:$I$13,TRUE)&lt;&gt;1,"",G35+G26)</f>
        <v>63715924.375</v>
      </c>
      <c r="I37" s="32" t="b">
        <f>IF(OR(G37&lt;'H §35 HOAI'!B16,G37&gt;'H §35 HOAI'!B35),TRUE,FALSE)</f>
        <v>1</v>
      </c>
    </row>
    <row r="38" spans="1:9" ht="12.75" customHeight="1">
      <c r="B38" s="13"/>
      <c r="C38" s="13"/>
      <c r="D38" s="13"/>
      <c r="E38" s="14"/>
      <c r="G38" s="491" t="str">
        <f>IF(COUNTIF($I$11:$I$13,TRUE)&lt;&gt;1,"",(IF(OR(G37&lt;'H §35 HOAI'!B16,G37&gt;'H §35 HOAI'!B35),"Anrechenbare Kosten liegen außerhalb der Honorartafel!","")))</f>
        <v>Anrechenbare Kosten liegen außerhalb der Honorartafel!</v>
      </c>
    </row>
    <row r="39" spans="1:9" ht="26.1" customHeight="1">
      <c r="B39" s="1557" t="str">
        <f>IF(I16,"Umfasst der Auftrag mehrere vergleichbare Objekte gem. § 11 (2) HOAI, ist das Honorar nach der Summe der anrechenbaren Kosten zu berechnen.","")</f>
        <v/>
      </c>
      <c r="C39" s="1557"/>
      <c r="D39" s="1557"/>
      <c r="E39" s="1557"/>
      <c r="F39" s="1557"/>
      <c r="G39" s="1557"/>
    </row>
    <row r="40" spans="1:9" ht="12.75" customHeight="1">
      <c r="B40" s="160"/>
      <c r="E40" s="15"/>
    </row>
    <row r="41" spans="1:9" ht="12.75" customHeight="1">
      <c r="B41" s="160"/>
      <c r="E41" s="15"/>
      <c r="G41" s="366"/>
    </row>
    <row r="42" spans="1:9" ht="12.75" hidden="1" customHeight="1">
      <c r="B42" s="368"/>
      <c r="C42" s="368"/>
      <c r="D42" s="368"/>
      <c r="E42" s="368"/>
      <c r="F42" s="368"/>
      <c r="G42" s="368"/>
    </row>
  </sheetData>
  <sheetProtection algorithmName="SHA-512" hashValue="ruGcou+cKCvdcoxZCGe7tBQVbMaBKVjbgACvrkgXLsFFpMLXcDYDAGaUjv3gTCtknsCescadyI1SMg6RcnQziA==" saltValue="9L/2UtP1ji2DqrXPnuiOfw==" spinCount="100000" sheet="1" formatRows="0"/>
  <mergeCells count="33">
    <mergeCell ref="C15:F15"/>
    <mergeCell ref="C18:F18"/>
    <mergeCell ref="C22:G22"/>
    <mergeCell ref="C20:F20"/>
    <mergeCell ref="B3:E3"/>
    <mergeCell ref="B39:G39"/>
    <mergeCell ref="C29:F29"/>
    <mergeCell ref="C23:F23"/>
    <mergeCell ref="C24:F24"/>
    <mergeCell ref="C25:F25"/>
    <mergeCell ref="C26:F26"/>
    <mergeCell ref="C32:F32"/>
    <mergeCell ref="C28:F28"/>
    <mergeCell ref="C34:F34"/>
    <mergeCell ref="C31:F31"/>
    <mergeCell ref="C35:F35"/>
    <mergeCell ref="C37:F37"/>
    <mergeCell ref="C33:F33"/>
    <mergeCell ref="C30:F30"/>
    <mergeCell ref="H2:H8"/>
    <mergeCell ref="D11:E11"/>
    <mergeCell ref="D12:E12"/>
    <mergeCell ref="D13:E13"/>
    <mergeCell ref="B5:D5"/>
    <mergeCell ref="B8:D8"/>
    <mergeCell ref="E8:G8"/>
    <mergeCell ref="E6:G6"/>
    <mergeCell ref="E7:G7"/>
    <mergeCell ref="C10:F10"/>
    <mergeCell ref="B11:B13"/>
    <mergeCell ref="B6:D6"/>
    <mergeCell ref="B7:D7"/>
    <mergeCell ref="B2:E2"/>
  </mergeCells>
  <conditionalFormatting sqref="C11">
    <cfRule type="expression" dxfId="2483" priority="729">
      <formula>IF(COUNTIF(I10:I13,TRUE)=1,0,1)</formula>
    </cfRule>
  </conditionalFormatting>
  <conditionalFormatting sqref="C12">
    <cfRule type="expression" dxfId="2482" priority="19">
      <formula>IF(COUNTIF(I11:I13,TRUE)=1,0,1)</formula>
    </cfRule>
  </conditionalFormatting>
  <conditionalFormatting sqref="C13">
    <cfRule type="expression" dxfId="2481" priority="18">
      <formula>IF(COUNTIF(I11:I13,TRUE)=1,0,1)</formula>
    </cfRule>
  </conditionalFormatting>
  <conditionalFormatting sqref="G15">
    <cfRule type="expression" dxfId="2479" priority="11">
      <formula>IF(COUNTIF(I11:I13,TRUE)&lt;&gt;1,TRUE,FALSE)</formula>
    </cfRule>
    <cfRule type="expression" dxfId="2478" priority="17">
      <formula>G15=""</formula>
    </cfRule>
  </conditionalFormatting>
  <conditionalFormatting sqref="G18">
    <cfRule type="expression" dxfId="2477" priority="10">
      <formula>IF(COUNTIF(I11:I13,TRUE)&lt;&gt;1,TRUE,FALSE)</formula>
    </cfRule>
  </conditionalFormatting>
  <conditionalFormatting sqref="G20">
    <cfRule type="expression" dxfId="2476" priority="1">
      <formula>IF(COUNTIF($I$11:$I$13,TRUE)&lt;&gt;1,TRUE,FALSE)</formula>
    </cfRule>
    <cfRule type="expression" dxfId="2475" priority="2">
      <formula>OR(G20&lt;0,G20&gt;7500)</formula>
    </cfRule>
  </conditionalFormatting>
  <conditionalFormatting sqref="G23:G26">
    <cfRule type="expression" dxfId="2474" priority="9">
      <formula>IF(COUNTIF($I$11:$I$13,TRUE)&lt;&gt;1,TRUE,FALSE)</formula>
    </cfRule>
  </conditionalFormatting>
  <conditionalFormatting sqref="G28:G35">
    <cfRule type="expression" dxfId="2473" priority="7">
      <formula>IF(COUNTIF($I$11:$I$13,TRUE)&lt;&gt;1,TRUE,FALSE)</formula>
    </cfRule>
  </conditionalFormatting>
  <conditionalFormatting sqref="G37">
    <cfRule type="expression" dxfId="2472" priority="6">
      <formula>IF(COUNTIF($I$11:$I$13,TRUE)&lt;&gt;1,TRUE,FALSE)</formula>
    </cfRule>
  </conditionalFormatting>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August 2022&amp;R&amp;P</oddFooter>
  </headerFooter>
  <ignoredErrors>
    <ignoredError sqref="B28"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2532" r:id="rId4" name="Check Box 4">
              <controlPr defaultSize="0" autoFill="0" autoLine="0" autoPict="0" altText="">
                <anchor moveWithCells="1">
                  <from>
                    <xdr:col>2</xdr:col>
                    <xdr:colOff>0</xdr:colOff>
                    <xdr:row>11</xdr:row>
                    <xdr:rowOff>0</xdr:rowOff>
                  </from>
                  <to>
                    <xdr:col>3</xdr:col>
                    <xdr:colOff>0</xdr:colOff>
                    <xdr:row>12</xdr:row>
                    <xdr:rowOff>7620</xdr:rowOff>
                  </to>
                </anchor>
              </controlPr>
            </control>
          </mc:Choice>
        </mc:AlternateContent>
        <mc:AlternateContent xmlns:mc="http://schemas.openxmlformats.org/markup-compatibility/2006">
          <mc:Choice Requires="x14">
            <control shapeId="22533" r:id="rId5" name="Check Box 5">
              <controlPr defaultSize="0" autoFill="0" autoLine="0" autoPict="0" altText="">
                <anchor moveWithCells="1">
                  <from>
                    <xdr:col>2</xdr:col>
                    <xdr:colOff>0</xdr:colOff>
                    <xdr:row>11</xdr:row>
                    <xdr:rowOff>220980</xdr:rowOff>
                  </from>
                  <to>
                    <xdr:col>3</xdr:col>
                    <xdr:colOff>0</xdr:colOff>
                    <xdr:row>13</xdr:row>
                    <xdr:rowOff>7620</xdr:rowOff>
                  </to>
                </anchor>
              </controlPr>
            </control>
          </mc:Choice>
        </mc:AlternateContent>
        <mc:AlternateContent xmlns:mc="http://schemas.openxmlformats.org/markup-compatibility/2006">
          <mc:Choice Requires="x14">
            <control shapeId="22540" r:id="rId6" name="Check Box 12">
              <controlPr defaultSize="0" autoFill="0" autoLine="0" autoPict="0" altText="">
                <anchor moveWithCells="1">
                  <from>
                    <xdr:col>2</xdr:col>
                    <xdr:colOff>0</xdr:colOff>
                    <xdr:row>10</xdr:row>
                    <xdr:rowOff>0</xdr:rowOff>
                  </from>
                  <to>
                    <xdr:col>3</xdr:col>
                    <xdr:colOff>0</xdr:colOff>
                    <xdr:row>11</xdr:row>
                    <xdr:rowOff>7620</xdr:rowOff>
                  </to>
                </anchor>
              </controlPr>
            </control>
          </mc:Choice>
        </mc:AlternateContent>
        <mc:AlternateContent xmlns:mc="http://schemas.openxmlformats.org/markup-compatibility/2006">
          <mc:Choice Requires="x14">
            <control shapeId="22541" r:id="rId7" name="Check Box 13">
              <controlPr defaultSize="0" autoFill="0" autoLine="0" autoPict="0" altText="">
                <anchor moveWithCells="1">
                  <from>
                    <xdr:col>2</xdr:col>
                    <xdr:colOff>0</xdr:colOff>
                    <xdr:row>15</xdr:row>
                    <xdr:rowOff>0</xdr:rowOff>
                  </from>
                  <to>
                    <xdr:col>3</xdr:col>
                    <xdr:colOff>0</xdr:colOff>
                    <xdr:row>16</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3" id="{489043DC-AC87-4F73-BF90-4ED68C86BB32}">
            <xm:f>Projektgrundlagen!I13=FALSE</xm:f>
            <x14:dxf>
              <fill>
                <patternFill>
                  <bgColor theme="0"/>
                </patternFill>
              </fill>
              <border>
                <left style="thin">
                  <color auto="1"/>
                </left>
                <right style="thin">
                  <color auto="1"/>
                </right>
                <top style="thin">
                  <color auto="1"/>
                </top>
                <bottom style="thin">
                  <color auto="1"/>
                </bottom>
              </border>
            </x14:dxf>
          </x14:cfRule>
          <xm:sqref>C11</xm:sqref>
        </x14:conditionalFormatting>
        <x14:conditionalFormatting xmlns:xm="http://schemas.microsoft.com/office/excel/2006/main">
          <x14:cfRule type="expression" priority="14" id="{2325E0DF-1C00-44B3-8763-A77333C9BD36}">
            <xm:f>Projektgrundlagen!I13=FALSE</xm:f>
            <x14:dxf>
              <font>
                <strike/>
                <color theme="0" tint="-0.14996795556505021"/>
              </font>
            </x14:dxf>
          </x14:cfRule>
          <xm:sqref>D11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theme="0" tint="-0.14999847407452621"/>
    <pageSetUpPr fitToPage="1"/>
  </sheetPr>
  <dimension ref="A1:N45"/>
  <sheetViews>
    <sheetView showGridLines="0" zoomScaleNormal="100" zoomScaleSheetLayoutView="100" zoomScalePageLayoutView="75" workbookViewId="0">
      <selection sqref="A1:XFD1048576"/>
    </sheetView>
  </sheetViews>
  <sheetFormatPr baseColWidth="10" defaultColWidth="0" defaultRowHeight="16.8" zeroHeight="1"/>
  <cols>
    <col min="1" max="1" width="5.6640625" style="1068" customWidth="1"/>
    <col min="2" max="2" width="3.33203125" style="1" customWidth="1"/>
    <col min="3" max="9" width="14.44140625" style="1" customWidth="1"/>
    <col min="10" max="10" width="2.6640625" style="1" customWidth="1"/>
    <col min="11" max="11" width="17.44140625" style="1" hidden="1" customWidth="1"/>
    <col min="12" max="14" width="0" style="1" hidden="1" customWidth="1"/>
    <col min="15" max="16384" width="11.33203125" style="1" hidden="1"/>
  </cols>
  <sheetData>
    <row r="1" spans="1:14">
      <c r="A1" s="1067"/>
    </row>
    <row r="2" spans="1:14" ht="16.5" customHeight="1">
      <c r="A2" s="1067"/>
      <c r="B2" s="1515" t="str">
        <f>Projektgrundlagen!L20</f>
        <v xml:space="preserve">Objektplanung Gebäude </v>
      </c>
      <c r="C2" s="1515"/>
      <c r="D2" s="1515"/>
      <c r="E2" s="1515"/>
      <c r="F2" s="1516"/>
      <c r="G2" s="376" t="str">
        <f>IF(Projektgrundlagen!F2="","",Projektgrundlagen!F2)</f>
        <v>VII.10.4</v>
      </c>
      <c r="H2" s="1599" t="s">
        <v>181</v>
      </c>
      <c r="I2" s="1600"/>
      <c r="J2" s="1598" t="s">
        <v>351</v>
      </c>
      <c r="K2" s="16" t="s">
        <v>59</v>
      </c>
      <c r="N2" s="207" t="s">
        <v>169</v>
      </c>
    </row>
    <row r="3" spans="1:14" ht="16.5" customHeight="1">
      <c r="B3" s="1529" t="s">
        <v>12</v>
      </c>
      <c r="C3" s="1529"/>
      <c r="D3" s="1529"/>
      <c r="E3" s="1529"/>
      <c r="F3" s="1530"/>
      <c r="G3" s="383" t="str">
        <f>IF(Projektgrundlagen!F3="","",Projektgrundlagen!F3)</f>
        <v>Vertrags-Nr.:</v>
      </c>
      <c r="H3" s="1543" t="str">
        <f>IF(Projektgrundlagen!G3="","",Projektgrundlagen!G3)</f>
        <v>000.792.717</v>
      </c>
      <c r="I3" s="1544"/>
      <c r="J3" s="1598"/>
      <c r="N3" s="1" t="str">
        <f ca="1">MID(CELL("dateiname",A2),FIND("]",CELL("dateiname",A2))+1,255)</f>
        <v>B HZone</v>
      </c>
    </row>
    <row r="4" spans="1:14" ht="7.5" customHeight="1">
      <c r="B4" s="371"/>
      <c r="C4" s="371"/>
      <c r="D4" s="371"/>
      <c r="E4" s="371"/>
      <c r="F4" s="371"/>
      <c r="G4" s="370"/>
      <c r="H4" s="370"/>
      <c r="I4" s="370"/>
      <c r="J4" s="1598"/>
    </row>
    <row r="5" spans="1:14">
      <c r="B5" s="1605" t="str">
        <f>IF(Projektgrundlagen!B5="","",Projektgrundlagen!B5)</f>
        <v>Maßnahmennr:</v>
      </c>
      <c r="C5" s="1606"/>
      <c r="D5" s="1607" t="str">
        <f>IF(Projektgrundlagen!E5="","",Projektgrundlagen!E5)</f>
        <v>B14HA150700001</v>
      </c>
      <c r="E5" s="1607"/>
      <c r="F5" s="1607"/>
      <c r="G5" s="378" t="str">
        <f>IF(Projektgrundlagen!F5="","",Projektgrundlagen!F5)</f>
        <v>Vergabe-Nr.:</v>
      </c>
      <c r="H5" s="1601" t="str">
        <f>IF(Projektgrundlagen!G5="","",Projektgrundlagen!G5)</f>
        <v>26-004187</v>
      </c>
      <c r="I5" s="1602"/>
      <c r="J5" s="1598"/>
    </row>
    <row r="6" spans="1:14">
      <c r="B6" s="1524" t="str">
        <f>IF(Projektgrundlagen!B6="","",Projektgrundlagen!B6)</f>
        <v>Maßnahme:</v>
      </c>
      <c r="C6" s="1525"/>
      <c r="D6" s="1603" t="str">
        <f>IF(Projektgrundlagen!E6="","",Projektgrundlagen!E6)</f>
        <v>Neubau ASG TUM Campus Taufkirchen / Ottobrunn</v>
      </c>
      <c r="E6" s="1603"/>
      <c r="F6" s="1603"/>
      <c r="G6" s="1603"/>
      <c r="H6" s="1603"/>
      <c r="I6" s="1604"/>
      <c r="J6" s="1598"/>
    </row>
    <row r="7" spans="1:14">
      <c r="B7" s="1524"/>
      <c r="C7" s="1525"/>
      <c r="D7" s="1547" t="str">
        <f>IF(Projektgrundlagen!E7="","",Projektgrundlagen!E7)</f>
        <v/>
      </c>
      <c r="E7" s="1547"/>
      <c r="F7" s="1547"/>
      <c r="G7" s="1547"/>
      <c r="H7" s="1547"/>
      <c r="I7" s="1548"/>
      <c r="J7" s="1598"/>
    </row>
    <row r="8" spans="1:14">
      <c r="B8" s="1513" t="s">
        <v>121</v>
      </c>
      <c r="C8" s="1514"/>
      <c r="D8" s="1543" t="str">
        <f>IF(Projektgrundlagen!E8="","",Projektgrundlagen!E8)</f>
        <v/>
      </c>
      <c r="E8" s="1543"/>
      <c r="F8" s="1543"/>
      <c r="G8" s="1543"/>
      <c r="H8" s="1543"/>
      <c r="I8" s="1544"/>
      <c r="J8" s="1598"/>
    </row>
    <row r="9" spans="1:14">
      <c r="B9" s="353"/>
      <c r="C9" s="353"/>
      <c r="D9" s="374"/>
      <c r="E9" s="374"/>
      <c r="F9" s="374"/>
      <c r="G9" s="374"/>
      <c r="H9" s="374"/>
      <c r="I9" s="374"/>
    </row>
    <row r="10" spans="1:14" ht="22.5" customHeight="1">
      <c r="B10" s="492"/>
      <c r="C10" s="1549" t="s">
        <v>324</v>
      </c>
      <c r="D10" s="1549"/>
      <c r="E10" s="1549"/>
      <c r="F10" s="1549"/>
      <c r="G10" s="1549"/>
      <c r="H10" s="1549"/>
      <c r="I10" s="492"/>
    </row>
    <row r="11" spans="1:14" ht="7.5" customHeight="1">
      <c r="A11" s="1067"/>
      <c r="B11" s="377"/>
      <c r="C11" s="377"/>
      <c r="D11" s="372"/>
      <c r="E11" s="372"/>
      <c r="F11" s="372"/>
      <c r="G11" s="372"/>
      <c r="H11" s="372"/>
      <c r="I11" s="370"/>
    </row>
    <row r="12" spans="1:14" ht="16.5" customHeight="1" thickBot="1">
      <c r="A12" s="1071" t="str">
        <f>IF(COUNTIF($K$12:$K$15,TRUE)&lt;&gt;1,"è","")</f>
        <v/>
      </c>
      <c r="B12" s="55"/>
      <c r="C12" s="352" t="s">
        <v>502</v>
      </c>
      <c r="D12" s="496"/>
      <c r="E12" s="496"/>
      <c r="F12" s="496"/>
      <c r="G12" s="496"/>
      <c r="H12" s="497"/>
      <c r="I12" s="713"/>
      <c r="J12" s="35"/>
      <c r="K12" s="1" t="b">
        <v>1</v>
      </c>
    </row>
    <row r="13" spans="1:14" ht="16.5" customHeight="1" thickBot="1">
      <c r="A13" s="1071"/>
      <c r="B13" s="20"/>
      <c r="C13" s="498"/>
      <c r="D13" s="499"/>
      <c r="E13" s="499"/>
      <c r="F13" s="499"/>
      <c r="G13" s="499"/>
      <c r="H13" s="500" t="s">
        <v>56</v>
      </c>
      <c r="I13" s="1883">
        <v>4</v>
      </c>
      <c r="J13" s="35"/>
    </row>
    <row r="14" spans="1:14" ht="7.5" customHeight="1">
      <c r="A14" s="1071"/>
      <c r="B14" s="166"/>
      <c r="C14" s="163"/>
      <c r="D14" s="164"/>
      <c r="E14" s="164"/>
      <c r="F14" s="164"/>
      <c r="G14" s="164"/>
      <c r="H14" s="165"/>
      <c r="I14" s="1884"/>
      <c r="J14" s="35"/>
    </row>
    <row r="15" spans="1:14">
      <c r="A15" s="1071" t="str">
        <f>IF(COUNTIF($K$12:$K$15,TRUE)&lt;&gt;1,"è","")</f>
        <v/>
      </c>
      <c r="B15" s="55"/>
      <c r="C15" s="206" t="s">
        <v>503</v>
      </c>
      <c r="D15" s="17"/>
      <c r="E15" s="42"/>
      <c r="F15" s="42"/>
      <c r="G15" s="42"/>
      <c r="H15" s="42"/>
      <c r="I15" s="43"/>
      <c r="K15" s="1" t="b">
        <v>0</v>
      </c>
    </row>
    <row r="16" spans="1:14" ht="25.5" customHeight="1">
      <c r="B16" s="11"/>
      <c r="C16" s="382" t="s">
        <v>14</v>
      </c>
      <c r="D16" s="1595" t="s">
        <v>432</v>
      </c>
      <c r="E16" s="1596"/>
      <c r="F16" s="1596"/>
      <c r="G16" s="1596"/>
      <c r="H16" s="1597"/>
      <c r="I16" s="48" t="s">
        <v>63</v>
      </c>
    </row>
    <row r="17" spans="2:14" ht="12.75" customHeight="1">
      <c r="B17" s="11"/>
      <c r="C17" s="61"/>
      <c r="D17" s="18" t="s">
        <v>91</v>
      </c>
      <c r="E17" s="18" t="s">
        <v>92</v>
      </c>
      <c r="F17" s="18" t="s">
        <v>93</v>
      </c>
      <c r="G17" s="58" t="s">
        <v>94</v>
      </c>
      <c r="H17" s="18" t="s">
        <v>95</v>
      </c>
      <c r="I17" s="60"/>
    </row>
    <row r="18" spans="2:14" ht="43.5" customHeight="1">
      <c r="B18" s="11"/>
      <c r="C18" s="52" t="str">
        <f>IF(AND(Projektgrundlagen!$I$20,NOT(Projektgrundlagen!$I$19)),"Anzahl der Funktionsbereiche","Anforderungen an die Einbindung in die Umgebung")</f>
        <v>Anforderungen an die Einbindung in die Umgebung</v>
      </c>
      <c r="D18" s="1885"/>
      <c r="E18" s="1885"/>
      <c r="F18" s="1885"/>
      <c r="G18" s="1885"/>
      <c r="H18" s="1885"/>
      <c r="I18" s="59">
        <f>IF($K$15,IF(COUNT(D18:H18)&lt;&gt;1,0,IF(OR((AND(D18&lt;&gt;"",E18&lt;&gt;"",F18&lt;&gt;"",G18&lt;&gt;"",H18&lt;&gt;"",AND(Projektgrundlagen!$I$20,NOT(Projektgrundlagen!$I$19)),AND(D18&lt;&gt;1,E18&lt;&gt;2,F18&lt;&gt;3,G18&lt;&gt;4,OR(H18&lt;5,H18&gt;6)))),(AND(Projektgrundlagen!$I$19,AND(D18&lt;&gt;1,E18&lt;&gt;2,F18&lt;&gt;3,G18&lt;&gt;4,OR(H18&lt;5,H18&gt;6))))),0,SUM(D18:H18))),0)</f>
        <v>0</v>
      </c>
      <c r="L18" s="616"/>
      <c r="M18" s="194"/>
    </row>
    <row r="19" spans="2:14" ht="16.5" customHeight="1">
      <c r="B19" s="11"/>
      <c r="C19" s="19" t="s">
        <v>508</v>
      </c>
      <c r="D19" s="19" t="s">
        <v>15</v>
      </c>
      <c r="E19" s="19" t="s">
        <v>16</v>
      </c>
      <c r="F19" s="19" t="s">
        <v>17</v>
      </c>
      <c r="G19" s="57" t="s">
        <v>18</v>
      </c>
      <c r="H19" s="19" t="s">
        <v>19</v>
      </c>
      <c r="I19" s="19"/>
      <c r="L19" s="616"/>
      <c r="M19" s="194"/>
    </row>
    <row r="20" spans="2:14">
      <c r="B20" s="11"/>
      <c r="C20" s="61"/>
      <c r="D20" s="18" t="s">
        <v>91</v>
      </c>
      <c r="E20" s="18" t="s">
        <v>92</v>
      </c>
      <c r="F20" s="18" t="s">
        <v>93</v>
      </c>
      <c r="G20" s="58" t="s">
        <v>94</v>
      </c>
      <c r="H20" s="18" t="s">
        <v>95</v>
      </c>
      <c r="I20" s="60"/>
      <c r="L20" s="616"/>
    </row>
    <row r="21" spans="2:14" ht="43.5" customHeight="1">
      <c r="B21" s="11"/>
      <c r="C21" s="52" t="str">
        <f>IF(AND(Projektgrundlagen!$I$20,NOT(Projektgrundlagen!$I$19)),"Anforderungen an die Lichtgestaltung","Anzahl der Funktionsbereiche")</f>
        <v>Anzahl der Funktionsbereiche</v>
      </c>
      <c r="D21" s="1885"/>
      <c r="E21" s="1885"/>
      <c r="F21" s="1885"/>
      <c r="G21" s="1885"/>
      <c r="H21" s="1885"/>
      <c r="I21" s="59">
        <f>IF($K$15,IF(COUNT(D21:H21)&lt;&gt;1,0,IF(OR((AND(AND(Projektgrundlagen!$I$20,NOT(Projektgrundlagen!$I$19)),AND(D21&lt;&gt;1,E21&lt;&gt;2,F21&lt;&gt;3,G21&lt;&gt;4,OR(H21&lt;5,H21&gt;6)))),(AND(Projektgrundlagen!$I$19,AND(OR(D21&lt;1,D21&gt;2),E21&lt;&gt;3,OR(F21&lt;4,F21&gt;5),OR(G21&lt;6,G21&gt;7),OR(H21&lt;8,H21&gt;9))))),0,SUM(D21:H21))),0)</f>
        <v>0</v>
      </c>
      <c r="L21" s="616"/>
      <c r="N21" s="194"/>
    </row>
    <row r="22" spans="2:14" ht="16.5" customHeight="1">
      <c r="B22" s="11"/>
      <c r="C22" s="19" t="s">
        <v>509</v>
      </c>
      <c r="D22" s="19" t="str">
        <f>IF(AND(Projektgrundlagen!$I$20,NOT(Projektgrundlagen!$I$19)),"(1)","(1-2)")</f>
        <v>(1-2)</v>
      </c>
      <c r="E22" s="19" t="str">
        <f>IF(AND(Projektgrundlagen!$I$20,NOT(Projektgrundlagen!$I$19)),"(2)","(3)")</f>
        <v>(3)</v>
      </c>
      <c r="F22" s="19" t="str">
        <f>IF(AND(Projektgrundlagen!$I$20,NOT(Projektgrundlagen!$I$19)),"(3)","(4-5)")</f>
        <v>(4-5)</v>
      </c>
      <c r="G22" s="57" t="str">
        <f>IF(AND(Projektgrundlagen!$I$20,NOT(Projektgrundlagen!$I$19)),"(4)","(6-7)")</f>
        <v>(6-7)</v>
      </c>
      <c r="H22" s="19" t="str">
        <f>IF(AND(Projektgrundlagen!$I$20,NOT(Projektgrundlagen!$I$19)),"(5-6)","(8-9)")</f>
        <v>(8-9)</v>
      </c>
      <c r="I22" s="19"/>
      <c r="L22" s="616"/>
      <c r="M22" s="194"/>
      <c r="N22" s="194"/>
    </row>
    <row r="23" spans="2:14">
      <c r="B23" s="11"/>
      <c r="C23" s="61"/>
      <c r="D23" s="18" t="s">
        <v>91</v>
      </c>
      <c r="E23" s="18" t="s">
        <v>92</v>
      </c>
      <c r="F23" s="18" t="s">
        <v>93</v>
      </c>
      <c r="G23" s="58" t="s">
        <v>94</v>
      </c>
      <c r="H23" s="18" t="s">
        <v>95</v>
      </c>
      <c r="I23" s="60"/>
      <c r="L23" s="616"/>
    </row>
    <row r="24" spans="2:14" ht="43.5" customHeight="1">
      <c r="B24" s="11"/>
      <c r="C24" s="52" t="str">
        <f>IF(AND(Projektgrundlagen!$I$20,NOT(Projektgrundlagen!$I$19)),"Anforderungen an die Raumzuordnung und Raumproportion","gestalterische Anforderungen")</f>
        <v>gestalterische Anforderungen</v>
      </c>
      <c r="D24" s="1885"/>
      <c r="E24" s="1885"/>
      <c r="F24" s="1885"/>
      <c r="G24" s="1885"/>
      <c r="H24" s="1885"/>
      <c r="I24" s="59">
        <f>IF($K$15,IF(COUNT(D24:H24)&lt;&gt;1,0,IF(OR((AND(AND(Projektgrundlagen!$I$20,NOT(Projektgrundlagen!$I$19)),AND(D24&lt;&gt;1,E24&lt;&gt;2,F24&lt;&gt;3,G24&lt;&gt;4,OR(H24&lt;5,H24&gt;6)))),(AND(Projektgrundlagen!$I$19,AND(OR(D21&lt;1,D21&gt;2),E21&lt;&gt;3,OR(F21&lt;4,F21&gt;5),OR(G21&lt;6,G21&gt;7),OR(H21&lt;8,H21&gt;9))))),0,SUM(D24:H24))),0)</f>
        <v>0</v>
      </c>
      <c r="L24" s="616"/>
      <c r="N24" s="194"/>
    </row>
    <row r="25" spans="2:14" ht="16.5" customHeight="1">
      <c r="B25" s="11"/>
      <c r="C25" s="19" t="s">
        <v>509</v>
      </c>
      <c r="D25" s="19" t="str">
        <f>IF(AND(Projektgrundlagen!$I$20,NOT(Projektgrundlagen!$I$19)),"(1)","(1-2)")</f>
        <v>(1-2)</v>
      </c>
      <c r="E25" s="19" t="str">
        <f>IF(AND(Projektgrundlagen!$I$20,NOT(Projektgrundlagen!$I$19)),"(2)","(3)")</f>
        <v>(3)</v>
      </c>
      <c r="F25" s="19" t="str">
        <f>IF(AND(Projektgrundlagen!$I$20,NOT(Projektgrundlagen!$I$19)),"(3)","(4-5)")</f>
        <v>(4-5)</v>
      </c>
      <c r="G25" s="1086" t="str">
        <f>IF(AND(Projektgrundlagen!$I$20,NOT(Projektgrundlagen!$I$19)),"(4)","(6-7)")</f>
        <v>(6-7)</v>
      </c>
      <c r="H25" s="19" t="str">
        <f>IF(AND(Projektgrundlagen!$I$20,NOT(Projektgrundlagen!$I$19)),"(5-6)","(8-9)")</f>
        <v>(8-9)</v>
      </c>
      <c r="I25" s="19"/>
      <c r="L25" s="616"/>
      <c r="N25" s="194"/>
    </row>
    <row r="26" spans="2:14">
      <c r="B26" s="11"/>
      <c r="C26" s="61"/>
      <c r="D26" s="18" t="s">
        <v>91</v>
      </c>
      <c r="E26" s="18" t="s">
        <v>92</v>
      </c>
      <c r="F26" s="18" t="s">
        <v>93</v>
      </c>
      <c r="G26" s="58" t="s">
        <v>94</v>
      </c>
      <c r="H26" s="18" t="s">
        <v>95</v>
      </c>
      <c r="I26" s="60"/>
      <c r="L26" s="616"/>
    </row>
    <row r="27" spans="2:14" ht="43.5" customHeight="1">
      <c r="B27" s="11"/>
      <c r="C27" s="52" t="str">
        <f>IF(AND(Projektgrundlagen!$I$20,NOT(Projektgrundlagen!$I$19)),"technische Ausrüstung","konstruktive Anforderungen")</f>
        <v>konstruktive Anforderungen</v>
      </c>
      <c r="D27" s="1885"/>
      <c r="E27" s="1885"/>
      <c r="F27" s="1885"/>
      <c r="G27" s="1885"/>
      <c r="H27" s="1885"/>
      <c r="I27" s="59">
        <f>IF($K$15,IF(COUNT(D27:H27)&lt;&gt;1,0,IF(OR((AND(AND(Projektgrundlagen!$I$20,NOT(Projektgrundlagen!$I$19)),AND(D27&lt;&gt;1,E27&lt;&gt;2,F27&lt;&gt;3,G27&lt;&gt;4,OR(H27&lt;5,H27&gt;6)))),(AND(Projektgrundlagen!$I$19,AND(D27&lt;&gt;1,E27&lt;&gt;2,F27&lt;&gt;3,G27&lt;&gt;4,OR(H27&lt;5,H27&gt;6))))),0,SUM(D27:H27))),0)</f>
        <v>0</v>
      </c>
      <c r="L27" s="616"/>
      <c r="M27" s="194"/>
      <c r="N27" s="194"/>
    </row>
    <row r="28" spans="2:14" ht="16.5" customHeight="1">
      <c r="B28" s="11"/>
      <c r="C28" s="19" t="s">
        <v>508</v>
      </c>
      <c r="D28" s="19" t="s">
        <v>15</v>
      </c>
      <c r="E28" s="19" t="s">
        <v>16</v>
      </c>
      <c r="F28" s="19" t="s">
        <v>17</v>
      </c>
      <c r="G28" s="57" t="s">
        <v>18</v>
      </c>
      <c r="H28" s="19" t="s">
        <v>19</v>
      </c>
      <c r="I28" s="19"/>
      <c r="L28" s="616"/>
    </row>
    <row r="29" spans="2:14">
      <c r="B29" s="11"/>
      <c r="C29" s="61"/>
      <c r="D29" s="18" t="s">
        <v>91</v>
      </c>
      <c r="E29" s="18" t="s">
        <v>92</v>
      </c>
      <c r="F29" s="18" t="s">
        <v>93</v>
      </c>
      <c r="G29" s="58" t="s">
        <v>94</v>
      </c>
      <c r="H29" s="18" t="s">
        <v>95</v>
      </c>
      <c r="I29" s="60"/>
      <c r="L29" s="616"/>
    </row>
    <row r="30" spans="2:14" ht="43.5" customHeight="1">
      <c r="B30" s="11"/>
      <c r="C30" s="52" t="str">
        <f>IF(AND(Projektgrundlagen!$I$20,NOT(Projektgrundlagen!$I$19)),"Farb- und Materialgestaltung","technische Ausrüstung")</f>
        <v>technische Ausrüstung</v>
      </c>
      <c r="D30" s="1885"/>
      <c r="E30" s="1885"/>
      <c r="F30" s="1885"/>
      <c r="G30" s="1885"/>
      <c r="H30" s="1885"/>
      <c r="I30" s="59">
        <f>IF($K$15,IF(COUNT(D30:H30)&lt;&gt;1,0,IF(OR((AND(AND(Projektgrundlagen!$I$20,NOT(Projektgrundlagen!$I$19)),AND(OR(D30&lt;1,D30&gt;2),E30&lt;&gt;3,OR(F30&lt;4,F30&gt;5),OR(G30&lt;6,G30&gt;7),OR(H30&lt;8,H30&gt;9)))),(AND(Projektgrundlagen!$I$19,AND(D30&lt;&gt;1,E30&lt;&gt;2,F30&lt;&gt;3,G30&lt;&gt;4,OR(H30&lt;5,H30&gt;6))))),0,SUM(D30:H30))),0)</f>
        <v>0</v>
      </c>
      <c r="L30" s="616"/>
    </row>
    <row r="31" spans="2:14" ht="16.5" customHeight="1">
      <c r="B31" s="11"/>
      <c r="C31" s="19" t="s">
        <v>508</v>
      </c>
      <c r="D31" s="19" t="str">
        <f>IF(AND(Projektgrundlagen!$I$20,NOT(Projektgrundlagen!$I$19)),"(1-2)","(1)")</f>
        <v>(1)</v>
      </c>
      <c r="E31" s="19" t="str">
        <f>IF(AND(Projektgrundlagen!$I$20,NOT(Projektgrundlagen!$I$19)),"(3)","(2)")</f>
        <v>(2)</v>
      </c>
      <c r="F31" s="19" t="str">
        <f>IF(AND(Projektgrundlagen!$I$20,NOT(Projektgrundlagen!$I$19)),"(4-5)","(3)")</f>
        <v>(3)</v>
      </c>
      <c r="G31" s="57" t="str">
        <f>IF(AND(Projektgrundlagen!$I$20,NOT(Projektgrundlagen!$I$19)),"(6-7)","(4)")</f>
        <v>(4)</v>
      </c>
      <c r="H31" s="19" t="str">
        <f>IF(AND(Projektgrundlagen!$I$20,NOT(Projektgrundlagen!$I$19)),"(8-9)","(5-6)")</f>
        <v>(5-6)</v>
      </c>
      <c r="I31" s="19"/>
      <c r="L31" s="616"/>
    </row>
    <row r="32" spans="2:14">
      <c r="B32" s="11"/>
      <c r="C32" s="61"/>
      <c r="D32" s="18" t="s">
        <v>91</v>
      </c>
      <c r="E32" s="18" t="s">
        <v>92</v>
      </c>
      <c r="F32" s="18" t="s">
        <v>93</v>
      </c>
      <c r="G32" s="58" t="s">
        <v>94</v>
      </c>
      <c r="H32" s="18" t="s">
        <v>95</v>
      </c>
      <c r="I32" s="60"/>
      <c r="L32" s="616"/>
    </row>
    <row r="33" spans="1:14" ht="43.5" customHeight="1">
      <c r="B33" s="11"/>
      <c r="C33" s="52" t="str">
        <f>IF(AND(Projektgrundlagen!$I$20,NOT(Projektgrundlagen!$I$19)),"konstruktive Detailgestaltung","Ausbau")</f>
        <v>Ausbau</v>
      </c>
      <c r="D33" s="1885"/>
      <c r="E33" s="1885"/>
      <c r="F33" s="1885"/>
      <c r="G33" s="1885"/>
      <c r="H33" s="1885"/>
      <c r="I33" s="59">
        <f>IF($K$15,IF(COUNT(D33:H33)&lt;&gt;1,0,IF(OR((AND(AND(Projektgrundlagen!$I$20,NOT(Projektgrundlagen!$I$19)),AND(OR(D33&lt;1,D33&gt;2),E33&lt;&gt;3,OR(F33&lt;4,F33&gt;5),OR(G33&lt;6,G33&gt;7),OR(H33&lt;8,H33&gt;9)))),(AND(Projektgrundlagen!$I$19,AND(D33&lt;&gt;1,E33&lt;&gt;2,F33&lt;&gt;3,G33&lt;&gt;4,OR(H33&lt;5,H33&gt;6))))),0,SUM(D33:H33))),0)</f>
        <v>0</v>
      </c>
      <c r="L33" s="616"/>
    </row>
    <row r="34" spans="1:14" ht="16.5" customHeight="1">
      <c r="B34" s="11"/>
      <c r="C34" s="19" t="s">
        <v>508</v>
      </c>
      <c r="D34" s="19" t="str">
        <f>IF(AND(Projektgrundlagen!$I$20,NOT(Projektgrundlagen!$I$19)),"(1-2)","(1)")</f>
        <v>(1)</v>
      </c>
      <c r="E34" s="19" t="str">
        <f>IF(AND(Projektgrundlagen!$I$20,NOT(Projektgrundlagen!$I$19)),"(3)","(2)")</f>
        <v>(2)</v>
      </c>
      <c r="F34" s="19" t="str">
        <f>IF(AND(Projektgrundlagen!$I$20,NOT(Projektgrundlagen!$I$19)),"(4-5)","(3)")</f>
        <v>(3)</v>
      </c>
      <c r="G34" s="57" t="str">
        <f>IF(AND(Projektgrundlagen!$I$20,NOT(Projektgrundlagen!$I$19)),"(6-7)","(4)")</f>
        <v>(4)</v>
      </c>
      <c r="H34" s="19" t="str">
        <f>IF(AND(Projektgrundlagen!$I$20,NOT(Projektgrundlagen!$I$19)),"(8-9)","(5-6)")</f>
        <v>(5-6)</v>
      </c>
      <c r="I34" s="19"/>
    </row>
    <row r="35" spans="1:14" s="21" customFormat="1" ht="16.5" customHeight="1" thickBot="1">
      <c r="A35" s="1069"/>
      <c r="B35" s="20"/>
      <c r="C35" s="501"/>
      <c r="H35" s="81" t="s">
        <v>57</v>
      </c>
      <c r="I35" s="381">
        <f>IF(OR(AND(K15,K12),AND(NOT(K15),NOT(K12))),0,IF(K15,IF(COUNTIF(I18:I33,"&gt;0")=6,SUM(I18:I33),0),0))</f>
        <v>0</v>
      </c>
    </row>
    <row r="36" spans="1:14" s="21" customFormat="1" ht="16.5" customHeight="1" thickBot="1">
      <c r="A36" s="1069"/>
      <c r="B36" s="801"/>
      <c r="C36" s="802"/>
      <c r="D36" s="803"/>
      <c r="E36" s="803"/>
      <c r="F36" s="803"/>
      <c r="G36" s="803"/>
      <c r="H36" s="500" t="s">
        <v>56</v>
      </c>
      <c r="I36" s="751">
        <f>IF(NOT(K15),0,IF(I35&lt;1,0,IF(I35&lt;=10,1,IF(I35&lt;=18,2,IF(I35&lt;=26,3,IF(I35&lt;=34,4,5))))))</f>
        <v>0</v>
      </c>
      <c r="J36" s="35"/>
      <c r="K36" s="35"/>
      <c r="L36" s="35"/>
      <c r="M36" s="35"/>
      <c r="N36" s="35"/>
    </row>
    <row r="37" spans="1:14" ht="13.2">
      <c r="A37" s="1070"/>
      <c r="B37" s="11"/>
      <c r="C37" s="14" t="s">
        <v>148</v>
      </c>
      <c r="D37" s="14"/>
      <c r="F37" s="23"/>
      <c r="G37" s="14"/>
      <c r="I37" s="22"/>
    </row>
    <row r="38" spans="1:14" ht="13.2">
      <c r="A38" s="1070"/>
      <c r="B38" s="11"/>
      <c r="C38" s="180" t="s">
        <v>147</v>
      </c>
      <c r="D38" s="14"/>
      <c r="F38" s="56"/>
      <c r="G38" s="56"/>
      <c r="I38" s="22"/>
    </row>
    <row r="39" spans="1:14" ht="13.2">
      <c r="A39" s="1070"/>
      <c r="B39" s="11"/>
      <c r="C39" s="180" t="s">
        <v>504</v>
      </c>
      <c r="D39" s="14"/>
      <c r="F39" s="56"/>
      <c r="G39" s="56"/>
      <c r="I39" s="22"/>
    </row>
    <row r="40" spans="1:14" ht="13.2">
      <c r="A40" s="1070"/>
      <c r="B40" s="11"/>
      <c r="C40" s="180" t="s">
        <v>505</v>
      </c>
      <c r="D40" s="14"/>
      <c r="F40" s="56"/>
      <c r="G40" s="56"/>
      <c r="I40" s="22"/>
    </row>
    <row r="41" spans="1:14" ht="13.2">
      <c r="A41" s="1070"/>
      <c r="B41" s="11"/>
      <c r="C41" s="180" t="s">
        <v>506</v>
      </c>
      <c r="D41" s="14"/>
      <c r="F41" s="56"/>
      <c r="G41" s="56"/>
      <c r="I41" s="22"/>
    </row>
    <row r="42" spans="1:14" ht="13.2">
      <c r="A42" s="1070"/>
      <c r="B42" s="112"/>
      <c r="C42" s="798" t="s">
        <v>507</v>
      </c>
      <c r="D42" s="799"/>
      <c r="E42" s="8"/>
      <c r="F42" s="800"/>
      <c r="G42" s="800"/>
      <c r="H42" s="8"/>
      <c r="I42" s="26"/>
    </row>
    <row r="43" spans="1:14"/>
    <row r="45" spans="1:14" ht="12" hidden="1" customHeight="1"/>
  </sheetData>
  <sheetProtection algorithmName="SHA-512" hashValue="9rNrkkaV6WiN3B5sYU+woQ/yIBs88j2RFQi8vjo4Fv8pr2W5eCMX6hTkpuT1R3G4rq4+foru9AZJL97y+nLUsQ==" saltValue="Lhq48ZLoXNtn/OrGP6aV7Q==" spinCount="100000" sheet="1" formatRows="0"/>
  <dataConsolidate/>
  <mergeCells count="16">
    <mergeCell ref="D16:H16"/>
    <mergeCell ref="J2:J8"/>
    <mergeCell ref="C10:H10"/>
    <mergeCell ref="D8:I8"/>
    <mergeCell ref="B7:C7"/>
    <mergeCell ref="B6:C6"/>
    <mergeCell ref="H2:I2"/>
    <mergeCell ref="H3:I3"/>
    <mergeCell ref="H5:I5"/>
    <mergeCell ref="D6:I6"/>
    <mergeCell ref="D7:I7"/>
    <mergeCell ref="B5:C5"/>
    <mergeCell ref="D5:F5"/>
    <mergeCell ref="B8:C8"/>
    <mergeCell ref="B2:F2"/>
    <mergeCell ref="B3:F3"/>
  </mergeCells>
  <conditionalFormatting sqref="B12">
    <cfRule type="expression" dxfId="2471" priority="71">
      <formula>AND(K12,K15)</formula>
    </cfRule>
    <cfRule type="expression" dxfId="2470" priority="70">
      <formula>AND(NOT(K12),NOT(K15))</formula>
    </cfRule>
  </conditionalFormatting>
  <conditionalFormatting sqref="B15">
    <cfRule type="expression" dxfId="2469" priority="473">
      <formula>AND(K12,K15)</formula>
    </cfRule>
    <cfRule type="expression" dxfId="2468" priority="472">
      <formula>AND(NOT(K12),NOT(K15))</formula>
    </cfRule>
  </conditionalFormatting>
  <conditionalFormatting sqref="D18">
    <cfRule type="expression" dxfId="2467" priority="43">
      <formula>AND(D18&lt;&gt;"",D18&lt;&gt;1)</formula>
    </cfRule>
    <cfRule type="expression" dxfId="2466" priority="14">
      <formula>IF(AND(K15,NOT(K12)),0,1)</formula>
    </cfRule>
  </conditionalFormatting>
  <conditionalFormatting sqref="D27">
    <cfRule type="expression" dxfId="2463" priority="25">
      <formula>AND(D27&lt;&gt;"",D27&lt;&gt;1)</formula>
    </cfRule>
  </conditionalFormatting>
  <conditionalFormatting sqref="D18:H18">
    <cfRule type="expression" dxfId="2460" priority="15">
      <formula>AND(NOT($K$12),$K$15,COUNT($D$18:$H$18)&lt;1)</formula>
    </cfRule>
    <cfRule type="expression" dxfId="2459" priority="38">
      <formula>COUNT($D18:$H18)&gt;1</formula>
    </cfRule>
  </conditionalFormatting>
  <conditionalFormatting sqref="D21:H21 D24:H24 D27:H27 D33:H33">
    <cfRule type="expression" dxfId="2458" priority="9">
      <formula>IF(AND($K$15,NOT($K$12)),0,1)</formula>
    </cfRule>
  </conditionalFormatting>
  <conditionalFormatting sqref="D21:H21">
    <cfRule type="expression" dxfId="2457" priority="16">
      <formula>AND(NOT($K$12),$K15,COUNT($D21:$H21)&lt;1)</formula>
    </cfRule>
    <cfRule type="expression" dxfId="2456" priority="17">
      <formula>COUNT($D21:$H21)&gt;1</formula>
    </cfRule>
  </conditionalFormatting>
  <conditionalFormatting sqref="D24:H24">
    <cfRule type="expression" dxfId="2455" priority="29">
      <formula>COUNT($D24:$H24)&gt;1</formula>
    </cfRule>
    <cfRule type="expression" dxfId="2454" priority="28">
      <formula>AND(NOT($K$12),$K15,COUNT($D24:$H24)&lt;1)</formula>
    </cfRule>
  </conditionalFormatting>
  <conditionalFormatting sqref="D27:H27">
    <cfRule type="expression" dxfId="2453" priority="24">
      <formula>COUNT($D27:$H27)&gt;1</formula>
    </cfRule>
    <cfRule type="expression" dxfId="2452" priority="23">
      <formula>AND(NOT($K$12),$K15,COUNT($D27:$H27)&lt;1)</formula>
    </cfRule>
  </conditionalFormatting>
  <conditionalFormatting sqref="D30:H30">
    <cfRule type="expression" dxfId="2451" priority="2">
      <formula>AND(NOT($K$12),$K15,COUNT($D30:$H30)&lt;1)</formula>
    </cfRule>
    <cfRule type="expression" dxfId="2450" priority="3">
      <formula>COUNT($D30:$H30)&gt;1</formula>
    </cfRule>
    <cfRule type="expression" dxfId="2449" priority="1">
      <formula>IF(AND($K$15,NOT($K$12)),0,1)</formula>
    </cfRule>
  </conditionalFormatting>
  <conditionalFormatting sqref="D33:H33">
    <cfRule type="expression" dxfId="2448" priority="19">
      <formula>COUNT($D33:$H33)&gt;1</formula>
    </cfRule>
    <cfRule type="expression" dxfId="2447" priority="18">
      <formula>AND(NOT($K$12),$K15,COUNT($D33:$H33)&lt;1)</formula>
    </cfRule>
  </conditionalFormatting>
  <conditionalFormatting sqref="E18">
    <cfRule type="expression" dxfId="2446" priority="13">
      <formula>IF(AND(K15,NOT(K12)),0,1)</formula>
    </cfRule>
    <cfRule type="expression" dxfId="2445" priority="42">
      <formula>AND(E18&lt;&gt;"",E18&lt;&gt;2)</formula>
    </cfRule>
  </conditionalFormatting>
  <conditionalFormatting sqref="E27">
    <cfRule type="expression" dxfId="2442" priority="47">
      <formula>AND(E27&lt;&gt;"",E27&lt;&gt;2)</formula>
    </cfRule>
  </conditionalFormatting>
  <conditionalFormatting sqref="F18">
    <cfRule type="expression" dxfId="2439" priority="41">
      <formula>AND(F18&lt;&gt;"",F18&lt;&gt;3)</formula>
    </cfRule>
    <cfRule type="expression" dxfId="2438" priority="12">
      <formula>IF(AND(K15,NOT(K12)),0,1)</formula>
    </cfRule>
  </conditionalFormatting>
  <conditionalFormatting sqref="F27">
    <cfRule type="expression" dxfId="2435" priority="46">
      <formula>AND(F27&lt;&gt;"",F27&lt;&gt;3)</formula>
    </cfRule>
  </conditionalFormatting>
  <conditionalFormatting sqref="G18">
    <cfRule type="expression" dxfId="2432" priority="40">
      <formula>AND(G18&lt;&gt;"",G18&lt;&gt;4)</formula>
    </cfRule>
    <cfRule type="expression" dxfId="2431" priority="11">
      <formula>IF(AND(K15,NOT(K12)),0,1)</formula>
    </cfRule>
  </conditionalFormatting>
  <conditionalFormatting sqref="G27">
    <cfRule type="expression" dxfId="2428" priority="27">
      <formula>AND(G27&lt;&gt;"",G27&lt;&gt;4)</formula>
    </cfRule>
  </conditionalFormatting>
  <conditionalFormatting sqref="H13">
    <cfRule type="expression" dxfId="2425" priority="61">
      <formula>AND($K$12,NOT($K$15))</formula>
    </cfRule>
  </conditionalFormatting>
  <conditionalFormatting sqref="H18">
    <cfRule type="expression" dxfId="2424" priority="10">
      <formula>IF(AND(K15,NOT(K12)),0,1)</formula>
    </cfRule>
    <cfRule type="expression" dxfId="2423" priority="39">
      <formula>AND(H18&lt;&gt;"",OR(H18&lt;5,H18&gt;6))</formula>
    </cfRule>
  </conditionalFormatting>
  <conditionalFormatting sqref="H27">
    <cfRule type="expression" dxfId="2420" priority="26">
      <formula>AND(H27&lt;&gt;"",OR(H27&lt;5,H27&gt;6))</formula>
    </cfRule>
  </conditionalFormatting>
  <conditionalFormatting sqref="H36">
    <cfRule type="expression" dxfId="2417" priority="60">
      <formula>AND($K$15,NOT($K$12))</formula>
    </cfRule>
  </conditionalFormatting>
  <conditionalFormatting sqref="I13">
    <cfRule type="expression" dxfId="2416" priority="58">
      <formula>AND(K12,NOT(K15),I13="")</formula>
    </cfRule>
    <cfRule type="expression" dxfId="2415" priority="59">
      <formula>OR(COUNTIF(K12:K15,TRUE)&lt;&gt;1,NOT(K12))</formula>
    </cfRule>
    <cfRule type="expression" dxfId="2414" priority="69">
      <formula>AND(K12,NOT(K15),I13&lt;&gt;"",OR(I13&lt;1,I13&gt;5))</formula>
    </cfRule>
  </conditionalFormatting>
  <conditionalFormatting sqref="I36">
    <cfRule type="expression" dxfId="2413" priority="89">
      <formula>AND(NOT(K12),K15,I36=0)</formula>
    </cfRule>
  </conditionalFormatting>
  <dataValidations count="1">
    <dataValidation allowBlank="1" showInputMessage="1" errorTitle="Achtung!" error="Falsche Eingabe" promptTitle="Honorazone " prompt="Ganze arabische Zahl zwischen 1 und 5" sqref="I13:I14" xr:uid="{00000000-0002-0000-0200-000000000000}"/>
  </dataValidations>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August 2022&amp;R&amp;P</oddFooter>
  </headerFooter>
  <ignoredErrors>
    <ignoredError sqref="G19 D19:F1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485" r:id="rId4" name="Check Box 5">
              <controlPr defaultSize="0" autoFill="0" autoLine="0" autoPict="0" altText="3 Fahrstreifen">
                <anchor moveWithCells="1">
                  <from>
                    <xdr:col>1</xdr:col>
                    <xdr:colOff>0</xdr:colOff>
                    <xdr:row>11</xdr:row>
                    <xdr:rowOff>0</xdr:rowOff>
                  </from>
                  <to>
                    <xdr:col>2</xdr:col>
                    <xdr:colOff>0</xdr:colOff>
                    <xdr:row>12</xdr:row>
                    <xdr:rowOff>7620</xdr:rowOff>
                  </to>
                </anchor>
              </controlPr>
            </control>
          </mc:Choice>
        </mc:AlternateContent>
        <mc:AlternateContent xmlns:mc="http://schemas.openxmlformats.org/markup-compatibility/2006">
          <mc:Choice Requires="x14">
            <control shapeId="20486" r:id="rId5" name="Check Box 6">
              <controlPr defaultSize="0" autoFill="0" autoLine="0" autoPict="0" altText="">
                <anchor moveWithCells="1">
                  <from>
                    <xdr:col>1</xdr:col>
                    <xdr:colOff>0</xdr:colOff>
                    <xdr:row>14</xdr:row>
                    <xdr:rowOff>0</xdr:rowOff>
                  </from>
                  <to>
                    <xdr:col>2</xdr:col>
                    <xdr:colOff>0</xdr:colOff>
                    <xdr:row>15</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7" id="{9CE94175-33D7-4D54-8A97-A5BA09D4CB27}">
            <xm:f>OR(AND(D21&lt;&gt;"",Projektgrundlagen!$I$20,NOT(Projektgrundlagen!$I$19),D21&lt;&gt;1),AND(D21&lt;&gt;"",OR(D21&lt;1,D21&gt;2)))</xm:f>
            <x14:dxf>
              <font>
                <b val="0"/>
                <i/>
                <strike/>
                <color rgb="FFC00000"/>
              </font>
              <border>
                <left style="thin">
                  <color rgb="FFC00000"/>
                </left>
                <right style="thin">
                  <color rgb="FFC00000"/>
                </right>
                <top style="thin">
                  <color rgb="FFC00000"/>
                </top>
                <bottom style="thin">
                  <color rgb="FFC00000"/>
                </bottom>
                <vertical/>
                <horizontal/>
              </border>
            </x14:dxf>
          </x14:cfRule>
          <xm:sqref>D21</xm:sqref>
        </x14:conditionalFormatting>
        <x14:conditionalFormatting xmlns:xm="http://schemas.microsoft.com/office/excel/2006/main">
          <x14:cfRule type="expression" priority="45" id="{6F1D1D9C-AB0E-4C89-8113-ACB1CD7B3CDF}">
            <xm:f>OR(AND(D24&lt;&gt;"",Projektgrundlagen!$I$20,NOT(Projektgrundlagen!$I$19),D24&lt;&gt;1),AND(D24&lt;&gt;"",OR(D24&lt;1,D24&gt;2)))</xm:f>
            <x14:dxf>
              <font>
                <b val="0"/>
                <i/>
                <strike/>
                <color rgb="FFC00000"/>
              </font>
              <border>
                <left style="thin">
                  <color rgb="FFC00000"/>
                </left>
                <right style="thin">
                  <color rgb="FFC00000"/>
                </right>
                <top style="thin">
                  <color rgb="FFC00000"/>
                </top>
                <bottom style="thin">
                  <color rgb="FFC00000"/>
                </bottom>
                <vertical/>
                <horizontal/>
              </border>
            </x14:dxf>
          </x14:cfRule>
          <xm:sqref>D24</xm:sqref>
        </x14:conditionalFormatting>
        <x14:conditionalFormatting xmlns:xm="http://schemas.microsoft.com/office/excel/2006/main">
          <x14:cfRule type="expression" priority="4" id="{AA02034E-F4EB-4626-A3CE-8F0468A0CAE3}">
            <xm:f>OR(AND(D30&lt;&gt;"",Projektgrundlagen!$I$20,NOT(Projektgrundlagen!$I$19),OR(D30&lt;1,D30&gt;2)),AND(D30&lt;&gt;"",D30&lt;&gt;1))</xm:f>
            <x14:dxf>
              <font>
                <b val="0"/>
                <i/>
                <strike/>
                <color rgb="FFC00000"/>
              </font>
              <border>
                <left style="thin">
                  <color rgb="FFC00000"/>
                </left>
                <right style="thin">
                  <color rgb="FFC00000"/>
                </right>
                <top style="thin">
                  <color rgb="FFC00000"/>
                </top>
                <bottom style="thin">
                  <color rgb="FFC00000"/>
                </bottom>
                <vertical/>
                <horizontal/>
              </border>
            </x14:dxf>
          </x14:cfRule>
          <xm:sqref>D30</xm:sqref>
        </x14:conditionalFormatting>
        <x14:conditionalFormatting xmlns:xm="http://schemas.microsoft.com/office/excel/2006/main">
          <x14:cfRule type="expression" priority="20" id="{EC9C52BD-AB9D-4D2F-80AD-6F387DDD6211}">
            <xm:f>OR(AND(D33&lt;&gt;"",Projektgrundlagen!$I$20,NOT(Projektgrundlagen!$I$19),OR(D33&lt;1,D33&gt;2)),AND(D33&lt;&gt;"",D33&lt;&gt;1))</xm:f>
            <x14:dxf>
              <font>
                <b val="0"/>
                <i/>
                <strike/>
                <color rgb="FFC00000"/>
              </font>
              <border>
                <left style="thin">
                  <color rgb="FFC00000"/>
                </left>
                <right style="thin">
                  <color rgb="FFC00000"/>
                </right>
                <top style="thin">
                  <color rgb="FFC00000"/>
                </top>
                <bottom style="thin">
                  <color rgb="FFC00000"/>
                </bottom>
                <vertical/>
                <horizontal/>
              </border>
            </x14:dxf>
          </x14:cfRule>
          <xm:sqref>D33</xm:sqref>
        </x14:conditionalFormatting>
        <x14:conditionalFormatting xmlns:xm="http://schemas.microsoft.com/office/excel/2006/main">
          <x14:cfRule type="expression" priority="36" id="{77FD30D3-1E03-414D-A439-693FDA705A15}">
            <xm:f>OR(AND(E21&lt;&gt;"",Projektgrundlagen!$I$20,NOT(Projektgrundlagen!$I$19),E21&lt;&gt;2),AND(E21&lt;&gt;"",E21&lt;&gt;3))</xm:f>
            <x14:dxf>
              <font>
                <b val="0"/>
                <i/>
                <strike/>
                <color rgb="FFC00000"/>
              </font>
              <border>
                <left style="thin">
                  <color rgb="FFC00000"/>
                </left>
                <right style="thin">
                  <color rgb="FFC00000"/>
                </right>
                <top style="thin">
                  <color rgb="FFC00000"/>
                </top>
                <bottom style="thin">
                  <color rgb="FFC00000"/>
                </bottom>
                <vertical/>
                <horizontal/>
              </border>
            </x14:dxf>
          </x14:cfRule>
          <xm:sqref>E21</xm:sqref>
        </x14:conditionalFormatting>
        <x14:conditionalFormatting xmlns:xm="http://schemas.microsoft.com/office/excel/2006/main">
          <x14:cfRule type="expression" priority="44" id="{A77772CC-EC67-432A-9243-7112E9CC31C4}">
            <xm:f>OR(AND(E24&lt;&gt;"",Projektgrundlagen!$I$20,NOT(Projektgrundlagen!$I$19),E24&lt;&gt;2),AND(E24&lt;&gt;"",E24&lt;&gt;3))</xm:f>
            <x14:dxf>
              <font>
                <b val="0"/>
                <i/>
                <strike/>
                <color rgb="FFC00000"/>
              </font>
              <border>
                <left style="thin">
                  <color rgb="FFC00000"/>
                </left>
                <right style="thin">
                  <color rgb="FFC00000"/>
                </right>
                <top style="thin">
                  <color rgb="FFC00000"/>
                </top>
                <bottom style="thin">
                  <color rgb="FFC00000"/>
                </bottom>
                <vertical/>
                <horizontal/>
              </border>
            </x14:dxf>
          </x14:cfRule>
          <xm:sqref>E24</xm:sqref>
        </x14:conditionalFormatting>
        <x14:conditionalFormatting xmlns:xm="http://schemas.microsoft.com/office/excel/2006/main">
          <x14:cfRule type="expression" priority="8" id="{7658F70C-A760-4595-A199-61D1A4D4468F}">
            <xm:f>OR(AND(E30&lt;&gt;"",Projektgrundlagen!$I$20,NOT(Projektgrundlagen!$I$19),E30&lt;&gt;3),AND(E30&lt;&gt;"",E30&lt;&gt;2))</xm:f>
            <x14:dxf>
              <font>
                <strike/>
                <color rgb="FFC00000"/>
              </font>
              <border>
                <left style="thin">
                  <color rgb="FFC00000"/>
                </left>
                <right style="thin">
                  <color rgb="FFC00000"/>
                </right>
                <top style="thin">
                  <color rgb="FFC00000"/>
                </top>
                <bottom style="thin">
                  <color rgb="FFC00000"/>
                </bottom>
                <vertical/>
                <horizontal/>
              </border>
            </x14:dxf>
          </x14:cfRule>
          <xm:sqref>E30</xm:sqref>
        </x14:conditionalFormatting>
        <x14:conditionalFormatting xmlns:xm="http://schemas.microsoft.com/office/excel/2006/main">
          <x14:cfRule type="expression" priority="49" id="{D9B00C98-CDB8-4A1B-BCF3-45BC4635F2A4}">
            <xm:f>OR(AND(E33&lt;&gt;"",Projektgrundlagen!$I$20,NOT(Projektgrundlagen!$I$19),E33&lt;&gt;3),AND(E33&lt;&gt;"",E33&lt;&gt;2))</xm:f>
            <x14:dxf>
              <font>
                <strike/>
                <color rgb="FFC00000"/>
              </font>
              <border>
                <left style="thin">
                  <color rgb="FFC00000"/>
                </left>
                <right style="thin">
                  <color rgb="FFC00000"/>
                </right>
                <top style="thin">
                  <color rgb="FFC00000"/>
                </top>
                <bottom style="thin">
                  <color rgb="FFC00000"/>
                </bottom>
                <vertical/>
                <horizontal/>
              </border>
            </x14:dxf>
          </x14:cfRule>
          <xm:sqref>E33</xm:sqref>
        </x14:conditionalFormatting>
        <x14:conditionalFormatting xmlns:xm="http://schemas.microsoft.com/office/excel/2006/main">
          <x14:cfRule type="expression" priority="35" id="{4505854B-7754-41CC-A9E9-20F46006A18D}">
            <xm:f>OR(AND(F21&lt;&gt;"",Projektgrundlagen!$I$20,NOT(Projektgrundlagen!$I$19),F21&lt;&gt;3),AND(F21&lt;&gt;"",OR(F21&lt;4,F21&gt;5)))</xm:f>
            <x14:dxf>
              <font>
                <b val="0"/>
                <i/>
                <strike/>
                <color rgb="FFC00000"/>
              </font>
              <border>
                <left style="thin">
                  <color theme="5"/>
                </left>
                <right style="thin">
                  <color theme="5"/>
                </right>
                <top style="thin">
                  <color theme="5"/>
                </top>
                <bottom style="thin">
                  <color theme="5"/>
                </bottom>
                <vertical/>
                <horizontal/>
              </border>
            </x14:dxf>
          </x14:cfRule>
          <xm:sqref>F21</xm:sqref>
        </x14:conditionalFormatting>
        <x14:conditionalFormatting xmlns:xm="http://schemas.microsoft.com/office/excel/2006/main">
          <x14:cfRule type="expression" priority="32" id="{CCC91877-4A29-45ED-942D-68DC55B4112B}">
            <xm:f>OR(AND(F24&lt;&gt;"",Projektgrundlagen!$I$20,NOT(Projektgrundlagen!$I$19),F24&lt;&gt;3),AND(F24&lt;&gt;"",OR(F24&lt;4,F24&gt;5)))</xm:f>
            <x14:dxf>
              <font>
                <b val="0"/>
                <i val="0"/>
                <strike/>
                <color rgb="FFC00000"/>
              </font>
              <border>
                <left style="thin">
                  <color theme="5"/>
                </left>
                <right style="thin">
                  <color theme="5"/>
                </right>
                <top style="thin">
                  <color theme="5"/>
                </top>
                <bottom style="thin">
                  <color theme="5"/>
                </bottom>
                <vertical/>
                <horizontal/>
              </border>
            </x14:dxf>
          </x14:cfRule>
          <xm:sqref>F24</xm:sqref>
        </x14:conditionalFormatting>
        <x14:conditionalFormatting xmlns:xm="http://schemas.microsoft.com/office/excel/2006/main">
          <x14:cfRule type="expression" priority="7" id="{AD0F1DC5-7601-48E1-BFAB-FEC4C598E2CD}">
            <xm:f>OR(AND(F30&lt;&gt;"",Projektgrundlagen!$I$20,NOT(Projektgrundlagen!$I$19),OR(F30&lt;4,F30&gt;5)),AND(F30&lt;&gt;"",F30&lt;&gt;3))</xm:f>
            <x14:dxf>
              <font>
                <b val="0"/>
                <i/>
                <strike/>
                <color rgb="FFC00000"/>
              </font>
              <border>
                <left style="thin">
                  <color theme="5"/>
                </left>
                <right style="thin">
                  <color theme="5"/>
                </right>
                <top style="thin">
                  <color theme="5"/>
                </top>
                <bottom style="thin">
                  <color theme="5"/>
                </bottom>
                <vertical/>
                <horizontal/>
              </border>
            </x14:dxf>
          </x14:cfRule>
          <xm:sqref>F30</xm:sqref>
        </x14:conditionalFormatting>
        <x14:conditionalFormatting xmlns:xm="http://schemas.microsoft.com/office/excel/2006/main">
          <x14:cfRule type="expression" priority="48" id="{FDC970E3-E3B9-434A-9406-718158EB947E}">
            <xm:f>OR(AND(F33&lt;&gt;"",Projektgrundlagen!$I$20,NOT(Projektgrundlagen!$I$19),OR(F33&lt;4,F33&gt;5)),AND(F33&lt;&gt;"",F33&lt;&gt;3))</xm:f>
            <x14:dxf>
              <font>
                <b val="0"/>
                <i/>
                <strike/>
                <color rgb="FFC00000"/>
              </font>
              <border>
                <left style="thin">
                  <color theme="5"/>
                </left>
                <right style="thin">
                  <color theme="5"/>
                </right>
                <top style="thin">
                  <color theme="5"/>
                </top>
                <bottom style="thin">
                  <color theme="5"/>
                </bottom>
                <vertical/>
                <horizontal/>
              </border>
            </x14:dxf>
          </x14:cfRule>
          <xm:sqref>F33</xm:sqref>
        </x14:conditionalFormatting>
        <x14:conditionalFormatting xmlns:xm="http://schemas.microsoft.com/office/excel/2006/main">
          <x14:cfRule type="expression" priority="34" id="{F1110B6A-8092-4FBB-9786-BE385F79D519}">
            <xm:f>OR(AND(G21&lt;&gt;"",Projektgrundlagen!$I$20,NOT(Projektgrundlagen!$I$19),G21&lt;&gt;4),AND(G21&lt;&gt;"",OR(G21&lt;6,G21&gt;7)))</xm:f>
            <x14:dxf>
              <font>
                <b val="0"/>
                <i/>
                <strike/>
                <color rgb="FFC00000"/>
              </font>
              <border>
                <left style="thin">
                  <color rgb="FFC00000"/>
                </left>
                <right style="thin">
                  <color rgb="FFC00000"/>
                </right>
                <top style="thin">
                  <color rgb="FFC00000"/>
                </top>
                <bottom style="thin">
                  <color rgb="FFC00000"/>
                </bottom>
                <vertical/>
                <horizontal/>
              </border>
            </x14:dxf>
          </x14:cfRule>
          <xm:sqref>G21</xm:sqref>
        </x14:conditionalFormatting>
        <x14:conditionalFormatting xmlns:xm="http://schemas.microsoft.com/office/excel/2006/main">
          <x14:cfRule type="expression" priority="31" id="{C423195E-7437-45E8-B422-3E929A68F086}">
            <xm:f>OR(AND(G24&lt;&gt;"",Projektgrundlagen!$I$20,NOT(Projektgrundlagen!$I$19),G24&lt;&gt;4),AND(G24&lt;&gt;"",OR(G21&lt;6,G24&gt;7)))</xm:f>
            <x14:dxf>
              <font>
                <b val="0"/>
                <i/>
                <strike/>
                <color rgb="FFC00000"/>
              </font>
              <border>
                <left style="thin">
                  <color rgb="FFC00000"/>
                </left>
                <right style="thin">
                  <color rgb="FFC00000"/>
                </right>
                <top style="thin">
                  <color rgb="FFC00000"/>
                </top>
                <bottom style="thin">
                  <color rgb="FFC00000"/>
                </bottom>
                <vertical/>
                <horizontal/>
              </border>
            </x14:dxf>
          </x14:cfRule>
          <xm:sqref>G24</xm:sqref>
        </x14:conditionalFormatting>
        <x14:conditionalFormatting xmlns:xm="http://schemas.microsoft.com/office/excel/2006/main">
          <x14:cfRule type="expression" priority="6" id="{D4D19ED1-0EC2-47D2-BD4D-8173CBFD396C}">
            <xm:f>OR(AND(G30&lt;&gt;"",Projektgrundlagen!$I$20,NOT(Projektgrundlagen!$I$19),OR(G30&lt;6,G30&gt;7)),AND(G30&lt;&gt;"",G30&lt;&gt;4))</xm:f>
            <x14:dxf>
              <font>
                <b val="0"/>
                <i/>
                <strike/>
                <color rgb="FFC00000"/>
              </font>
              <border>
                <left style="thin">
                  <color rgb="FFC00000"/>
                </left>
                <right style="thin">
                  <color rgb="FFC00000"/>
                </right>
                <top style="thin">
                  <color rgb="FFC00000"/>
                </top>
                <bottom style="thin">
                  <color rgb="FFC00000"/>
                </bottom>
                <vertical/>
                <horizontal/>
              </border>
            </x14:dxf>
          </x14:cfRule>
          <xm:sqref>G30</xm:sqref>
        </x14:conditionalFormatting>
        <x14:conditionalFormatting xmlns:xm="http://schemas.microsoft.com/office/excel/2006/main">
          <x14:cfRule type="expression" priority="22" id="{9906DD2C-3910-48D1-A344-CDAC78DB6BCA}">
            <xm:f>OR(AND(G33&lt;&gt;"",Projektgrundlagen!$I$20,NOT(Projektgrundlagen!$I$19),OR(G33&lt;6,G33&gt;7)),AND(G33&lt;&gt;"",G33&lt;&gt;4))</xm:f>
            <x14:dxf>
              <font>
                <b val="0"/>
                <i/>
                <strike/>
                <color rgb="FFC00000"/>
              </font>
              <border>
                <left style="thin">
                  <color rgb="FFC00000"/>
                </left>
                <right style="thin">
                  <color rgb="FFC00000"/>
                </right>
                <top style="thin">
                  <color rgb="FFC00000"/>
                </top>
                <bottom style="thin">
                  <color rgb="FFC00000"/>
                </bottom>
                <vertical/>
                <horizontal/>
              </border>
            </x14:dxf>
          </x14:cfRule>
          <xm:sqref>G33</xm:sqref>
        </x14:conditionalFormatting>
        <x14:conditionalFormatting xmlns:xm="http://schemas.microsoft.com/office/excel/2006/main">
          <x14:cfRule type="expression" priority="33" id="{C9226299-5CB8-408A-BA0B-77D12C4AA74A}">
            <xm:f>OR(AND(H21&lt;&gt;"",Projektgrundlagen!$I$20,NOT(Projektgrundlagen!$I$19),OR(H21&lt;5,H21&gt;6)),AND(H21&lt;&gt;"",OR(H21&lt;8,H21&gt;9)))</xm:f>
            <x14:dxf>
              <font>
                <b val="0"/>
                <i/>
                <strike/>
                <color rgb="FFC00000"/>
              </font>
              <border>
                <left style="thin">
                  <color rgb="FFC00000"/>
                </left>
                <right style="thin">
                  <color rgb="FFC00000"/>
                </right>
                <top style="thin">
                  <color rgb="FFC00000"/>
                </top>
                <bottom style="thin">
                  <color rgb="FFC00000"/>
                </bottom>
                <vertical/>
                <horizontal/>
              </border>
            </x14:dxf>
          </x14:cfRule>
          <xm:sqref>H21</xm:sqref>
        </x14:conditionalFormatting>
        <x14:conditionalFormatting xmlns:xm="http://schemas.microsoft.com/office/excel/2006/main">
          <x14:cfRule type="expression" priority="30" id="{21533A7A-DFB6-4035-A7B3-4247C591A511}">
            <xm:f>OR(AND(H24&lt;&gt;"",Projektgrundlagen!$I$20,NOT(Projektgrundlagen!$I$19),OR(H24&lt;5,H24&gt;6)),AND(H24&lt;&gt;"",OR(H24&lt;8,H24&gt;9)))</xm:f>
            <x14:dxf>
              <font>
                <b val="0"/>
                <i/>
                <strike/>
                <color rgb="FFC00000"/>
              </font>
              <border>
                <left style="thin">
                  <color rgb="FFC00000"/>
                </left>
                <right style="thin">
                  <color rgb="FFC00000"/>
                </right>
                <top style="thin">
                  <color rgb="FFC00000"/>
                </top>
                <bottom style="thin">
                  <color rgb="FFC00000"/>
                </bottom>
                <vertical/>
                <horizontal/>
              </border>
            </x14:dxf>
          </x14:cfRule>
          <xm:sqref>H24</xm:sqref>
        </x14:conditionalFormatting>
        <x14:conditionalFormatting xmlns:xm="http://schemas.microsoft.com/office/excel/2006/main">
          <x14:cfRule type="expression" priority="5" id="{EC0B0901-E847-4BA0-BC59-74C91F660E73}">
            <xm:f>OR(AND(H30&lt;&gt;"",Projektgrundlagen!$I$20,NOT(Projektgrundlagen!$I$19),OR(H30&lt;8,H30&gt;9)),AND(H30&lt;&gt;"",OR(H30&lt;5,H30&gt;6)))</xm:f>
            <x14:dxf>
              <font>
                <b val="0"/>
                <i/>
                <strike/>
                <color rgb="FFC00000"/>
              </font>
              <border>
                <left style="thin">
                  <color rgb="FFC00000"/>
                </left>
                <right style="thin">
                  <color rgb="FFC00000"/>
                </right>
                <top style="thin">
                  <color rgb="FFC00000"/>
                </top>
                <bottom style="thin">
                  <color rgb="FFC00000"/>
                </bottom>
                <vertical/>
                <horizontal/>
              </border>
            </x14:dxf>
          </x14:cfRule>
          <xm:sqref>H30</xm:sqref>
        </x14:conditionalFormatting>
        <x14:conditionalFormatting xmlns:xm="http://schemas.microsoft.com/office/excel/2006/main">
          <x14:cfRule type="expression" priority="21" id="{CF8FF664-2F0A-4DE7-AA14-1171A03612D2}">
            <xm:f>OR(AND(H33&lt;&gt;"",Projektgrundlagen!$I$20,NOT(Projektgrundlagen!$I$19),OR(H33&lt;8,H33&gt;9)),AND(H33&lt;&gt;"",OR(H33&lt;5,H33&gt;6)))</xm:f>
            <x14:dxf>
              <font>
                <b val="0"/>
                <i/>
                <strike/>
                <color rgb="FFC00000"/>
              </font>
              <border>
                <left style="thin">
                  <color rgb="FFC00000"/>
                </left>
                <right style="thin">
                  <color rgb="FFC00000"/>
                </right>
                <top style="thin">
                  <color rgb="FFC00000"/>
                </top>
                <bottom style="thin">
                  <color rgb="FFC00000"/>
                </bottom>
                <vertical/>
                <horizontal/>
              </border>
            </x14:dxf>
          </x14:cfRule>
          <xm:sqref>H33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tabColor theme="6" tint="0.59999389629810485"/>
    <pageSetUpPr fitToPage="1"/>
  </sheetPr>
  <dimension ref="A1:O266"/>
  <sheetViews>
    <sheetView showGridLines="0" showRuler="0" zoomScaleNormal="100" zoomScaleSheetLayoutView="100" zoomScalePageLayoutView="110" workbookViewId="0">
      <selection activeCell="F5" sqref="F5"/>
    </sheetView>
  </sheetViews>
  <sheetFormatPr baseColWidth="10" defaultColWidth="0" defaultRowHeight="0" customHeight="1" zeroHeight="1"/>
  <cols>
    <col min="1" max="1" width="5.6640625" style="509" customWidth="1"/>
    <col min="2" max="2" width="3.33203125" style="215" customWidth="1"/>
    <col min="3" max="5" width="3.33203125" style="208" customWidth="1"/>
    <col min="6" max="6" width="51.6640625" style="208" customWidth="1"/>
    <col min="7" max="8" width="7.33203125" style="208" customWidth="1"/>
    <col min="9" max="9" width="12.33203125" style="208" customWidth="1"/>
    <col min="10" max="10" width="12.6640625" style="208" customWidth="1"/>
    <col min="11" max="11" width="2.6640625" style="208" customWidth="1"/>
    <col min="12" max="12" width="16.44140625" style="209" hidden="1" customWidth="1"/>
    <col min="13" max="16384" width="18" style="208" hidden="1"/>
  </cols>
  <sheetData>
    <row r="1" spans="1:15" ht="16.8"/>
    <row r="2" spans="1:15" s="1" customFormat="1" ht="16.5" customHeight="1">
      <c r="A2" s="468"/>
      <c r="B2" s="1655" t="str">
        <f>Projektgrundlagen!L20</f>
        <v xml:space="preserve">Objektplanung Gebäude </v>
      </c>
      <c r="C2" s="1655"/>
      <c r="D2" s="1655"/>
      <c r="E2" s="1655"/>
      <c r="F2" s="1656"/>
      <c r="G2" s="1635" t="str">
        <f>IF(Projektgrundlagen!F2="","",Projektgrundlagen!F2)</f>
        <v>VII.10.4</v>
      </c>
      <c r="H2" s="1599"/>
      <c r="I2" s="1599" t="s">
        <v>325</v>
      </c>
      <c r="J2" s="1600"/>
      <c r="K2" s="1629" t="s">
        <v>352</v>
      </c>
      <c r="L2" s="72" t="s">
        <v>59</v>
      </c>
      <c r="O2" s="207" t="s">
        <v>169</v>
      </c>
    </row>
    <row r="3" spans="1:15" s="1" customFormat="1" ht="16.8">
      <c r="A3" s="468"/>
      <c r="B3" s="1657" t="s">
        <v>470</v>
      </c>
      <c r="C3" s="1657"/>
      <c r="D3" s="1657"/>
      <c r="E3" s="1657"/>
      <c r="F3" s="1658"/>
      <c r="G3" s="1636" t="str">
        <f>IF(Projektgrundlagen!F3="","",Projektgrundlagen!F3)</f>
        <v>Vertrags-Nr.:</v>
      </c>
      <c r="H3" s="1637"/>
      <c r="I3" s="1632" t="str">
        <f>IF(Projektgrundlagen!G3="","",Projektgrundlagen!G3)</f>
        <v>000.792.717</v>
      </c>
      <c r="J3" s="1633"/>
      <c r="K3" s="1629"/>
      <c r="L3" s="85"/>
      <c r="O3" s="1" t="str">
        <f ca="1">MID(CELL("dateiname",A2),FIND("]",CELL("dateiname",A2))+1,255)</f>
        <v>StB-C1 Grundlstg -entfällt-</v>
      </c>
    </row>
    <row r="4" spans="1:15" s="1" customFormat="1" ht="7.5" customHeight="1">
      <c r="A4" s="468"/>
      <c r="B4" s="373"/>
      <c r="C4" s="373"/>
      <c r="D4" s="373"/>
      <c r="E4" s="373"/>
      <c r="F4" s="373"/>
      <c r="G4" s="146"/>
      <c r="H4" s="146"/>
      <c r="I4" s="189"/>
      <c r="J4" s="189"/>
      <c r="K4" s="1629"/>
      <c r="L4" s="85"/>
    </row>
    <row r="5" spans="1:15" s="1" customFormat="1" ht="16.8">
      <c r="A5" s="468"/>
      <c r="B5" s="1641" t="str">
        <f>IF(Projektgrundlagen!B5="","",Projektgrundlagen!B5)</f>
        <v>Maßnahmennr:</v>
      </c>
      <c r="C5" s="1642"/>
      <c r="D5" s="1642"/>
      <c r="E5" s="1642"/>
      <c r="F5" s="391" t="str">
        <f>IF(Projektgrundlagen!E5="","",Projektgrundlagen!E5)</f>
        <v>B14HA150700001</v>
      </c>
      <c r="G5" s="1638" t="str">
        <f>IF(Projektgrundlagen!F5="","",Projektgrundlagen!F5)</f>
        <v>Vergabe-Nr.:</v>
      </c>
      <c r="H5" s="1638"/>
      <c r="I5" s="1607" t="str">
        <f>IF(Projektgrundlagen!G5="","",Projektgrundlagen!G5)</f>
        <v>26-004187</v>
      </c>
      <c r="J5" s="1634"/>
      <c r="K5" s="1629"/>
      <c r="L5" s="85"/>
    </row>
    <row r="6" spans="1:15" s="1" customFormat="1" ht="16.8">
      <c r="A6" s="468"/>
      <c r="B6" s="1643" t="str">
        <f>IF(Projektgrundlagen!B6="","",Projektgrundlagen!B6)</f>
        <v>Maßnahme:</v>
      </c>
      <c r="C6" s="1644"/>
      <c r="D6" s="1644"/>
      <c r="E6" s="1644"/>
      <c r="F6" s="1647" t="str">
        <f>IF(Projektgrundlagen!E6="","",Projektgrundlagen!E6)</f>
        <v>Neubau ASG TUM Campus Taufkirchen / Ottobrunn</v>
      </c>
      <c r="G6" s="1647"/>
      <c r="H6" s="1647"/>
      <c r="I6" s="1647"/>
      <c r="J6" s="1648"/>
      <c r="K6" s="1629"/>
      <c r="L6" s="85"/>
    </row>
    <row r="7" spans="1:15" s="1" customFormat="1" ht="16.8">
      <c r="A7" s="468"/>
      <c r="B7" s="1645" t="str">
        <f>IF(Projektgrundlagen!B7="","",Projektgrundlagen!B7)</f>
        <v/>
      </c>
      <c r="C7" s="1646"/>
      <c r="D7" s="1646"/>
      <c r="E7" s="1646"/>
      <c r="F7" s="1649" t="str">
        <f>IF(Projektgrundlagen!E7="","",Projektgrundlagen!E7)</f>
        <v/>
      </c>
      <c r="G7" s="1649"/>
      <c r="H7" s="1649"/>
      <c r="I7" s="1649"/>
      <c r="J7" s="1650"/>
      <c r="K7" s="1629"/>
      <c r="L7" s="85"/>
    </row>
    <row r="8" spans="1:15" s="1" customFormat="1" ht="16.8">
      <c r="A8" s="468"/>
      <c r="B8" s="1618" t="str">
        <f>IF(Projektgrundlagen!B8="","",Projektgrundlagen!B8)</f>
        <v>Bieter:</v>
      </c>
      <c r="C8" s="1619"/>
      <c r="D8" s="1619"/>
      <c r="E8" s="1619"/>
      <c r="F8" s="1616" t="str">
        <f>IF(Projektgrundlagen!E8="","",Projektgrundlagen!E8)</f>
        <v/>
      </c>
      <c r="G8" s="1616"/>
      <c r="H8" s="1616"/>
      <c r="I8" s="1616"/>
      <c r="J8" s="1617"/>
      <c r="K8" s="1629"/>
      <c r="L8" s="85"/>
    </row>
    <row r="9" spans="1:15" ht="16.8"/>
    <row r="10" spans="1:15" ht="27" customHeight="1">
      <c r="B10" s="1631" t="s">
        <v>363</v>
      </c>
      <c r="C10" s="1631"/>
      <c r="D10" s="1631"/>
      <c r="E10" s="1631"/>
      <c r="F10" s="1631"/>
      <c r="G10" s="567"/>
      <c r="H10" s="568"/>
      <c r="I10" s="1076" t="s">
        <v>392</v>
      </c>
      <c r="J10" s="1077" t="s">
        <v>390</v>
      </c>
    </row>
    <row r="11" spans="1:15" s="87" customFormat="1" ht="27" customHeight="1">
      <c r="A11" s="510"/>
      <c r="B11" s="877" t="s">
        <v>287</v>
      </c>
      <c r="C11" s="878"/>
      <c r="D11" s="878"/>
      <c r="E11" s="878"/>
      <c r="F11" s="878"/>
      <c r="G11" s="879"/>
      <c r="H11" s="880" t="str">
        <f>IF(Projektgrundlagen!I24,"","Grundleistungen Straßenbau sind nicht Teil dieser Honorarermittlung!")</f>
        <v>Grundleistungen Straßenbau sind nicht Teil dieser Honorarermittlung!</v>
      </c>
      <c r="I11" s="886" t="s">
        <v>286</v>
      </c>
      <c r="J11" s="887" t="s">
        <v>286</v>
      </c>
      <c r="L11" s="88"/>
      <c r="M11" s="156"/>
    </row>
    <row r="12" spans="1:15" ht="7.5" customHeight="1">
      <c r="B12" s="932"/>
      <c r="C12" s="933"/>
      <c r="D12" s="933"/>
      <c r="E12" s="933"/>
      <c r="F12" s="933"/>
      <c r="G12" s="933"/>
      <c r="H12" s="933"/>
      <c r="I12" s="933"/>
      <c r="J12" s="933"/>
    </row>
    <row r="13" spans="1:15" ht="16.8">
      <c r="B13" s="853"/>
      <c r="C13" s="854"/>
      <c r="D13" s="1639"/>
      <c r="E13" s="1639"/>
      <c r="F13" s="1639"/>
      <c r="G13" s="1639"/>
      <c r="H13" s="1639"/>
      <c r="I13" s="1639"/>
      <c r="J13" s="1640"/>
      <c r="L13" s="209" t="b">
        <v>0</v>
      </c>
      <c r="M13" s="1065"/>
    </row>
    <row r="14" spans="1:15" ht="7.5" customHeight="1">
      <c r="D14" s="259"/>
      <c r="G14" s="259"/>
      <c r="H14" s="259"/>
    </row>
    <row r="15" spans="1:15" s="210" customFormat="1" ht="22.65" customHeight="1">
      <c r="A15" s="511"/>
      <c r="B15" s="518" t="s">
        <v>209</v>
      </c>
      <c r="C15" s="519"/>
      <c r="D15" s="519"/>
      <c r="E15" s="519"/>
      <c r="F15" s="519"/>
      <c r="G15" s="520"/>
      <c r="H15" s="520"/>
      <c r="I15" s="521"/>
      <c r="J15" s="522"/>
      <c r="L15" s="211"/>
    </row>
    <row r="16" spans="1:15" ht="17.399999999999999">
      <c r="B16" s="212"/>
      <c r="C16" s="951" t="s">
        <v>243</v>
      </c>
      <c r="D16" s="952"/>
      <c r="E16" s="1624"/>
      <c r="F16" s="1624"/>
      <c r="G16" s="1624"/>
      <c r="H16" s="403"/>
      <c r="I16" s="717"/>
      <c r="J16" s="406">
        <f>IF(L16,I16,0)</f>
        <v>0</v>
      </c>
      <c r="L16" s="209" t="b">
        <v>0</v>
      </c>
    </row>
    <row r="17" spans="1:13" ht="16.8">
      <c r="B17" s="181"/>
      <c r="C17" s="277"/>
      <c r="D17" s="724"/>
      <c r="E17" s="1611"/>
      <c r="F17" s="1611"/>
      <c r="G17" s="1611"/>
      <c r="H17" s="360"/>
      <c r="I17" s="718"/>
      <c r="J17" s="214"/>
    </row>
    <row r="18" spans="1:13" ht="15">
      <c r="A18" s="237"/>
      <c r="B18" s="273"/>
      <c r="C18" s="408"/>
      <c r="D18" s="726"/>
      <c r="E18" s="1651"/>
      <c r="F18" s="1651"/>
      <c r="G18" s="1651"/>
      <c r="H18" s="1651"/>
      <c r="I18" s="719"/>
      <c r="J18" s="409"/>
    </row>
    <row r="19" spans="1:13" ht="17.399999999999999">
      <c r="B19" s="213"/>
      <c r="C19" s="951" t="s">
        <v>245</v>
      </c>
      <c r="D19" s="953"/>
      <c r="E19" s="1610"/>
      <c r="F19" s="1610"/>
      <c r="G19" s="1610"/>
      <c r="H19" s="403"/>
      <c r="I19" s="720"/>
      <c r="J19" s="406">
        <f>IF(L19,I19,0)</f>
        <v>0</v>
      </c>
      <c r="L19" s="209" t="b">
        <v>0</v>
      </c>
    </row>
    <row r="20" spans="1:13" s="87" customFormat="1" ht="16.8">
      <c r="A20" s="510"/>
      <c r="B20" s="181"/>
      <c r="C20" s="277"/>
      <c r="D20" s="724"/>
      <c r="E20" s="1611"/>
      <c r="F20" s="1611"/>
      <c r="G20" s="1611"/>
      <c r="H20" s="360"/>
      <c r="I20" s="718"/>
      <c r="J20" s="214"/>
      <c r="L20" s="88"/>
      <c r="M20" s="155"/>
    </row>
    <row r="21" spans="1:13" ht="15">
      <c r="A21" s="237"/>
      <c r="B21" s="275"/>
      <c r="C21" s="410"/>
      <c r="D21" s="726"/>
      <c r="E21" s="1630"/>
      <c r="F21" s="1630"/>
      <c r="G21" s="1630"/>
      <c r="H21" s="1630"/>
      <c r="I21" s="719"/>
      <c r="J21" s="409"/>
    </row>
    <row r="22" spans="1:13" ht="18" customHeight="1">
      <c r="B22" s="213"/>
      <c r="C22" s="951" t="s">
        <v>246</v>
      </c>
      <c r="D22" s="953" t="s">
        <v>74</v>
      </c>
      <c r="E22" s="1610"/>
      <c r="F22" s="1610"/>
      <c r="G22" s="1610"/>
      <c r="H22" s="403"/>
      <c r="I22" s="720"/>
      <c r="J22" s="406">
        <f>IF(L22,I22,0)</f>
        <v>0</v>
      </c>
      <c r="L22" s="209" t="b">
        <v>0</v>
      </c>
    </row>
    <row r="23" spans="1:13" ht="16.8">
      <c r="B23" s="260"/>
      <c r="C23" s="277"/>
      <c r="D23" s="724"/>
      <c r="E23" s="1611"/>
      <c r="F23" s="1611"/>
      <c r="G23" s="1611"/>
      <c r="H23" s="360"/>
      <c r="I23" s="718"/>
      <c r="J23" s="214"/>
    </row>
    <row r="24" spans="1:13" ht="15.6" thickBot="1">
      <c r="A24" s="237"/>
      <c r="B24" s="275"/>
      <c r="C24" s="410"/>
      <c r="D24" s="727"/>
      <c r="E24" s="1608"/>
      <c r="F24" s="1608"/>
      <c r="G24" s="1608"/>
      <c r="H24" s="1608"/>
      <c r="I24" s="722"/>
      <c r="J24" s="404"/>
    </row>
    <row r="25" spans="1:13" ht="22.65" customHeight="1" thickBot="1">
      <c r="B25" s="1659" t="s">
        <v>512</v>
      </c>
      <c r="C25" s="1652"/>
      <c r="D25" s="1652"/>
      <c r="E25" s="1652"/>
      <c r="F25" s="1652"/>
      <c r="G25" s="1652"/>
      <c r="H25" s="1660"/>
      <c r="I25" s="515">
        <f>IF(Projektgrundlagen!I24,SUM(I16:I24),0)</f>
        <v>0</v>
      </c>
      <c r="J25" s="516">
        <f>IF(Projektgrundlagen!I24,SUMIF(L16:L24,TRUE,J16:J24),0)</f>
        <v>0</v>
      </c>
    </row>
    <row r="26" spans="1:13" ht="7.5" customHeight="1"/>
    <row r="27" spans="1:13" s="210" customFormat="1" ht="22.65" customHeight="1">
      <c r="A27" s="511"/>
      <c r="B27" s="518" t="s">
        <v>211</v>
      </c>
      <c r="C27" s="519"/>
      <c r="D27" s="519"/>
      <c r="E27" s="519"/>
      <c r="F27" s="519"/>
      <c r="G27" s="521"/>
      <c r="H27" s="521"/>
      <c r="I27" s="523"/>
      <c r="J27" s="524"/>
      <c r="L27" s="211"/>
    </row>
    <row r="28" spans="1:13" ht="17.399999999999999">
      <c r="B28" s="213"/>
      <c r="C28" s="951" t="s">
        <v>243</v>
      </c>
      <c r="D28" s="952"/>
      <c r="E28" s="1624"/>
      <c r="F28" s="1624"/>
      <c r="G28" s="1624"/>
      <c r="H28" s="418"/>
      <c r="I28" s="717"/>
      <c r="J28" s="406">
        <f>IF(L28,I28,0)</f>
        <v>0</v>
      </c>
      <c r="L28" s="209" t="b">
        <v>0</v>
      </c>
    </row>
    <row r="29" spans="1:13" s="87" customFormat="1" ht="16.8">
      <c r="A29" s="510"/>
      <c r="B29" s="181"/>
      <c r="C29" s="277"/>
      <c r="D29" s="724"/>
      <c r="E29" s="1611"/>
      <c r="F29" s="1611"/>
      <c r="G29" s="1611"/>
      <c r="H29" s="360"/>
      <c r="I29" s="718"/>
      <c r="J29" s="214"/>
      <c r="L29" s="88"/>
      <c r="M29" s="155"/>
    </row>
    <row r="30" spans="1:13" ht="15.6">
      <c r="A30" s="237"/>
      <c r="B30" s="274"/>
      <c r="C30" s="238"/>
      <c r="D30" s="728"/>
      <c r="E30" s="1628"/>
      <c r="F30" s="1628"/>
      <c r="G30" s="1628"/>
      <c r="H30" s="1628"/>
      <c r="I30" s="732"/>
      <c r="J30" s="278"/>
    </row>
    <row r="31" spans="1:13" ht="17.399999999999999">
      <c r="B31" s="212"/>
      <c r="C31" s="951" t="s">
        <v>245</v>
      </c>
      <c r="D31" s="953"/>
      <c r="E31" s="1610"/>
      <c r="F31" s="1610"/>
      <c r="G31" s="1610"/>
      <c r="H31" s="359"/>
      <c r="I31" s="734"/>
      <c r="J31" s="406">
        <f>IF(L31,I31,0)</f>
        <v>0</v>
      </c>
      <c r="L31" s="209" t="b">
        <v>0</v>
      </c>
    </row>
    <row r="32" spans="1:13" s="87" customFormat="1" ht="15">
      <c r="A32" s="94"/>
      <c r="B32" s="181"/>
      <c r="C32" s="277"/>
      <c r="D32" s="724"/>
      <c r="E32" s="1611"/>
      <c r="F32" s="1611"/>
      <c r="G32" s="1611"/>
      <c r="H32" s="360"/>
      <c r="I32" s="718"/>
      <c r="J32" s="214"/>
      <c r="L32" s="88"/>
      <c r="M32" s="155"/>
    </row>
    <row r="33" spans="1:12" ht="15.6">
      <c r="A33" s="237"/>
      <c r="B33" s="274"/>
      <c r="C33" s="238"/>
      <c r="D33" s="729"/>
      <c r="E33" s="1612"/>
      <c r="F33" s="1612"/>
      <c r="G33" s="1612"/>
      <c r="H33" s="1612"/>
      <c r="I33" s="732"/>
      <c r="J33" s="278"/>
    </row>
    <row r="34" spans="1:12" ht="17.399999999999999">
      <c r="B34" s="213"/>
      <c r="C34" s="951" t="s">
        <v>246</v>
      </c>
      <c r="D34" s="953"/>
      <c r="E34" s="1610"/>
      <c r="F34" s="1610"/>
      <c r="G34" s="1610"/>
      <c r="H34" s="403"/>
      <c r="I34" s="720"/>
      <c r="J34" s="406">
        <f>IF(L34,I34,0)</f>
        <v>0</v>
      </c>
      <c r="L34" s="209" t="b">
        <v>0</v>
      </c>
    </row>
    <row r="35" spans="1:12" ht="16.8">
      <c r="B35" s="260"/>
      <c r="C35" s="277"/>
      <c r="D35" s="724"/>
      <c r="E35" s="1611"/>
      <c r="F35" s="1611"/>
      <c r="G35" s="1611"/>
      <c r="H35" s="360"/>
      <c r="I35" s="718"/>
      <c r="J35" s="214"/>
    </row>
    <row r="36" spans="1:12" ht="16.2" thickBot="1">
      <c r="A36" s="237"/>
      <c r="B36" s="275"/>
      <c r="C36" s="410"/>
      <c r="D36" s="730"/>
      <c r="E36" s="1608"/>
      <c r="F36" s="1608"/>
      <c r="G36" s="1608"/>
      <c r="H36" s="1608"/>
      <c r="I36" s="733"/>
      <c r="J36" s="422"/>
    </row>
    <row r="37" spans="1:12" ht="22.65" customHeight="1" thickBot="1">
      <c r="B37" s="513"/>
      <c r="C37" s="1652"/>
      <c r="D37" s="1652"/>
      <c r="E37" s="1652"/>
      <c r="F37" s="1652" t="s">
        <v>274</v>
      </c>
      <c r="G37" s="1652"/>
      <c r="H37" s="1652"/>
      <c r="I37" s="515">
        <f>IF(Projektgrundlagen!I24,SUM(I28:I36),0)</f>
        <v>0</v>
      </c>
      <c r="J37" s="516">
        <f>IF(Projektgrundlagen!I24,SUMIF(L28:L36,TRUE,J28:J36),0)</f>
        <v>0</v>
      </c>
    </row>
    <row r="38" spans="1:12" ht="7.5" customHeight="1"/>
    <row r="39" spans="1:12" ht="22.65" customHeight="1">
      <c r="B39" s="518" t="s">
        <v>212</v>
      </c>
      <c r="C39" s="519"/>
      <c r="D39" s="519"/>
      <c r="E39" s="519"/>
      <c r="F39" s="519"/>
      <c r="G39" s="525"/>
      <c r="H39" s="525"/>
      <c r="I39" s="523"/>
      <c r="J39" s="524"/>
    </row>
    <row r="40" spans="1:12" ht="17.399999999999999">
      <c r="B40" s="213"/>
      <c r="C40" s="951" t="s">
        <v>243</v>
      </c>
      <c r="D40" s="952" t="s">
        <v>10</v>
      </c>
      <c r="E40" s="1624"/>
      <c r="F40" s="1624"/>
      <c r="G40" s="1624"/>
      <c r="H40" s="403"/>
      <c r="I40" s="717"/>
      <c r="J40" s="406">
        <f>IF(L40,I40,0)</f>
        <v>0</v>
      </c>
      <c r="L40" s="209" t="b">
        <v>0</v>
      </c>
    </row>
    <row r="41" spans="1:12" ht="16.8">
      <c r="B41" s="260"/>
      <c r="C41" s="277"/>
      <c r="D41" s="724"/>
      <c r="E41" s="1611"/>
      <c r="F41" s="1611"/>
      <c r="G41" s="1611"/>
      <c r="H41" s="360"/>
      <c r="I41" s="718"/>
      <c r="J41" s="214"/>
    </row>
    <row r="42" spans="1:12" ht="15">
      <c r="A42" s="237"/>
      <c r="B42" s="274"/>
      <c r="C42" s="407"/>
      <c r="D42" s="735"/>
      <c r="E42" s="1653"/>
      <c r="F42" s="1653"/>
      <c r="G42" s="1653"/>
      <c r="H42" s="1653"/>
      <c r="I42" s="721"/>
      <c r="J42" s="214"/>
    </row>
    <row r="43" spans="1:12" ht="17.399999999999999">
      <c r="B43" s="213"/>
      <c r="C43" s="951" t="s">
        <v>245</v>
      </c>
      <c r="D43" s="953"/>
      <c r="E43" s="1610"/>
      <c r="F43" s="1610"/>
      <c r="G43" s="1610"/>
      <c r="H43" s="403"/>
      <c r="I43" s="720"/>
      <c r="J43" s="406">
        <f>IF(L43,I43,0)</f>
        <v>0</v>
      </c>
      <c r="L43" s="209" t="b">
        <v>0</v>
      </c>
    </row>
    <row r="44" spans="1:12" ht="16.8">
      <c r="B44" s="260"/>
      <c r="C44" s="277"/>
      <c r="D44" s="724"/>
      <c r="E44" s="1611"/>
      <c r="F44" s="1611"/>
      <c r="G44" s="1611"/>
      <c r="H44" s="360"/>
      <c r="I44" s="718"/>
      <c r="J44" s="214"/>
    </row>
    <row r="45" spans="1:12" ht="15">
      <c r="A45" s="237"/>
      <c r="B45" s="275"/>
      <c r="C45" s="408"/>
      <c r="D45" s="736"/>
      <c r="E45" s="1620"/>
      <c r="F45" s="1621"/>
      <c r="G45" s="1621"/>
      <c r="H45" s="1621"/>
      <c r="I45" s="722"/>
      <c r="J45" s="404"/>
    </row>
    <row r="46" spans="1:12" ht="17.399999999999999">
      <c r="B46" s="213"/>
      <c r="C46" s="954" t="s">
        <v>246</v>
      </c>
      <c r="D46" s="955"/>
      <c r="E46" s="1610"/>
      <c r="F46" s="1610"/>
      <c r="G46" s="1610"/>
      <c r="H46" s="359"/>
      <c r="I46" s="734"/>
      <c r="J46" s="421">
        <f>IF(L46,I46,0)</f>
        <v>0</v>
      </c>
      <c r="L46" s="209" t="b">
        <v>0</v>
      </c>
    </row>
    <row r="47" spans="1:12" ht="16.8">
      <c r="B47" s="260"/>
      <c r="C47" s="277"/>
      <c r="D47" s="724"/>
      <c r="E47" s="1611"/>
      <c r="F47" s="1611"/>
      <c r="G47" s="1611"/>
      <c r="H47" s="360"/>
      <c r="I47" s="718"/>
      <c r="J47" s="214"/>
    </row>
    <row r="48" spans="1:12" ht="15.6" thickBot="1">
      <c r="A48" s="237"/>
      <c r="B48" s="274"/>
      <c r="C48" s="407"/>
      <c r="D48" s="724"/>
      <c r="E48" s="1622"/>
      <c r="F48" s="1622"/>
      <c r="G48" s="1622"/>
      <c r="H48" s="1622"/>
      <c r="I48" s="721"/>
      <c r="J48" s="214"/>
    </row>
    <row r="49" spans="1:12" ht="22.65" customHeight="1" thickBot="1">
      <c r="B49" s="1659" t="s">
        <v>275</v>
      </c>
      <c r="C49" s="1652"/>
      <c r="D49" s="1652"/>
      <c r="E49" s="1652"/>
      <c r="F49" s="1652"/>
      <c r="G49" s="1652"/>
      <c r="H49" s="1652"/>
      <c r="I49" s="515">
        <f>IF(Projektgrundlagen!I24,SUM(I40:I48),0)</f>
        <v>0</v>
      </c>
      <c r="J49" s="516">
        <f>IF(Projektgrundlagen!I24,SUMIF(L40:L48,TRUE,J40:J48),0)</f>
        <v>0</v>
      </c>
    </row>
    <row r="50" spans="1:12" ht="7.5" customHeight="1"/>
    <row r="51" spans="1:12" ht="22.65" customHeight="1">
      <c r="B51" s="518" t="s">
        <v>213</v>
      </c>
      <c r="C51" s="519"/>
      <c r="D51" s="519"/>
      <c r="E51" s="519"/>
      <c r="F51" s="519"/>
      <c r="G51" s="525"/>
      <c r="H51" s="525"/>
      <c r="I51" s="523"/>
      <c r="J51" s="524"/>
    </row>
    <row r="52" spans="1:12" ht="17.399999999999999">
      <c r="B52" s="213"/>
      <c r="C52" s="951" t="s">
        <v>243</v>
      </c>
      <c r="D52" s="957"/>
      <c r="E52" s="1624"/>
      <c r="F52" s="1624"/>
      <c r="G52" s="1624"/>
      <c r="H52" s="403"/>
      <c r="I52" s="717"/>
      <c r="J52" s="406">
        <f>IF(L52,I52,0)</f>
        <v>0</v>
      </c>
      <c r="L52" s="209" t="b">
        <v>0</v>
      </c>
    </row>
    <row r="53" spans="1:12" ht="16.8">
      <c r="B53" s="260"/>
      <c r="C53" s="277"/>
      <c r="D53" s="737"/>
      <c r="E53" s="1611"/>
      <c r="F53" s="1611"/>
      <c r="G53" s="1611"/>
      <c r="H53" s="360"/>
      <c r="I53" s="718"/>
      <c r="J53" s="214"/>
    </row>
    <row r="54" spans="1:12" ht="15">
      <c r="A54" s="237"/>
      <c r="B54" s="275"/>
      <c r="C54" s="408"/>
      <c r="D54" s="736"/>
      <c r="E54" s="1623"/>
      <c r="F54" s="1623"/>
      <c r="G54" s="1623"/>
      <c r="H54" s="1623"/>
      <c r="I54" s="722"/>
      <c r="J54" s="404"/>
    </row>
    <row r="55" spans="1:12" ht="17.399999999999999">
      <c r="B55" s="213"/>
      <c r="C55" s="954" t="s">
        <v>245</v>
      </c>
      <c r="D55" s="955" t="s">
        <v>10</v>
      </c>
      <c r="E55" s="1610"/>
      <c r="F55" s="1610"/>
      <c r="G55" s="1610"/>
      <c r="H55" s="359"/>
      <c r="I55" s="734"/>
      <c r="J55" s="421">
        <f>IF(L55,I55,0)</f>
        <v>0</v>
      </c>
      <c r="L55" s="209" t="b">
        <v>0</v>
      </c>
    </row>
    <row r="56" spans="1:12" ht="16.8">
      <c r="B56" s="260"/>
      <c r="C56" s="277"/>
      <c r="D56" s="724"/>
      <c r="E56" s="1611"/>
      <c r="F56" s="1611"/>
      <c r="G56" s="1611"/>
      <c r="H56" s="360"/>
      <c r="I56" s="718"/>
      <c r="J56" s="214"/>
    </row>
    <row r="57" spans="1:12" ht="15">
      <c r="A57" s="237"/>
      <c r="B57" s="275"/>
      <c r="C57" s="408"/>
      <c r="D57" s="726"/>
      <c r="E57" s="1630"/>
      <c r="F57" s="1630"/>
      <c r="G57" s="1630"/>
      <c r="H57" s="1630"/>
      <c r="I57" s="722"/>
      <c r="J57" s="404"/>
    </row>
    <row r="58" spans="1:12" ht="17.399999999999999">
      <c r="B58" s="213"/>
      <c r="C58" s="954" t="s">
        <v>246</v>
      </c>
      <c r="D58" s="955"/>
      <c r="E58" s="1610"/>
      <c r="F58" s="1610"/>
      <c r="G58" s="1610"/>
      <c r="H58" s="359"/>
      <c r="I58" s="734"/>
      <c r="J58" s="421">
        <f>IF(L58,I58,0)</f>
        <v>0</v>
      </c>
      <c r="L58" s="209" t="b">
        <v>0</v>
      </c>
    </row>
    <row r="59" spans="1:12" ht="16.8">
      <c r="B59" s="260"/>
      <c r="C59" s="277"/>
      <c r="D59" s="724"/>
      <c r="E59" s="1611"/>
      <c r="F59" s="1611"/>
      <c r="G59" s="1611"/>
      <c r="H59" s="360"/>
      <c r="I59" s="718"/>
      <c r="J59" s="214"/>
    </row>
    <row r="60" spans="1:12" ht="15.6" thickBot="1">
      <c r="A60" s="237"/>
      <c r="B60" s="275"/>
      <c r="C60" s="408"/>
      <c r="D60" s="726"/>
      <c r="E60" s="1651"/>
      <c r="F60" s="1651"/>
      <c r="G60" s="1651"/>
      <c r="H60" s="1651"/>
      <c r="I60" s="722"/>
      <c r="J60" s="404"/>
    </row>
    <row r="61" spans="1:12" ht="22.65" customHeight="1" thickBot="1">
      <c r="B61" s="1659" t="s">
        <v>513</v>
      </c>
      <c r="C61" s="1652"/>
      <c r="D61" s="1652"/>
      <c r="E61" s="1652"/>
      <c r="F61" s="1652"/>
      <c r="G61" s="1652"/>
      <c r="H61" s="1660"/>
      <c r="I61" s="517">
        <f>IF(Projektgrundlagen!I24,SUM(I52:I60),0)</f>
        <v>0</v>
      </c>
      <c r="J61" s="516">
        <f>IF(Projektgrundlagen!I24,SUMIF(L52:L60,TRUE,J52:J60),0)</f>
        <v>0</v>
      </c>
    </row>
    <row r="62" spans="1:12" ht="7.5" customHeight="1"/>
    <row r="63" spans="1:12" ht="22.65" customHeight="1">
      <c r="B63" s="518" t="s">
        <v>214</v>
      </c>
      <c r="C63" s="519"/>
      <c r="D63" s="519"/>
      <c r="E63" s="519"/>
      <c r="F63" s="519"/>
      <c r="G63" s="525"/>
      <c r="H63" s="525"/>
      <c r="I63" s="520"/>
      <c r="J63" s="526"/>
    </row>
    <row r="64" spans="1:12" ht="18" customHeight="1">
      <c r="B64" s="213"/>
      <c r="C64" s="951" t="s">
        <v>243</v>
      </c>
      <c r="D64" s="957"/>
      <c r="E64" s="1654"/>
      <c r="F64" s="1654"/>
      <c r="G64" s="1654"/>
      <c r="H64" s="403"/>
      <c r="I64" s="717"/>
      <c r="J64" s="406">
        <f>IF(L64,I64,0)</f>
        <v>0</v>
      </c>
      <c r="L64" s="209" t="b">
        <v>0</v>
      </c>
    </row>
    <row r="65" spans="1:12" ht="16.8">
      <c r="B65" s="260"/>
      <c r="C65" s="277"/>
      <c r="D65" s="737"/>
      <c r="E65" s="1611"/>
      <c r="F65" s="1611"/>
      <c r="G65" s="1611"/>
      <c r="H65" s="360"/>
      <c r="I65" s="718"/>
      <c r="J65" s="214"/>
    </row>
    <row r="66" spans="1:12" ht="15">
      <c r="A66" s="237"/>
      <c r="B66" s="275"/>
      <c r="C66" s="238"/>
      <c r="D66" s="725"/>
      <c r="E66" s="1622"/>
      <c r="F66" s="1622"/>
      <c r="G66" s="1622"/>
      <c r="H66" s="1622"/>
      <c r="I66" s="738"/>
      <c r="J66" s="278"/>
    </row>
    <row r="67" spans="1:12" ht="17.399999999999999">
      <c r="B67" s="213"/>
      <c r="C67" s="951" t="s">
        <v>245</v>
      </c>
      <c r="D67" s="956"/>
      <c r="E67" s="1610"/>
      <c r="F67" s="1610"/>
      <c r="G67" s="1610"/>
      <c r="H67" s="403"/>
      <c r="I67" s="720"/>
      <c r="J67" s="406">
        <f>IF(L67,I67,0)</f>
        <v>0</v>
      </c>
      <c r="L67" s="209" t="b">
        <v>0</v>
      </c>
    </row>
    <row r="68" spans="1:12" ht="16.8">
      <c r="B68" s="260"/>
      <c r="C68" s="277"/>
      <c r="D68" s="737"/>
      <c r="E68" s="1611"/>
      <c r="F68" s="1611"/>
      <c r="G68" s="1611"/>
      <c r="H68" s="360"/>
      <c r="I68" s="718"/>
      <c r="J68" s="214"/>
    </row>
    <row r="69" spans="1:12" ht="15">
      <c r="A69" s="237"/>
      <c r="B69" s="274"/>
      <c r="C69" s="238"/>
      <c r="D69" s="725"/>
      <c r="E69" s="1622"/>
      <c r="F69" s="1622"/>
      <c r="G69" s="1622"/>
      <c r="H69" s="1622"/>
      <c r="I69" s="738"/>
      <c r="J69" s="278"/>
    </row>
    <row r="70" spans="1:12" ht="17.399999999999999">
      <c r="B70" s="213"/>
      <c r="C70" s="951" t="s">
        <v>246</v>
      </c>
      <c r="D70" s="956"/>
      <c r="E70" s="1610"/>
      <c r="F70" s="1610"/>
      <c r="G70" s="1610"/>
      <c r="H70" s="403"/>
      <c r="I70" s="720"/>
      <c r="J70" s="406">
        <f>IF(L70,I70,0)</f>
        <v>0</v>
      </c>
      <c r="L70" s="209" t="b">
        <v>0</v>
      </c>
    </row>
    <row r="71" spans="1:12" ht="16.8">
      <c r="B71" s="260"/>
      <c r="C71" s="277"/>
      <c r="D71" s="737"/>
      <c r="E71" s="1611"/>
      <c r="F71" s="1611"/>
      <c r="G71" s="1611"/>
      <c r="H71" s="360"/>
      <c r="I71" s="718"/>
      <c r="J71" s="214"/>
    </row>
    <row r="72" spans="1:12" ht="15.6" thickBot="1">
      <c r="A72" s="237"/>
      <c r="B72" s="275"/>
      <c r="C72" s="238"/>
      <c r="D72" s="725"/>
      <c r="E72" s="1622"/>
      <c r="F72" s="1622"/>
      <c r="G72" s="1622"/>
      <c r="H72" s="1622"/>
      <c r="I72" s="738"/>
      <c r="J72" s="278"/>
    </row>
    <row r="73" spans="1:12" ht="22.65" customHeight="1" thickBot="1">
      <c r="B73" s="1659" t="s">
        <v>514</v>
      </c>
      <c r="C73" s="1652"/>
      <c r="D73" s="1652"/>
      <c r="E73" s="1652"/>
      <c r="F73" s="1652"/>
      <c r="G73" s="1652"/>
      <c r="H73" s="1660"/>
      <c r="I73" s="515">
        <f>IF(Projektgrundlagen!I24,SUM(I64:I72),0)</f>
        <v>0</v>
      </c>
      <c r="J73" s="516">
        <f>IF(Projektgrundlagen!I24,SUMIF(L64:L72,TRUE,J64:J72),0)</f>
        <v>0</v>
      </c>
    </row>
    <row r="74" spans="1:12" ht="7.5" customHeight="1"/>
    <row r="75" spans="1:12" s="218" customFormat="1" ht="22.65" customHeight="1">
      <c r="A75" s="512"/>
      <c r="B75" s="518" t="s">
        <v>215</v>
      </c>
      <c r="C75" s="519"/>
      <c r="D75" s="519"/>
      <c r="E75" s="519"/>
      <c r="F75" s="519"/>
      <c r="G75" s="527"/>
      <c r="H75" s="527"/>
      <c r="I75" s="528"/>
      <c r="J75" s="529"/>
      <c r="L75" s="219"/>
    </row>
    <row r="76" spans="1:12" ht="17.399999999999999">
      <c r="B76" s="213"/>
      <c r="C76" s="951" t="s">
        <v>243</v>
      </c>
      <c r="D76" s="957"/>
      <c r="E76" s="1624"/>
      <c r="F76" s="1624"/>
      <c r="G76" s="1624"/>
      <c r="H76" s="403"/>
      <c r="I76" s="717"/>
      <c r="J76" s="406">
        <f>IF(L76,I76,0)</f>
        <v>0</v>
      </c>
      <c r="L76" s="209" t="b">
        <v>0</v>
      </c>
    </row>
    <row r="77" spans="1:12" ht="16.8">
      <c r="B77" s="260"/>
      <c r="C77" s="277"/>
      <c r="D77" s="737"/>
      <c r="E77" s="1611"/>
      <c r="F77" s="1611"/>
      <c r="G77" s="1611"/>
      <c r="H77" s="360"/>
      <c r="I77" s="718"/>
      <c r="J77" s="214"/>
    </row>
    <row r="78" spans="1:12" ht="15">
      <c r="A78" s="237"/>
      <c r="B78" s="274"/>
      <c r="C78" s="238"/>
      <c r="D78" s="725"/>
      <c r="E78" s="1622"/>
      <c r="F78" s="1622"/>
      <c r="G78" s="1622"/>
      <c r="H78" s="1622"/>
      <c r="I78" s="738"/>
      <c r="J78" s="278"/>
    </row>
    <row r="79" spans="1:12" ht="17.399999999999999">
      <c r="B79" s="213"/>
      <c r="C79" s="951" t="s">
        <v>245</v>
      </c>
      <c r="D79" s="956" t="s">
        <v>10</v>
      </c>
      <c r="E79" s="1610"/>
      <c r="F79" s="1610"/>
      <c r="G79" s="1610"/>
      <c r="H79" s="403"/>
      <c r="I79" s="720"/>
      <c r="J79" s="406">
        <f>IF(L79,I79,0)</f>
        <v>0</v>
      </c>
      <c r="L79" s="209" t="b">
        <v>0</v>
      </c>
    </row>
    <row r="80" spans="1:12" ht="16.8">
      <c r="B80" s="260"/>
      <c r="C80" s="277"/>
      <c r="D80" s="737"/>
      <c r="E80" s="1611"/>
      <c r="F80" s="1611"/>
      <c r="G80" s="1611"/>
      <c r="H80" s="360"/>
      <c r="I80" s="718"/>
      <c r="J80" s="214"/>
    </row>
    <row r="81" spans="1:13" ht="15">
      <c r="A81" s="237"/>
      <c r="B81" s="274"/>
      <c r="C81" s="238"/>
      <c r="D81" s="725"/>
      <c r="E81" s="1651"/>
      <c r="F81" s="1651"/>
      <c r="G81" s="1651"/>
      <c r="H81" s="1651"/>
      <c r="I81" s="738"/>
      <c r="J81" s="278"/>
    </row>
    <row r="82" spans="1:13" ht="17.399999999999999">
      <c r="B82" s="213"/>
      <c r="C82" s="951" t="s">
        <v>246</v>
      </c>
      <c r="D82" s="956"/>
      <c r="E82" s="1610"/>
      <c r="F82" s="1610"/>
      <c r="G82" s="1610"/>
      <c r="H82" s="403"/>
      <c r="I82" s="720"/>
      <c r="J82" s="406">
        <f>IF(L82,I82,0)</f>
        <v>0</v>
      </c>
      <c r="L82" s="209" t="b">
        <v>0</v>
      </c>
    </row>
    <row r="83" spans="1:13" ht="16.8">
      <c r="B83" s="260"/>
      <c r="C83" s="277"/>
      <c r="D83" s="739"/>
      <c r="E83" s="1611"/>
      <c r="F83" s="1611"/>
      <c r="G83" s="1611"/>
      <c r="H83" s="360"/>
      <c r="I83" s="718"/>
      <c r="J83" s="214"/>
    </row>
    <row r="84" spans="1:13" ht="15.6" thickBot="1">
      <c r="A84" s="237"/>
      <c r="B84" s="274"/>
      <c r="C84" s="238"/>
      <c r="D84" s="725"/>
      <c r="E84" s="1622"/>
      <c r="F84" s="1622"/>
      <c r="G84" s="1622"/>
      <c r="H84" s="1622"/>
      <c r="I84" s="738"/>
      <c r="J84" s="278"/>
    </row>
    <row r="85" spans="1:13" ht="22.65" customHeight="1" thickBot="1">
      <c r="B85" s="1659" t="s">
        <v>278</v>
      </c>
      <c r="C85" s="1652"/>
      <c r="D85" s="1652"/>
      <c r="E85" s="1652"/>
      <c r="F85" s="1652"/>
      <c r="G85" s="1652"/>
      <c r="H85" s="1660"/>
      <c r="I85" s="515">
        <f>IF(Projektgrundlagen!I24,SUM(I76:I84),0)</f>
        <v>0</v>
      </c>
      <c r="J85" s="516">
        <f>IF(Projektgrundlagen!I24,SUMIF(L76:L84,TRUE,J76:J84),0)</f>
        <v>0</v>
      </c>
    </row>
    <row r="86" spans="1:13" ht="7.5" customHeight="1"/>
    <row r="87" spans="1:13" ht="22.65" customHeight="1">
      <c r="B87" s="518" t="s">
        <v>216</v>
      </c>
      <c r="C87" s="519"/>
      <c r="D87" s="519"/>
      <c r="E87" s="519"/>
      <c r="F87" s="519"/>
      <c r="G87" s="525"/>
      <c r="H87" s="525"/>
      <c r="I87" s="520"/>
      <c r="J87" s="526"/>
    </row>
    <row r="88" spans="1:13" ht="17.399999999999999">
      <c r="B88" s="213"/>
      <c r="C88" s="951" t="s">
        <v>243</v>
      </c>
      <c r="D88" s="955"/>
      <c r="E88" s="1610"/>
      <c r="F88" s="1610"/>
      <c r="G88" s="1610"/>
      <c r="H88" s="403"/>
      <c r="I88" s="720"/>
      <c r="J88" s="406">
        <f>IF(L88,I88,0)</f>
        <v>0</v>
      </c>
      <c r="L88" s="209" t="b">
        <v>0</v>
      </c>
    </row>
    <row r="89" spans="1:13" s="87" customFormat="1" ht="16.8">
      <c r="A89" s="510"/>
      <c r="B89" s="181"/>
      <c r="C89" s="277"/>
      <c r="D89" s="737"/>
      <c r="E89" s="1611"/>
      <c r="F89" s="1611"/>
      <c r="G89" s="1611"/>
      <c r="H89" s="360"/>
      <c r="I89" s="718"/>
      <c r="J89" s="214"/>
      <c r="L89" s="88"/>
      <c r="M89" s="155"/>
    </row>
    <row r="90" spans="1:13" ht="15">
      <c r="A90" s="237"/>
      <c r="B90" s="275"/>
      <c r="C90" s="408"/>
      <c r="D90" s="740"/>
      <c r="E90" s="1608"/>
      <c r="F90" s="1608"/>
      <c r="G90" s="1608"/>
      <c r="H90" s="1608"/>
      <c r="I90" s="722"/>
      <c r="J90" s="404"/>
    </row>
    <row r="91" spans="1:13" ht="17.399999999999999">
      <c r="B91" s="213"/>
      <c r="C91" s="954" t="s">
        <v>245</v>
      </c>
      <c r="D91" s="955"/>
      <c r="E91" s="1610"/>
      <c r="F91" s="1610"/>
      <c r="G91" s="1610"/>
      <c r="H91" s="359"/>
      <c r="I91" s="734"/>
      <c r="J91" s="421">
        <f>IF(L91,I91,0)</f>
        <v>0</v>
      </c>
      <c r="L91" s="209" t="b">
        <v>0</v>
      </c>
    </row>
    <row r="92" spans="1:13" ht="16.8">
      <c r="B92" s="260"/>
      <c r="C92" s="277"/>
      <c r="D92" s="737"/>
      <c r="E92" s="1611"/>
      <c r="F92" s="1611"/>
      <c r="G92" s="1611"/>
      <c r="H92" s="360"/>
      <c r="I92" s="718"/>
      <c r="J92" s="214"/>
    </row>
    <row r="93" spans="1:13" ht="15">
      <c r="A93" s="237"/>
      <c r="B93" s="275"/>
      <c r="C93" s="408"/>
      <c r="D93" s="740"/>
      <c r="E93" s="1608"/>
      <c r="F93" s="1608"/>
      <c r="G93" s="1608"/>
      <c r="H93" s="1608"/>
      <c r="I93" s="722"/>
      <c r="J93" s="404"/>
    </row>
    <row r="94" spans="1:13" ht="17.399999999999999">
      <c r="B94" s="213"/>
      <c r="C94" s="954" t="s">
        <v>246</v>
      </c>
      <c r="D94" s="955"/>
      <c r="E94" s="1626"/>
      <c r="F94" s="1627"/>
      <c r="G94" s="420"/>
      <c r="H94" s="359"/>
      <c r="I94" s="734"/>
      <c r="J94" s="421">
        <f>IF(L94,I94,0)</f>
        <v>0</v>
      </c>
      <c r="L94" s="209" t="b">
        <v>0</v>
      </c>
    </row>
    <row r="95" spans="1:13" s="87" customFormat="1" ht="16.8">
      <c r="A95" s="510"/>
      <c r="B95" s="181"/>
      <c r="C95" s="277"/>
      <c r="D95" s="737"/>
      <c r="E95" s="405"/>
      <c r="F95" s="405"/>
      <c r="G95" s="405"/>
      <c r="H95" s="360"/>
      <c r="I95" s="718"/>
      <c r="J95" s="214"/>
      <c r="L95" s="88"/>
      <c r="M95" s="155"/>
    </row>
    <row r="96" spans="1:13" ht="15.6" thickBot="1">
      <c r="A96" s="237"/>
      <c r="B96" s="275"/>
      <c r="C96" s="276"/>
      <c r="D96" s="741"/>
      <c r="E96" s="1625"/>
      <c r="F96" s="1625"/>
      <c r="G96" s="1625"/>
      <c r="H96" s="1625"/>
      <c r="I96" s="723"/>
      <c r="J96" s="423"/>
    </row>
    <row r="97" spans="1:13" ht="22.65" customHeight="1" thickBot="1">
      <c r="B97" s="1659" t="s">
        <v>279</v>
      </c>
      <c r="C97" s="1652"/>
      <c r="D97" s="1652"/>
      <c r="E97" s="1652"/>
      <c r="F97" s="1652"/>
      <c r="G97" s="1652"/>
      <c r="H97" s="1660"/>
      <c r="I97" s="515">
        <f>IF(Projektgrundlagen!I24,SUM(I88:I96),0)</f>
        <v>0</v>
      </c>
      <c r="J97" s="516">
        <f>IF(Projektgrundlagen!I24,SUMIF(L88:L96,TRUE,J88:J96),0)</f>
        <v>0</v>
      </c>
    </row>
    <row r="98" spans="1:13" ht="7.5" customHeight="1"/>
    <row r="99" spans="1:13" ht="22.65" customHeight="1">
      <c r="B99" s="518" t="s">
        <v>515</v>
      </c>
      <c r="C99" s="519"/>
      <c r="D99" s="519"/>
      <c r="E99" s="519"/>
      <c r="F99" s="519"/>
      <c r="G99" s="525"/>
      <c r="H99" s="525"/>
      <c r="I99" s="523"/>
      <c r="J99" s="524"/>
    </row>
    <row r="100" spans="1:13" ht="17.399999999999999">
      <c r="B100" s="213"/>
      <c r="C100" s="951" t="s">
        <v>243</v>
      </c>
      <c r="D100" s="957"/>
      <c r="E100" s="1624"/>
      <c r="F100" s="1624"/>
      <c r="G100" s="1624"/>
      <c r="H100" s="742"/>
      <c r="I100" s="717"/>
      <c r="J100" s="406">
        <f>IF(L100,I100,0)</f>
        <v>0</v>
      </c>
      <c r="L100" s="209" t="b">
        <v>0</v>
      </c>
    </row>
    <row r="101" spans="1:13" ht="16.8">
      <c r="B101" s="260"/>
      <c r="C101" s="277"/>
      <c r="D101" s="737"/>
      <c r="E101" s="1611"/>
      <c r="F101" s="1611"/>
      <c r="G101" s="1611"/>
      <c r="H101" s="743"/>
      <c r="I101" s="718"/>
      <c r="J101" s="214"/>
    </row>
    <row r="102" spans="1:13" ht="15">
      <c r="A102" s="237"/>
      <c r="B102" s="275"/>
      <c r="C102" s="408"/>
      <c r="D102" s="744"/>
      <c r="E102" s="1608"/>
      <c r="F102" s="1608"/>
      <c r="G102" s="1608"/>
      <c r="H102" s="1609"/>
      <c r="I102" s="722"/>
      <c r="J102" s="404"/>
    </row>
    <row r="103" spans="1:13" ht="17.399999999999999">
      <c r="B103" s="213"/>
      <c r="C103" s="954" t="s">
        <v>245</v>
      </c>
      <c r="D103" s="955"/>
      <c r="E103" s="1610"/>
      <c r="F103" s="1610"/>
      <c r="G103" s="1610"/>
      <c r="H103" s="745"/>
      <c r="I103" s="734"/>
      <c r="J103" s="421">
        <f>IF(L103,I103,0)</f>
        <v>0</v>
      </c>
      <c r="L103" s="209" t="b">
        <v>0</v>
      </c>
    </row>
    <row r="104" spans="1:13" s="87" customFormat="1" ht="16.8">
      <c r="A104" s="510"/>
      <c r="B104" s="181"/>
      <c r="C104" s="277"/>
      <c r="D104" s="737"/>
      <c r="E104" s="1611"/>
      <c r="F104" s="1611"/>
      <c r="G104" s="1611"/>
      <c r="H104" s="743"/>
      <c r="I104" s="718"/>
      <c r="J104" s="214"/>
      <c r="L104" s="88"/>
      <c r="M104" s="155"/>
    </row>
    <row r="105" spans="1:13" ht="15">
      <c r="A105" s="237"/>
      <c r="B105" s="275"/>
      <c r="C105" s="408"/>
      <c r="D105" s="746"/>
      <c r="E105" s="1608"/>
      <c r="F105" s="1608"/>
      <c r="G105" s="1608"/>
      <c r="H105" s="1609"/>
      <c r="I105" s="722"/>
      <c r="J105" s="404"/>
    </row>
    <row r="106" spans="1:13" ht="17.399999999999999">
      <c r="B106" s="213"/>
      <c r="C106" s="954" t="s">
        <v>246</v>
      </c>
      <c r="D106" s="955"/>
      <c r="E106" s="1610"/>
      <c r="F106" s="1610"/>
      <c r="G106" s="1610"/>
      <c r="H106" s="745"/>
      <c r="I106" s="734"/>
      <c r="J106" s="421">
        <f>IF(L106,I106,0)</f>
        <v>0</v>
      </c>
      <c r="L106" s="209" t="b">
        <v>0</v>
      </c>
    </row>
    <row r="107" spans="1:13" s="87" customFormat="1" ht="16.8">
      <c r="A107" s="510"/>
      <c r="B107" s="181"/>
      <c r="C107" s="277"/>
      <c r="D107" s="737"/>
      <c r="E107" s="1611"/>
      <c r="F107" s="1611"/>
      <c r="G107" s="1611"/>
      <c r="H107" s="743"/>
      <c r="I107" s="718"/>
      <c r="J107" s="214"/>
      <c r="L107" s="88"/>
      <c r="M107" s="155"/>
    </row>
    <row r="108" spans="1:13" ht="15.6" thickBot="1">
      <c r="A108" s="237"/>
      <c r="B108" s="275"/>
      <c r="C108" s="408"/>
      <c r="D108" s="746"/>
      <c r="E108" s="1608"/>
      <c r="F108" s="1608"/>
      <c r="G108" s="1608"/>
      <c r="H108" s="1609"/>
      <c r="I108" s="722"/>
      <c r="J108" s="404"/>
    </row>
    <row r="109" spans="1:13" ht="22.65" customHeight="1" thickBot="1">
      <c r="B109" s="1659" t="s">
        <v>491</v>
      </c>
      <c r="C109" s="1652"/>
      <c r="D109" s="1652"/>
      <c r="E109" s="1652"/>
      <c r="F109" s="1652"/>
      <c r="G109" s="1652"/>
      <c r="H109" s="1660"/>
      <c r="I109" s="515">
        <f>IF(Projektgrundlagen!I24,SUM(I100:I108),0)</f>
        <v>0</v>
      </c>
      <c r="J109" s="516">
        <f>IF(Projektgrundlagen!I24,SUMIF(L100:L108,TRUE,J100:J108),0)</f>
        <v>0</v>
      </c>
    </row>
    <row r="110" spans="1:13" ht="7.5" customHeight="1"/>
    <row r="111" spans="1:13" ht="22.65" customHeight="1">
      <c r="B111" s="518" t="s">
        <v>217</v>
      </c>
      <c r="C111" s="519"/>
      <c r="D111" s="519"/>
      <c r="E111" s="519"/>
      <c r="F111" s="519"/>
      <c r="G111" s="525"/>
      <c r="H111" s="525"/>
      <c r="I111" s="523"/>
      <c r="J111" s="524"/>
    </row>
    <row r="112" spans="1:13" ht="17.399999999999999">
      <c r="B112" s="213"/>
      <c r="C112" s="951" t="s">
        <v>243</v>
      </c>
      <c r="D112" s="957"/>
      <c r="E112" s="1624"/>
      <c r="F112" s="1624"/>
      <c r="G112" s="1624"/>
      <c r="H112" s="418"/>
      <c r="I112" s="717"/>
      <c r="J112" s="406">
        <f>IF(L112,I112,0)</f>
        <v>0</v>
      </c>
      <c r="L112" s="209" t="b">
        <v>0</v>
      </c>
    </row>
    <row r="113" spans="1:13" ht="16.8">
      <c r="B113" s="260"/>
      <c r="C113" s="277"/>
      <c r="D113" s="737"/>
      <c r="E113" s="1611"/>
      <c r="F113" s="1611"/>
      <c r="G113" s="1611"/>
      <c r="H113" s="360"/>
      <c r="I113" s="718"/>
      <c r="J113" s="214"/>
    </row>
    <row r="114" spans="1:13" ht="15">
      <c r="A114" s="237"/>
      <c r="B114" s="275"/>
      <c r="C114" s="408"/>
      <c r="D114" s="746"/>
      <c r="E114" s="1608"/>
      <c r="F114" s="1608"/>
      <c r="G114" s="1608"/>
      <c r="H114" s="1608"/>
      <c r="I114" s="722"/>
      <c r="J114" s="404"/>
    </row>
    <row r="115" spans="1:13" ht="17.399999999999999">
      <c r="B115" s="213"/>
      <c r="C115" s="954" t="s">
        <v>245</v>
      </c>
      <c r="D115" s="955"/>
      <c r="E115" s="1610"/>
      <c r="F115" s="1610"/>
      <c r="G115" s="1610"/>
      <c r="H115" s="359"/>
      <c r="I115" s="734"/>
      <c r="J115" s="421">
        <f>IF(L115,I115,0)</f>
        <v>0</v>
      </c>
      <c r="L115" s="209" t="b">
        <v>0</v>
      </c>
    </row>
    <row r="116" spans="1:13" ht="16.8">
      <c r="B116" s="260"/>
      <c r="C116" s="277"/>
      <c r="D116" s="737"/>
      <c r="E116" s="1611"/>
      <c r="F116" s="1611"/>
      <c r="G116" s="1611"/>
      <c r="H116" s="360"/>
      <c r="I116" s="718"/>
      <c r="J116" s="214"/>
    </row>
    <row r="117" spans="1:13" ht="15">
      <c r="A117" s="237"/>
      <c r="B117" s="274"/>
      <c r="C117" s="408"/>
      <c r="D117" s="731"/>
      <c r="E117" s="1608"/>
      <c r="F117" s="1608"/>
      <c r="G117" s="1608"/>
      <c r="H117" s="1608"/>
      <c r="I117" s="722"/>
      <c r="J117" s="404"/>
    </row>
    <row r="118" spans="1:13" ht="17.399999999999999">
      <c r="B118" s="213"/>
      <c r="C118" s="954" t="s">
        <v>246</v>
      </c>
      <c r="D118" s="955"/>
      <c r="E118" s="1626"/>
      <c r="F118" s="1626"/>
      <c r="G118" s="1626"/>
      <c r="H118" s="359"/>
      <c r="I118" s="734"/>
      <c r="J118" s="421">
        <f>IF(L118,I118,0)</f>
        <v>0</v>
      </c>
      <c r="L118" s="209" t="b">
        <v>0</v>
      </c>
    </row>
    <row r="119" spans="1:13" s="87" customFormat="1" ht="16.8">
      <c r="A119" s="510"/>
      <c r="B119" s="181"/>
      <c r="C119" s="277"/>
      <c r="D119" s="737"/>
      <c r="E119" s="1611"/>
      <c r="F119" s="1611"/>
      <c r="G119" s="1611"/>
      <c r="H119" s="360"/>
      <c r="I119" s="718"/>
      <c r="J119" s="214"/>
      <c r="L119" s="88"/>
      <c r="M119" s="155"/>
    </row>
    <row r="120" spans="1:13" ht="15.6" thickBot="1">
      <c r="A120" s="237"/>
      <c r="B120" s="274"/>
      <c r="C120" s="407"/>
      <c r="D120" s="724"/>
      <c r="E120" s="1612"/>
      <c r="F120" s="1612"/>
      <c r="G120" s="1612"/>
      <c r="H120" s="1612"/>
      <c r="I120" s="721"/>
      <c r="J120" s="214"/>
    </row>
    <row r="121" spans="1:13" ht="22.65" customHeight="1" thickBot="1">
      <c r="B121" s="1659" t="s">
        <v>272</v>
      </c>
      <c r="C121" s="1652"/>
      <c r="D121" s="1652"/>
      <c r="E121" s="1652"/>
      <c r="F121" s="1652"/>
      <c r="G121" s="1652"/>
      <c r="H121" s="1660"/>
      <c r="I121" s="515">
        <f>IF(Projektgrundlagen!I24,SUM(I112:I120),0)</f>
        <v>0</v>
      </c>
      <c r="J121" s="516">
        <f>IF(Projektgrundlagen!I24,SUMIF(L112:L120,TRUE,J112:J120),0)</f>
        <v>0</v>
      </c>
    </row>
    <row r="122" spans="1:13" ht="17.399999999999999" thickBot="1">
      <c r="B122" s="208"/>
    </row>
    <row r="123" spans="1:13" ht="30" customHeight="1" thickBot="1">
      <c r="B123" s="1613" t="s">
        <v>359</v>
      </c>
      <c r="C123" s="1614"/>
      <c r="D123" s="1614"/>
      <c r="E123" s="1614"/>
      <c r="F123" s="1614"/>
      <c r="G123" s="1614"/>
      <c r="H123" s="1615"/>
      <c r="I123" s="715">
        <f>SUM(I25,I37,I49,I61,I73,I85,I97,I109,I121)</f>
        <v>0</v>
      </c>
      <c r="J123" s="716">
        <f>SUM(J25,J37,J49,J61,J73,J85,J97,J109,J121)</f>
        <v>0</v>
      </c>
    </row>
    <row r="124" spans="1:13" ht="12.75" customHeight="1"/>
    <row r="125" spans="1:13" ht="16.8"/>
    <row r="126" spans="1:13" ht="12.75" customHeight="1">
      <c r="F126" s="361"/>
      <c r="G126" s="361"/>
      <c r="H126" s="361"/>
      <c r="I126" s="361"/>
    </row>
    <row r="127" spans="1:13" ht="16.8"/>
    <row r="128" spans="1:13" ht="16.8" hidden="1"/>
    <row r="129" ht="16.8" hidden="1"/>
    <row r="130" ht="16.8" hidden="1"/>
    <row r="131" ht="16.8" hidden="1"/>
    <row r="132" ht="16.8" hidden="1"/>
    <row r="133" ht="16.8" hidden="1"/>
    <row r="134" ht="16.8" hidden="1"/>
    <row r="135" ht="16.8" hidden="1"/>
    <row r="136" ht="16.8" hidden="1"/>
    <row r="137" ht="16.8" hidden="1"/>
    <row r="138" ht="16.8" hidden="1"/>
    <row r="139" ht="16.8" hidden="1"/>
    <row r="140" ht="16.8" hidden="1"/>
    <row r="141" ht="16.8" hidden="1"/>
    <row r="142" ht="16.8" hidden="1"/>
    <row r="143" ht="16.8" hidden="1"/>
    <row r="144" ht="16.8" hidden="1"/>
    <row r="145" ht="16.8" hidden="1"/>
    <row r="146" ht="16.8" hidden="1"/>
    <row r="147" ht="16.8" hidden="1"/>
    <row r="148" ht="16.8" hidden="1"/>
    <row r="149" ht="16.8" hidden="1"/>
    <row r="150" ht="16.8" hidden="1"/>
    <row r="151" ht="16.8" hidden="1"/>
    <row r="152" ht="16.8" hidden="1"/>
    <row r="153" ht="16.8" hidden="1"/>
    <row r="154" ht="16.8" hidden="1"/>
    <row r="155" ht="16.8" hidden="1"/>
    <row r="156" ht="16.8" hidden="1"/>
    <row r="157" ht="16.8" hidden="1"/>
    <row r="158" ht="16.8" hidden="1"/>
    <row r="159" ht="16.8" hidden="1"/>
    <row r="160" ht="16.8" hidden="1"/>
    <row r="161" ht="16.8" hidden="1"/>
    <row r="162" ht="16.8" hidden="1"/>
    <row r="163" ht="16.8" hidden="1"/>
    <row r="164" ht="16.8" hidden="1"/>
    <row r="165" ht="16.8" hidden="1"/>
    <row r="166" ht="16.8" hidden="1"/>
    <row r="167" ht="16.8" hidden="1"/>
    <row r="168" ht="16.8" hidden="1"/>
    <row r="169" ht="16.8" hidden="1"/>
    <row r="170" ht="16.8" hidden="1"/>
    <row r="171" ht="16.8" hidden="1"/>
    <row r="172" ht="16.8" hidden="1"/>
    <row r="173" ht="16.8" hidden="1"/>
    <row r="174" ht="16.8" hidden="1"/>
    <row r="175" ht="16.8" hidden="1"/>
    <row r="176" ht="16.8" hidden="1"/>
    <row r="177" ht="16.8" hidden="1"/>
    <row r="178" ht="16.8" hidden="1"/>
    <row r="179" ht="16.8" hidden="1"/>
    <row r="180" ht="16.8" hidden="1"/>
    <row r="181" ht="16.8" hidden="1"/>
    <row r="182" ht="16.8" hidden="1"/>
    <row r="183" ht="16.8" hidden="1"/>
    <row r="184" ht="16.8" hidden="1"/>
    <row r="185" ht="16.8" hidden="1"/>
    <row r="186" ht="16.8" hidden="1"/>
    <row r="187" ht="16.8" hidden="1"/>
    <row r="188" ht="16.8" hidden="1"/>
    <row r="189" ht="16.8" hidden="1"/>
    <row r="190" ht="16.8" hidden="1"/>
    <row r="191" ht="16.8" hidden="1"/>
    <row r="192" ht="16.8" hidden="1"/>
    <row r="193" ht="16.8" hidden="1"/>
    <row r="194" ht="16.8" hidden="1"/>
    <row r="195" ht="16.8" hidden="1"/>
    <row r="196" ht="16.8" hidden="1"/>
    <row r="197" ht="16.8" hidden="1"/>
    <row r="198" ht="16.8" hidden="1"/>
    <row r="199" ht="16.8" hidden="1"/>
    <row r="200" ht="16.8" hidden="1"/>
    <row r="201" ht="16.8" hidden="1"/>
    <row r="202" ht="16.8" hidden="1"/>
    <row r="203" ht="16.8" hidden="1"/>
    <row r="204" ht="16.8" hidden="1"/>
    <row r="205" ht="16.8" hidden="1"/>
    <row r="206" ht="16.8" hidden="1"/>
    <row r="207" ht="16.8" hidden="1"/>
    <row r="208" ht="16.8" hidden="1"/>
    <row r="209" ht="16.8" hidden="1"/>
    <row r="210" ht="16.8" hidden="1"/>
    <row r="211" ht="16.8" hidden="1"/>
    <row r="212" ht="16.8" hidden="1"/>
    <row r="213" ht="16.8" hidden="1"/>
    <row r="214" ht="16.8" hidden="1"/>
    <row r="215" ht="16.8" hidden="1"/>
    <row r="216" ht="16.8" hidden="1"/>
    <row r="217" ht="16.8" hidden="1"/>
    <row r="218" ht="16.8" hidden="1"/>
    <row r="219" ht="16.8" hidden="1"/>
    <row r="220" ht="16.8" hidden="1"/>
    <row r="221" ht="16.8" hidden="1"/>
    <row r="222" ht="16.8" hidden="1"/>
    <row r="223" ht="16.8" hidden="1"/>
    <row r="224" ht="16.8" hidden="1"/>
    <row r="225" ht="16.8" hidden="1"/>
    <row r="226" ht="16.8" hidden="1"/>
    <row r="227" ht="16.8" hidden="1"/>
    <row r="228" ht="16.8" hidden="1"/>
    <row r="229" ht="16.8" hidden="1"/>
    <row r="230" ht="16.8" hidden="1"/>
    <row r="231" ht="16.8" hidden="1"/>
    <row r="232" ht="16.8" hidden="1"/>
    <row r="233" ht="16.8" hidden="1"/>
    <row r="234" ht="16.8" hidden="1"/>
    <row r="235" ht="16.8" hidden="1"/>
    <row r="236" ht="16.8" hidden="1"/>
    <row r="237" ht="16.8" hidden="1"/>
    <row r="238" ht="16.8" hidden="1"/>
    <row r="239" ht="16.8" hidden="1"/>
    <row r="240" ht="16.8" hidden="1"/>
    <row r="241" ht="16.8" hidden="1"/>
    <row r="242" ht="16.8" hidden="1"/>
    <row r="243" ht="16.8" hidden="1"/>
    <row r="244" ht="16.8" hidden="1"/>
    <row r="245" ht="16.8" hidden="1"/>
    <row r="246" ht="16.8" hidden="1"/>
    <row r="247" ht="16.8" hidden="1"/>
    <row r="248" ht="16.8" hidden="1"/>
    <row r="249" ht="16.8" hidden="1"/>
    <row r="250" ht="16.8" hidden="1"/>
    <row r="251" ht="16.8" hidden="1"/>
    <row r="252" ht="16.8" hidden="1"/>
    <row r="253" ht="16.8" hidden="1"/>
    <row r="254" ht="16.8" hidden="1"/>
    <row r="255" ht="16.8" hidden="1"/>
    <row r="256" ht="16.8" hidden="1"/>
    <row r="257" ht="16.8" hidden="1"/>
    <row r="258" ht="16.8" hidden="1"/>
    <row r="259" ht="16.8" hidden="1"/>
    <row r="260" ht="16.8" hidden="1"/>
    <row r="261" ht="16.8" hidden="1"/>
    <row r="262" ht="16.8" hidden="1"/>
    <row r="263" ht="16.8" hidden="1"/>
    <row r="264" ht="16.8" hidden="1"/>
    <row r="265" ht="16.8" hidden="1"/>
    <row r="266" ht="12.75" hidden="1" customHeight="1"/>
  </sheetData>
  <sheetProtection formatRows="0"/>
  <mergeCells count="109">
    <mergeCell ref="E104:G104"/>
    <mergeCell ref="E84:H84"/>
    <mergeCell ref="B2:F2"/>
    <mergeCell ref="B3:F3"/>
    <mergeCell ref="B121:H121"/>
    <mergeCell ref="B73:H73"/>
    <mergeCell ref="B61:H61"/>
    <mergeCell ref="B49:H49"/>
    <mergeCell ref="B25:H25"/>
    <mergeCell ref="E112:G112"/>
    <mergeCell ref="E113:G113"/>
    <mergeCell ref="E115:G115"/>
    <mergeCell ref="E116:G116"/>
    <mergeCell ref="E118:G118"/>
    <mergeCell ref="E119:G119"/>
    <mergeCell ref="B85:H85"/>
    <mergeCell ref="B97:H97"/>
    <mergeCell ref="B109:H109"/>
    <mergeCell ref="E88:G88"/>
    <mergeCell ref="E89:G89"/>
    <mergeCell ref="E91:G91"/>
    <mergeCell ref="E92:G92"/>
    <mergeCell ref="E100:G100"/>
    <mergeCell ref="E101:G101"/>
    <mergeCell ref="E103:G103"/>
    <mergeCell ref="E60:H60"/>
    <mergeCell ref="E80:G80"/>
    <mergeCell ref="E70:G70"/>
    <mergeCell ref="E71:G71"/>
    <mergeCell ref="E76:G76"/>
    <mergeCell ref="E77:G77"/>
    <mergeCell ref="E79:G79"/>
    <mergeCell ref="E72:H72"/>
    <mergeCell ref="E78:H78"/>
    <mergeCell ref="E69:H69"/>
    <mergeCell ref="E67:G67"/>
    <mergeCell ref="E68:G68"/>
    <mergeCell ref="E64:G64"/>
    <mergeCell ref="E65:G65"/>
    <mergeCell ref="E66:H66"/>
    <mergeCell ref="E82:G82"/>
    <mergeCell ref="E83:G83"/>
    <mergeCell ref="E81:H81"/>
    <mergeCell ref="E40:G40"/>
    <mergeCell ref="E41:G41"/>
    <mergeCell ref="E43:G43"/>
    <mergeCell ref="C37:E37"/>
    <mergeCell ref="E42:H42"/>
    <mergeCell ref="E56:G56"/>
    <mergeCell ref="E58:G58"/>
    <mergeCell ref="E59:G59"/>
    <mergeCell ref="E57:H57"/>
    <mergeCell ref="F37:H37"/>
    <mergeCell ref="K2:K8"/>
    <mergeCell ref="E21:H21"/>
    <mergeCell ref="B10:F10"/>
    <mergeCell ref="I3:J3"/>
    <mergeCell ref="I5:J5"/>
    <mergeCell ref="I2:J2"/>
    <mergeCell ref="G2:H2"/>
    <mergeCell ref="G3:H3"/>
    <mergeCell ref="G5:H5"/>
    <mergeCell ref="D13:J13"/>
    <mergeCell ref="E16:G16"/>
    <mergeCell ref="E17:G17"/>
    <mergeCell ref="E19:G19"/>
    <mergeCell ref="E20:G20"/>
    <mergeCell ref="B5:E5"/>
    <mergeCell ref="B6:E6"/>
    <mergeCell ref="B7:E7"/>
    <mergeCell ref="F6:J6"/>
    <mergeCell ref="F7:J7"/>
    <mergeCell ref="E18:H18"/>
    <mergeCell ref="E33:H33"/>
    <mergeCell ref="E36:H36"/>
    <mergeCell ref="E28:G28"/>
    <mergeCell ref="E29:G29"/>
    <mergeCell ref="E30:H30"/>
    <mergeCell ref="E22:G22"/>
    <mergeCell ref="E23:G23"/>
    <mergeCell ref="E31:G31"/>
    <mergeCell ref="E32:G32"/>
    <mergeCell ref="E34:G34"/>
    <mergeCell ref="E35:G35"/>
    <mergeCell ref="E24:H24"/>
    <mergeCell ref="E105:H105"/>
    <mergeCell ref="E108:H108"/>
    <mergeCell ref="E106:G106"/>
    <mergeCell ref="E107:G107"/>
    <mergeCell ref="E120:H120"/>
    <mergeCell ref="E114:H114"/>
    <mergeCell ref="E117:H117"/>
    <mergeCell ref="B123:H123"/>
    <mergeCell ref="F8:J8"/>
    <mergeCell ref="B8:E8"/>
    <mergeCell ref="E45:H45"/>
    <mergeCell ref="E48:H48"/>
    <mergeCell ref="E44:G44"/>
    <mergeCell ref="E46:G46"/>
    <mergeCell ref="E47:G47"/>
    <mergeCell ref="E54:H54"/>
    <mergeCell ref="E52:G52"/>
    <mergeCell ref="E53:G53"/>
    <mergeCell ref="E55:G55"/>
    <mergeCell ref="E90:H90"/>
    <mergeCell ref="E93:H93"/>
    <mergeCell ref="E96:H96"/>
    <mergeCell ref="E102:H102"/>
    <mergeCell ref="E94:F94"/>
  </mergeCells>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Juni 2022&amp;R&amp;P</oddFooter>
  </headerFooter>
  <rowBreaks count="9" manualBreakCount="9">
    <brk id="21" max="10" man="1"/>
    <brk id="26" max="10" man="1"/>
    <brk id="38" max="10" man="1"/>
    <brk id="50" max="10" man="1"/>
    <brk id="62" max="10" man="1"/>
    <brk id="74" max="10" man="1"/>
    <brk id="86" max="10" man="1"/>
    <brk id="98" max="10" man="1"/>
    <brk id="110"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ltText="">
                <anchor moveWithCells="1">
                  <from>
                    <xdr:col>1</xdr:col>
                    <xdr:colOff>0</xdr:colOff>
                    <xdr:row>15</xdr:row>
                    <xdr:rowOff>0</xdr:rowOff>
                  </from>
                  <to>
                    <xdr:col>2</xdr:col>
                    <xdr:colOff>0</xdr:colOff>
                    <xdr:row>16</xdr:row>
                    <xdr:rowOff>7620</xdr:rowOff>
                  </to>
                </anchor>
              </controlPr>
            </control>
          </mc:Choice>
        </mc:AlternateContent>
        <mc:AlternateContent xmlns:mc="http://schemas.openxmlformats.org/markup-compatibility/2006">
          <mc:Choice Requires="x14">
            <control shapeId="53250" r:id="rId5" name="Check Box 2">
              <controlPr defaultSize="0" autoFill="0" autoLine="0" autoPict="0" altText="">
                <anchor moveWithCells="1">
                  <from>
                    <xdr:col>1</xdr:col>
                    <xdr:colOff>0</xdr:colOff>
                    <xdr:row>18</xdr:row>
                    <xdr:rowOff>0</xdr:rowOff>
                  </from>
                  <to>
                    <xdr:col>2</xdr:col>
                    <xdr:colOff>0</xdr:colOff>
                    <xdr:row>19</xdr:row>
                    <xdr:rowOff>7620</xdr:rowOff>
                  </to>
                </anchor>
              </controlPr>
            </control>
          </mc:Choice>
        </mc:AlternateContent>
        <mc:AlternateContent xmlns:mc="http://schemas.openxmlformats.org/markup-compatibility/2006">
          <mc:Choice Requires="x14">
            <control shapeId="53252" r:id="rId6" name="Check Box 4">
              <controlPr defaultSize="0" autoFill="0" autoLine="0" autoPict="0" altText="">
                <anchor moveWithCells="1">
                  <from>
                    <xdr:col>1</xdr:col>
                    <xdr:colOff>0</xdr:colOff>
                    <xdr:row>21</xdr:row>
                    <xdr:rowOff>0</xdr:rowOff>
                  </from>
                  <to>
                    <xdr:col>2</xdr:col>
                    <xdr:colOff>0</xdr:colOff>
                    <xdr:row>22</xdr:row>
                    <xdr:rowOff>0</xdr:rowOff>
                  </to>
                </anchor>
              </controlPr>
            </control>
          </mc:Choice>
        </mc:AlternateContent>
        <mc:AlternateContent xmlns:mc="http://schemas.openxmlformats.org/markup-compatibility/2006">
          <mc:Choice Requires="x14">
            <control shapeId="53254" r:id="rId7" name="Check Box 6">
              <controlPr defaultSize="0" autoFill="0" autoLine="0" autoPict="0" altText="">
                <anchor moveWithCells="1">
                  <from>
                    <xdr:col>1</xdr:col>
                    <xdr:colOff>0</xdr:colOff>
                    <xdr:row>27</xdr:row>
                    <xdr:rowOff>0</xdr:rowOff>
                  </from>
                  <to>
                    <xdr:col>2</xdr:col>
                    <xdr:colOff>0</xdr:colOff>
                    <xdr:row>27</xdr:row>
                    <xdr:rowOff>220980</xdr:rowOff>
                  </to>
                </anchor>
              </controlPr>
            </control>
          </mc:Choice>
        </mc:AlternateContent>
        <mc:AlternateContent xmlns:mc="http://schemas.openxmlformats.org/markup-compatibility/2006">
          <mc:Choice Requires="x14">
            <control shapeId="53255" r:id="rId8" name="Check Box 7">
              <controlPr defaultSize="0" autoFill="0" autoLine="0" autoPict="0" altText="">
                <anchor moveWithCells="1">
                  <from>
                    <xdr:col>1</xdr:col>
                    <xdr:colOff>0</xdr:colOff>
                    <xdr:row>30</xdr:row>
                    <xdr:rowOff>0</xdr:rowOff>
                  </from>
                  <to>
                    <xdr:col>2</xdr:col>
                    <xdr:colOff>0</xdr:colOff>
                    <xdr:row>31</xdr:row>
                    <xdr:rowOff>7620</xdr:rowOff>
                  </to>
                </anchor>
              </controlPr>
            </control>
          </mc:Choice>
        </mc:AlternateContent>
        <mc:AlternateContent xmlns:mc="http://schemas.openxmlformats.org/markup-compatibility/2006">
          <mc:Choice Requires="x14">
            <control shapeId="53256" r:id="rId9" name="Check Box 8">
              <controlPr defaultSize="0" autoFill="0" autoLine="0" autoPict="0" altText="">
                <anchor moveWithCells="1">
                  <from>
                    <xdr:col>1</xdr:col>
                    <xdr:colOff>0</xdr:colOff>
                    <xdr:row>33</xdr:row>
                    <xdr:rowOff>0</xdr:rowOff>
                  </from>
                  <to>
                    <xdr:col>2</xdr:col>
                    <xdr:colOff>0</xdr:colOff>
                    <xdr:row>34</xdr:row>
                    <xdr:rowOff>7620</xdr:rowOff>
                  </to>
                </anchor>
              </controlPr>
            </control>
          </mc:Choice>
        </mc:AlternateContent>
        <mc:AlternateContent xmlns:mc="http://schemas.openxmlformats.org/markup-compatibility/2006">
          <mc:Choice Requires="x14">
            <control shapeId="53265" r:id="rId10" name="Check Box 17">
              <controlPr defaultSize="0" autoFill="0" autoLine="0" autoPict="0" altText="">
                <anchor moveWithCells="1">
                  <from>
                    <xdr:col>1</xdr:col>
                    <xdr:colOff>0</xdr:colOff>
                    <xdr:row>42</xdr:row>
                    <xdr:rowOff>0</xdr:rowOff>
                  </from>
                  <to>
                    <xdr:col>2</xdr:col>
                    <xdr:colOff>0</xdr:colOff>
                    <xdr:row>43</xdr:row>
                    <xdr:rowOff>7620</xdr:rowOff>
                  </to>
                </anchor>
              </controlPr>
            </control>
          </mc:Choice>
        </mc:AlternateContent>
        <mc:AlternateContent xmlns:mc="http://schemas.openxmlformats.org/markup-compatibility/2006">
          <mc:Choice Requires="x14">
            <control shapeId="53266" r:id="rId11" name="Check Box 18">
              <controlPr defaultSize="0" autoFill="0" autoLine="0" autoPict="0" altText="">
                <anchor moveWithCells="1">
                  <from>
                    <xdr:col>1</xdr:col>
                    <xdr:colOff>0</xdr:colOff>
                    <xdr:row>45</xdr:row>
                    <xdr:rowOff>0</xdr:rowOff>
                  </from>
                  <to>
                    <xdr:col>2</xdr:col>
                    <xdr:colOff>0</xdr:colOff>
                    <xdr:row>45</xdr:row>
                    <xdr:rowOff>190500</xdr:rowOff>
                  </to>
                </anchor>
              </controlPr>
            </control>
          </mc:Choice>
        </mc:AlternateContent>
        <mc:AlternateContent xmlns:mc="http://schemas.openxmlformats.org/markup-compatibility/2006">
          <mc:Choice Requires="x14">
            <control shapeId="53271" r:id="rId12" name="Check Box 23">
              <controlPr defaultSize="0" autoFill="0" autoLine="0" autoPict="0" altText="">
                <anchor moveWithCells="1">
                  <from>
                    <xdr:col>1</xdr:col>
                    <xdr:colOff>0</xdr:colOff>
                    <xdr:row>54</xdr:row>
                    <xdr:rowOff>0</xdr:rowOff>
                  </from>
                  <to>
                    <xdr:col>2</xdr:col>
                    <xdr:colOff>0</xdr:colOff>
                    <xdr:row>55</xdr:row>
                    <xdr:rowOff>7620</xdr:rowOff>
                  </to>
                </anchor>
              </controlPr>
            </control>
          </mc:Choice>
        </mc:AlternateContent>
        <mc:AlternateContent xmlns:mc="http://schemas.openxmlformats.org/markup-compatibility/2006">
          <mc:Choice Requires="x14">
            <control shapeId="53273" r:id="rId13" name="Check Box 25">
              <controlPr defaultSize="0" autoFill="0" autoLine="0" autoPict="0" altText="3 Fahrstreifen">
                <anchor moveWithCells="1">
                  <from>
                    <xdr:col>1</xdr:col>
                    <xdr:colOff>0</xdr:colOff>
                    <xdr:row>57</xdr:row>
                    <xdr:rowOff>0</xdr:rowOff>
                  </from>
                  <to>
                    <xdr:col>2</xdr:col>
                    <xdr:colOff>0</xdr:colOff>
                    <xdr:row>58</xdr:row>
                    <xdr:rowOff>7620</xdr:rowOff>
                  </to>
                </anchor>
              </controlPr>
            </control>
          </mc:Choice>
        </mc:AlternateContent>
        <mc:AlternateContent xmlns:mc="http://schemas.openxmlformats.org/markup-compatibility/2006">
          <mc:Choice Requires="x14">
            <control shapeId="53276" r:id="rId14" name="Check Box 28">
              <controlPr defaultSize="0" autoFill="0" autoLine="0" autoPict="0" altText="">
                <anchor moveWithCells="1">
                  <from>
                    <xdr:col>1</xdr:col>
                    <xdr:colOff>0</xdr:colOff>
                    <xdr:row>63</xdr:row>
                    <xdr:rowOff>0</xdr:rowOff>
                  </from>
                  <to>
                    <xdr:col>2</xdr:col>
                    <xdr:colOff>0</xdr:colOff>
                    <xdr:row>64</xdr:row>
                    <xdr:rowOff>7620</xdr:rowOff>
                  </to>
                </anchor>
              </controlPr>
            </control>
          </mc:Choice>
        </mc:AlternateContent>
        <mc:AlternateContent xmlns:mc="http://schemas.openxmlformats.org/markup-compatibility/2006">
          <mc:Choice Requires="x14">
            <control shapeId="53277" r:id="rId15" name="Check Box 29">
              <controlPr defaultSize="0" autoFill="0" autoLine="0" autoPict="0" altText="">
                <anchor moveWithCells="1">
                  <from>
                    <xdr:col>1</xdr:col>
                    <xdr:colOff>0</xdr:colOff>
                    <xdr:row>66</xdr:row>
                    <xdr:rowOff>0</xdr:rowOff>
                  </from>
                  <to>
                    <xdr:col>2</xdr:col>
                    <xdr:colOff>0</xdr:colOff>
                    <xdr:row>67</xdr:row>
                    <xdr:rowOff>7620</xdr:rowOff>
                  </to>
                </anchor>
              </controlPr>
            </control>
          </mc:Choice>
        </mc:AlternateContent>
        <mc:AlternateContent xmlns:mc="http://schemas.openxmlformats.org/markup-compatibility/2006">
          <mc:Choice Requires="x14">
            <control shapeId="53278" r:id="rId16" name="Check Box 30">
              <controlPr defaultSize="0" autoFill="0" autoLine="0" autoPict="0" altText="">
                <anchor moveWithCells="1">
                  <from>
                    <xdr:col>1</xdr:col>
                    <xdr:colOff>0</xdr:colOff>
                    <xdr:row>69</xdr:row>
                    <xdr:rowOff>0</xdr:rowOff>
                  </from>
                  <to>
                    <xdr:col>2</xdr:col>
                    <xdr:colOff>0</xdr:colOff>
                    <xdr:row>70</xdr:row>
                    <xdr:rowOff>7620</xdr:rowOff>
                  </to>
                </anchor>
              </controlPr>
            </control>
          </mc:Choice>
        </mc:AlternateContent>
        <mc:AlternateContent xmlns:mc="http://schemas.openxmlformats.org/markup-compatibility/2006">
          <mc:Choice Requires="x14">
            <control shapeId="53280" r:id="rId17" name="Check Box 32">
              <controlPr defaultSize="0" autoFill="0" autoLine="0" autoPict="0" altText="">
                <anchor moveWithCells="1">
                  <from>
                    <xdr:col>1</xdr:col>
                    <xdr:colOff>0</xdr:colOff>
                    <xdr:row>75</xdr:row>
                    <xdr:rowOff>0</xdr:rowOff>
                  </from>
                  <to>
                    <xdr:col>2</xdr:col>
                    <xdr:colOff>0</xdr:colOff>
                    <xdr:row>76</xdr:row>
                    <xdr:rowOff>7620</xdr:rowOff>
                  </to>
                </anchor>
              </controlPr>
            </control>
          </mc:Choice>
        </mc:AlternateContent>
        <mc:AlternateContent xmlns:mc="http://schemas.openxmlformats.org/markup-compatibility/2006">
          <mc:Choice Requires="x14">
            <control shapeId="53281" r:id="rId18" name="Check Box 33">
              <controlPr defaultSize="0" autoFill="0" autoLine="0" autoPict="0" altText="">
                <anchor moveWithCells="1">
                  <from>
                    <xdr:col>1</xdr:col>
                    <xdr:colOff>0</xdr:colOff>
                    <xdr:row>78</xdr:row>
                    <xdr:rowOff>0</xdr:rowOff>
                  </from>
                  <to>
                    <xdr:col>2</xdr:col>
                    <xdr:colOff>0</xdr:colOff>
                    <xdr:row>79</xdr:row>
                    <xdr:rowOff>7620</xdr:rowOff>
                  </to>
                </anchor>
              </controlPr>
            </control>
          </mc:Choice>
        </mc:AlternateContent>
        <mc:AlternateContent xmlns:mc="http://schemas.openxmlformats.org/markup-compatibility/2006">
          <mc:Choice Requires="x14">
            <control shapeId="53282" r:id="rId19" name="Check Box 34">
              <controlPr defaultSize="0" autoFill="0" autoLine="0" autoPict="0" altText="3 Fahrstreifen">
                <anchor moveWithCells="1">
                  <from>
                    <xdr:col>1</xdr:col>
                    <xdr:colOff>0</xdr:colOff>
                    <xdr:row>81</xdr:row>
                    <xdr:rowOff>0</xdr:rowOff>
                  </from>
                  <to>
                    <xdr:col>2</xdr:col>
                    <xdr:colOff>0</xdr:colOff>
                    <xdr:row>82</xdr:row>
                    <xdr:rowOff>7620</xdr:rowOff>
                  </to>
                </anchor>
              </controlPr>
            </control>
          </mc:Choice>
        </mc:AlternateContent>
        <mc:AlternateContent xmlns:mc="http://schemas.openxmlformats.org/markup-compatibility/2006">
          <mc:Choice Requires="x14">
            <control shapeId="53292" r:id="rId20" name="Check Box 44">
              <controlPr defaultSize="0" autoFill="0" autoLine="0" autoPict="0" altText="">
                <anchor moveWithCells="1">
                  <from>
                    <xdr:col>1</xdr:col>
                    <xdr:colOff>0</xdr:colOff>
                    <xdr:row>87</xdr:row>
                    <xdr:rowOff>0</xdr:rowOff>
                  </from>
                  <to>
                    <xdr:col>2</xdr:col>
                    <xdr:colOff>0</xdr:colOff>
                    <xdr:row>88</xdr:row>
                    <xdr:rowOff>7620</xdr:rowOff>
                  </to>
                </anchor>
              </controlPr>
            </control>
          </mc:Choice>
        </mc:AlternateContent>
        <mc:AlternateContent xmlns:mc="http://schemas.openxmlformats.org/markup-compatibility/2006">
          <mc:Choice Requires="x14">
            <control shapeId="53293" r:id="rId21" name="Check Box 45">
              <controlPr defaultSize="0" autoFill="0" autoLine="0" autoPict="0" altText="">
                <anchor moveWithCells="1">
                  <from>
                    <xdr:col>1</xdr:col>
                    <xdr:colOff>0</xdr:colOff>
                    <xdr:row>90</xdr:row>
                    <xdr:rowOff>0</xdr:rowOff>
                  </from>
                  <to>
                    <xdr:col>2</xdr:col>
                    <xdr:colOff>0</xdr:colOff>
                    <xdr:row>91</xdr:row>
                    <xdr:rowOff>7620</xdr:rowOff>
                  </to>
                </anchor>
              </controlPr>
            </control>
          </mc:Choice>
        </mc:AlternateContent>
        <mc:AlternateContent xmlns:mc="http://schemas.openxmlformats.org/markup-compatibility/2006">
          <mc:Choice Requires="x14">
            <control shapeId="53294" r:id="rId22" name="Check Box 46">
              <controlPr defaultSize="0" autoFill="0" autoLine="0" autoPict="0" altText="">
                <anchor moveWithCells="1">
                  <from>
                    <xdr:col>1</xdr:col>
                    <xdr:colOff>0</xdr:colOff>
                    <xdr:row>93</xdr:row>
                    <xdr:rowOff>0</xdr:rowOff>
                  </from>
                  <to>
                    <xdr:col>2</xdr:col>
                    <xdr:colOff>0</xdr:colOff>
                    <xdr:row>94</xdr:row>
                    <xdr:rowOff>7620</xdr:rowOff>
                  </to>
                </anchor>
              </controlPr>
            </control>
          </mc:Choice>
        </mc:AlternateContent>
        <mc:AlternateContent xmlns:mc="http://schemas.openxmlformats.org/markup-compatibility/2006">
          <mc:Choice Requires="x14">
            <control shapeId="53295" r:id="rId23" name="Check Box 47">
              <controlPr defaultSize="0" autoFill="0" autoLine="0" autoPict="0" altText="">
                <anchor moveWithCells="1">
                  <from>
                    <xdr:col>1</xdr:col>
                    <xdr:colOff>0</xdr:colOff>
                    <xdr:row>99</xdr:row>
                    <xdr:rowOff>0</xdr:rowOff>
                  </from>
                  <to>
                    <xdr:col>2</xdr:col>
                    <xdr:colOff>0</xdr:colOff>
                    <xdr:row>100</xdr:row>
                    <xdr:rowOff>7620</xdr:rowOff>
                  </to>
                </anchor>
              </controlPr>
            </control>
          </mc:Choice>
        </mc:AlternateContent>
        <mc:AlternateContent xmlns:mc="http://schemas.openxmlformats.org/markup-compatibility/2006">
          <mc:Choice Requires="x14">
            <control shapeId="53296" r:id="rId24" name="Check Box 48">
              <controlPr defaultSize="0" autoFill="0" autoLine="0" autoPict="0" altText="">
                <anchor moveWithCells="1">
                  <from>
                    <xdr:col>1</xdr:col>
                    <xdr:colOff>0</xdr:colOff>
                    <xdr:row>102</xdr:row>
                    <xdr:rowOff>0</xdr:rowOff>
                  </from>
                  <to>
                    <xdr:col>2</xdr:col>
                    <xdr:colOff>0</xdr:colOff>
                    <xdr:row>103</xdr:row>
                    <xdr:rowOff>7620</xdr:rowOff>
                  </to>
                </anchor>
              </controlPr>
            </control>
          </mc:Choice>
        </mc:AlternateContent>
        <mc:AlternateContent xmlns:mc="http://schemas.openxmlformats.org/markup-compatibility/2006">
          <mc:Choice Requires="x14">
            <control shapeId="53297" r:id="rId25" name="Check Box 49">
              <controlPr defaultSize="0" autoFill="0" autoLine="0" autoPict="0" altText="">
                <anchor moveWithCells="1">
                  <from>
                    <xdr:col>1</xdr:col>
                    <xdr:colOff>0</xdr:colOff>
                    <xdr:row>105</xdr:row>
                    <xdr:rowOff>0</xdr:rowOff>
                  </from>
                  <to>
                    <xdr:col>2</xdr:col>
                    <xdr:colOff>0</xdr:colOff>
                    <xdr:row>106</xdr:row>
                    <xdr:rowOff>7620</xdr:rowOff>
                  </to>
                </anchor>
              </controlPr>
            </control>
          </mc:Choice>
        </mc:AlternateContent>
        <mc:AlternateContent xmlns:mc="http://schemas.openxmlformats.org/markup-compatibility/2006">
          <mc:Choice Requires="x14">
            <control shapeId="53305" r:id="rId26" name="Check Box 57">
              <controlPr defaultSize="0" autoFill="0" autoLine="0" autoPict="0" altText="">
                <anchor moveWithCells="1">
                  <from>
                    <xdr:col>1</xdr:col>
                    <xdr:colOff>0</xdr:colOff>
                    <xdr:row>111</xdr:row>
                    <xdr:rowOff>0</xdr:rowOff>
                  </from>
                  <to>
                    <xdr:col>2</xdr:col>
                    <xdr:colOff>0</xdr:colOff>
                    <xdr:row>112</xdr:row>
                    <xdr:rowOff>7620</xdr:rowOff>
                  </to>
                </anchor>
              </controlPr>
            </control>
          </mc:Choice>
        </mc:AlternateContent>
        <mc:AlternateContent xmlns:mc="http://schemas.openxmlformats.org/markup-compatibility/2006">
          <mc:Choice Requires="x14">
            <control shapeId="53306" r:id="rId27" name="Check Box 58">
              <controlPr defaultSize="0" autoFill="0" autoLine="0" autoPict="0" altText="">
                <anchor moveWithCells="1">
                  <from>
                    <xdr:col>1</xdr:col>
                    <xdr:colOff>0</xdr:colOff>
                    <xdr:row>114</xdr:row>
                    <xdr:rowOff>0</xdr:rowOff>
                  </from>
                  <to>
                    <xdr:col>2</xdr:col>
                    <xdr:colOff>0</xdr:colOff>
                    <xdr:row>115</xdr:row>
                    <xdr:rowOff>7620</xdr:rowOff>
                  </to>
                </anchor>
              </controlPr>
            </control>
          </mc:Choice>
        </mc:AlternateContent>
        <mc:AlternateContent xmlns:mc="http://schemas.openxmlformats.org/markup-compatibility/2006">
          <mc:Choice Requires="x14">
            <control shapeId="53307" r:id="rId28" name="Check Box 59">
              <controlPr defaultSize="0" autoFill="0" autoLine="0" autoPict="0" altText="">
                <anchor moveWithCells="1">
                  <from>
                    <xdr:col>1</xdr:col>
                    <xdr:colOff>0</xdr:colOff>
                    <xdr:row>117</xdr:row>
                    <xdr:rowOff>0</xdr:rowOff>
                  </from>
                  <to>
                    <xdr:col>2</xdr:col>
                    <xdr:colOff>0</xdr:colOff>
                    <xdr:row>118</xdr:row>
                    <xdr:rowOff>7620</xdr:rowOff>
                  </to>
                </anchor>
              </controlPr>
            </control>
          </mc:Choice>
        </mc:AlternateContent>
        <mc:AlternateContent xmlns:mc="http://schemas.openxmlformats.org/markup-compatibility/2006">
          <mc:Choice Requires="x14">
            <control shapeId="53309" r:id="rId29" name="Check Box 61">
              <controlPr defaultSize="0" autoFill="0" autoLine="0" autoPict="0" altText="">
                <anchor moveWithCells="1">
                  <from>
                    <xdr:col>1</xdr:col>
                    <xdr:colOff>0</xdr:colOff>
                    <xdr:row>51</xdr:row>
                    <xdr:rowOff>0</xdr:rowOff>
                  </from>
                  <to>
                    <xdr:col>2</xdr:col>
                    <xdr:colOff>0</xdr:colOff>
                    <xdr:row>51</xdr:row>
                    <xdr:rowOff>213360</xdr:rowOff>
                  </to>
                </anchor>
              </controlPr>
            </control>
          </mc:Choice>
        </mc:AlternateContent>
        <mc:AlternateContent xmlns:mc="http://schemas.openxmlformats.org/markup-compatibility/2006">
          <mc:Choice Requires="x14">
            <control shapeId="53310" r:id="rId30" name="Check Box 62">
              <controlPr defaultSize="0" autoFill="0" autoLine="0" autoPict="0" altText="3 Fahrstreifen">
                <anchor moveWithCells="1">
                  <from>
                    <xdr:col>1</xdr:col>
                    <xdr:colOff>0</xdr:colOff>
                    <xdr:row>39</xdr:row>
                    <xdr:rowOff>0</xdr:rowOff>
                  </from>
                  <to>
                    <xdr:col>2</xdr:col>
                    <xdr:colOff>0</xdr:colOff>
                    <xdr:row>40</xdr:row>
                    <xdr:rowOff>7620</xdr:rowOff>
                  </to>
                </anchor>
              </controlPr>
            </control>
          </mc:Choice>
        </mc:AlternateContent>
        <mc:AlternateContent xmlns:mc="http://schemas.openxmlformats.org/markup-compatibility/2006">
          <mc:Choice Requires="x14">
            <control shapeId="53314" r:id="rId31" name="Check Box 66">
              <controlPr defaultSize="0" autoFill="0" autoLine="0" autoPict="0" altText="">
                <anchor moveWithCells="1">
                  <from>
                    <xdr:col>1</xdr:col>
                    <xdr:colOff>7620</xdr:colOff>
                    <xdr:row>12</xdr:row>
                    <xdr:rowOff>0</xdr:rowOff>
                  </from>
                  <to>
                    <xdr:col>2</xdr:col>
                    <xdr:colOff>7620</xdr:colOff>
                    <xdr:row>13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53" id="{D17C73C0-2E11-4E2D-8EB7-00313EA23611}">
            <xm:f>NOT(Projektgrundlagen!$I$24)</xm:f>
            <x14:dxf>
              <font>
                <strike/>
                <color theme="0" tint="-0.14996795556505021"/>
              </font>
              <fill>
                <patternFill>
                  <bgColor theme="0"/>
                </patternFill>
              </fill>
            </x14:dxf>
          </x14:cfRule>
          <xm:sqref>B22:B23</xm:sqref>
        </x14:conditionalFormatting>
        <x14:conditionalFormatting xmlns:xm="http://schemas.microsoft.com/office/excel/2006/main">
          <x14:cfRule type="expression" priority="552" id="{A1DE06F8-903F-4B34-82E9-03645A58B914}">
            <xm:f>NOT(Projektgrundlagen!$I$24)</xm:f>
            <x14:dxf>
              <font>
                <strike/>
                <color theme="0" tint="-0.14996795556505021"/>
              </font>
              <fill>
                <patternFill>
                  <bgColor theme="0"/>
                </patternFill>
              </fill>
            </x14:dxf>
          </x14:cfRule>
          <xm:sqref>B13:D13</xm:sqref>
        </x14:conditionalFormatting>
        <x14:conditionalFormatting xmlns:xm="http://schemas.microsoft.com/office/excel/2006/main">
          <x14:cfRule type="expression" priority="303" id="{1D187EEA-6038-42BA-92C5-BA528D622ABA}">
            <xm:f>NOT(Projektgrundlagen!$I$24)</xm:f>
            <x14:dxf>
              <font>
                <strike/>
                <color theme="0" tint="-0.14996795556505021"/>
              </font>
              <fill>
                <patternFill>
                  <bgColor theme="0"/>
                </patternFill>
              </fill>
            </x14:dxf>
          </x14:cfRule>
          <xm:sqref>B33:D33</xm:sqref>
        </x14:conditionalFormatting>
        <x14:conditionalFormatting xmlns:xm="http://schemas.microsoft.com/office/excel/2006/main">
          <x14:cfRule type="expression" priority="300" id="{AAD45E7F-B20E-42DA-81BC-F6C02AE6A829}">
            <xm:f>NOT(Projektgrundlagen!$I$24)</xm:f>
            <x14:dxf>
              <font>
                <strike/>
                <color theme="0" tint="-0.14996795556505021"/>
              </font>
              <fill>
                <patternFill>
                  <bgColor theme="0"/>
                </patternFill>
              </fill>
            </x14:dxf>
          </x14:cfRule>
          <xm:sqref>B36:D36</xm:sqref>
        </x14:conditionalFormatting>
        <x14:conditionalFormatting xmlns:xm="http://schemas.microsoft.com/office/excel/2006/main">
          <x14:cfRule type="expression" priority="487" id="{20755979-DAB9-48A8-A976-6B6515271BB1}">
            <xm:f>NOT(Projektgrundlagen!$I$24)</xm:f>
            <x14:dxf>
              <font>
                <strike/>
                <color theme="0" tint="-0.14996795556505021"/>
              </font>
              <fill>
                <patternFill>
                  <bgColor theme="0"/>
                </patternFill>
              </fill>
            </x14:dxf>
          </x14:cfRule>
          <xm:sqref>C23:D23</xm:sqref>
        </x14:conditionalFormatting>
        <x14:conditionalFormatting xmlns:xm="http://schemas.microsoft.com/office/excel/2006/main">
          <x14:cfRule type="expression" priority="479" id="{85F0669F-1CCE-403F-9444-163507AE4186}">
            <xm:f>NOT(Projektgrundlagen!$I$24)</xm:f>
            <x14:dxf>
              <font>
                <strike/>
                <color theme="0" tint="-0.14996795556505021"/>
              </font>
              <fill>
                <patternFill>
                  <bgColor theme="0"/>
                </patternFill>
              </fill>
            </x14:dxf>
          </x14:cfRule>
          <xm:sqref>C32:D32</xm:sqref>
        </x14:conditionalFormatting>
        <x14:conditionalFormatting xmlns:xm="http://schemas.microsoft.com/office/excel/2006/main">
          <x14:cfRule type="expression" priority="310" id="{1B1D5776-4C14-4F80-BC6D-F561865D859F}">
            <xm:f>NOT(Projektgrundlagen!$I$24)</xm:f>
            <x14:dxf>
              <font>
                <strike/>
                <color theme="0" tint="-0.14996795556505021"/>
              </font>
              <fill>
                <patternFill>
                  <bgColor theme="0"/>
                </patternFill>
              </fill>
            </x14:dxf>
          </x14:cfRule>
          <xm:sqref>C35:D35</xm:sqref>
        </x14:conditionalFormatting>
        <x14:conditionalFormatting xmlns:xm="http://schemas.microsoft.com/office/excel/2006/main">
          <x14:cfRule type="expression" priority="444" id="{92AE0CF6-7C90-4B25-A109-F383E39034F0}">
            <xm:f>NOT(Projektgrundlagen!$I$24)</xm:f>
            <x14:dxf>
              <font>
                <strike/>
                <color theme="0" tint="-0.14996795556505021"/>
              </font>
              <fill>
                <patternFill>
                  <bgColor theme="0"/>
                </patternFill>
              </fill>
            </x14:dxf>
          </x14:cfRule>
          <xm:sqref>C31:E31</xm:sqref>
        </x14:conditionalFormatting>
        <x14:conditionalFormatting xmlns:xm="http://schemas.microsoft.com/office/excel/2006/main">
          <x14:cfRule type="expression" priority="36" id="{2E90F5B8-D2F6-41B8-A748-77EE8FE64A72}">
            <xm:f>NOT(Projektgrundlagen!$I$24)</xm:f>
            <x14:dxf>
              <font>
                <strike/>
                <color theme="0" tint="-0.14996795556505021"/>
              </font>
              <fill>
                <patternFill>
                  <bgColor theme="0"/>
                </patternFill>
              </fill>
            </x14:dxf>
          </x14:cfRule>
          <xm:sqref>H16:H17 B16:E21 I16:J24 H19:H20 C22:E22 H22:H23 E23:E24 B24:C24 H28:H29 B28:E30 B31:B32 H31:H32 E32:E33 C34:E34 B34:B35 H34:H35 E35:E36 H40:H41 B40:E48 I40:J48 H43:H44 H46:H47 H52:H53 B52:E60 I52:J60 H55:H56 H58:H59 H64:H65 B64:E72 I64:J72 H67:H68 H70:H71 H76:H77 B76:E84 I76:J84 H79:H80 H82:H83 H88:H89 B88:E93 I88:J96 H91:H92 E94:H95 B94:D96 E96 H100:H101 B100:E108 H103:H104 H106:H107 H112:H113 B112:E120 I112:J120 H115:H116 H118:H119</xm:sqref>
        </x14:conditionalFormatting>
        <x14:conditionalFormatting xmlns:xm="http://schemas.microsoft.com/office/excel/2006/main">
          <x14:cfRule type="expression" priority="2" id="{231AC135-720C-4420-8544-2B5D29A85CCA}">
            <xm:f>NOT(Projektgrundlagen!$I$24)</xm:f>
            <x14:dxf>
              <font>
                <strike/>
                <color theme="0" tint="-0.14996795556505021"/>
              </font>
              <fill>
                <patternFill>
                  <bgColor theme="0"/>
                </patternFill>
              </fill>
            </x14:dxf>
          </x14:cfRule>
          <xm:sqref>I28:J36</xm:sqref>
        </x14:conditionalFormatting>
        <x14:conditionalFormatting xmlns:xm="http://schemas.microsoft.com/office/excel/2006/main">
          <x14:cfRule type="expression" priority="1" id="{87004EEC-7251-421A-A153-44D4EF50BCAD}">
            <xm:f>NOT(Projektgrundlagen!$I$24)</xm:f>
            <x14:dxf>
              <font>
                <strike/>
                <color theme="0" tint="-0.14996795556505021"/>
              </font>
              <fill>
                <patternFill>
                  <bgColor theme="0"/>
                </patternFill>
              </fill>
            </x14:dxf>
          </x14:cfRule>
          <xm:sqref>I100:J108</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tabColor theme="9" tint="0.59999389629810485"/>
    <pageSetUpPr fitToPage="1"/>
  </sheetPr>
  <dimension ref="A1:O197"/>
  <sheetViews>
    <sheetView showGridLines="0" showRuler="0" topLeftCell="A93" zoomScaleNormal="100" zoomScaleSheetLayoutView="100" workbookViewId="0">
      <selection activeCell="F8" sqref="F8:J8"/>
    </sheetView>
  </sheetViews>
  <sheetFormatPr baseColWidth="10" defaultColWidth="0" defaultRowHeight="16.8" zeroHeight="1"/>
  <cols>
    <col min="1" max="1" width="5.6640625" style="510" customWidth="1"/>
    <col min="2" max="2" width="3.33203125" style="91" customWidth="1"/>
    <col min="3" max="5" width="3.33203125" style="87" customWidth="1"/>
    <col min="6" max="6" width="51.6640625" style="87" customWidth="1"/>
    <col min="7" max="8" width="7.33203125" style="87" customWidth="1"/>
    <col min="9" max="9" width="12.33203125" style="87" customWidth="1"/>
    <col min="10" max="10" width="12.6640625" style="87" customWidth="1"/>
    <col min="11" max="11" width="2.6640625" style="87" customWidth="1"/>
    <col min="12" max="12" width="16.44140625" style="91" hidden="1" customWidth="1"/>
    <col min="13" max="13" width="18" style="155" hidden="1" customWidth="1"/>
    <col min="14" max="16384" width="18" style="87" hidden="1"/>
  </cols>
  <sheetData>
    <row r="1" spans="1:15"/>
    <row r="2" spans="1:15" s="1" customFormat="1" ht="16.5" customHeight="1">
      <c r="A2" s="468"/>
      <c r="B2" s="1515" t="str">
        <f>Projektgrundlagen!L20</f>
        <v xml:space="preserve">Objektplanung Gebäude </v>
      </c>
      <c r="C2" s="1515"/>
      <c r="D2" s="1515"/>
      <c r="E2" s="1515"/>
      <c r="F2" s="1516"/>
      <c r="G2" s="1635" t="str">
        <f>IF(Projektgrundlagen!F2="","",Projektgrundlagen!F2)</f>
        <v>VII.10.4</v>
      </c>
      <c r="H2" s="1599"/>
      <c r="I2" s="1599" t="s">
        <v>326</v>
      </c>
      <c r="J2" s="1600"/>
      <c r="K2" s="1683" t="s">
        <v>353</v>
      </c>
      <c r="L2" s="190" t="s">
        <v>59</v>
      </c>
      <c r="M2" s="154"/>
      <c r="O2" s="207" t="s">
        <v>169</v>
      </c>
    </row>
    <row r="3" spans="1:15" s="1" customFormat="1">
      <c r="A3" s="468"/>
      <c r="B3" s="1673" t="s">
        <v>471</v>
      </c>
      <c r="C3" s="1673"/>
      <c r="D3" s="1673"/>
      <c r="E3" s="1673"/>
      <c r="F3" s="1674"/>
      <c r="G3" s="1636" t="str">
        <f>IF(Projektgrundlagen!F3="","",Projektgrundlagen!F3)</f>
        <v>Vertrags-Nr.:</v>
      </c>
      <c r="H3" s="1637"/>
      <c r="I3" s="1687" t="str">
        <f>IF(Projektgrundlagen!G3="","",Projektgrundlagen!G3)</f>
        <v>000.792.717</v>
      </c>
      <c r="J3" s="1688"/>
      <c r="K3" s="1683"/>
      <c r="M3" s="154"/>
      <c r="O3" s="1" t="str">
        <f ca="1">MID(CELL("dateiname",A2),FIND("]",CELL("dateiname",A2))+1,255)</f>
        <v>HB-C1 Grundlstg Land</v>
      </c>
    </row>
    <row r="4" spans="1:15" s="1" customFormat="1" ht="7.5" customHeight="1">
      <c r="A4" s="468"/>
      <c r="B4" s="373"/>
      <c r="C4" s="373"/>
      <c r="D4" s="373"/>
      <c r="E4" s="373"/>
      <c r="F4" s="373"/>
      <c r="G4" s="146"/>
      <c r="H4" s="146"/>
      <c r="I4" s="189"/>
      <c r="J4" s="189"/>
      <c r="K4" s="1683"/>
      <c r="M4" s="154"/>
      <c r="N4" s="154"/>
    </row>
    <row r="5" spans="1:15" s="1" customFormat="1">
      <c r="A5" s="468"/>
      <c r="B5" s="1641" t="str">
        <f>IF(Projektgrundlagen!B5="","",Projektgrundlagen!B5)</f>
        <v>Maßnahmennr:</v>
      </c>
      <c r="C5" s="1642"/>
      <c r="D5" s="1642"/>
      <c r="E5" s="1642"/>
      <c r="F5" s="391" t="str">
        <f>IF(Projektgrundlagen!E5="","",Projektgrundlagen!E5)</f>
        <v>B14HA150700001</v>
      </c>
      <c r="G5" s="1638" t="str">
        <f>IF(Projektgrundlagen!F5="","",Projektgrundlagen!F5)</f>
        <v>Vergabe-Nr.:</v>
      </c>
      <c r="H5" s="1638"/>
      <c r="I5" s="1607" t="str">
        <f>IF(Projektgrundlagen!G5="","",Projektgrundlagen!G5)</f>
        <v>26-004187</v>
      </c>
      <c r="J5" s="1634"/>
      <c r="K5" s="1683"/>
      <c r="M5" s="154"/>
    </row>
    <row r="6" spans="1:15" s="1" customFormat="1">
      <c r="A6" s="468"/>
      <c r="B6" s="1643" t="str">
        <f>IF(Projektgrundlagen!B6="","",Projektgrundlagen!B6)</f>
        <v>Maßnahme:</v>
      </c>
      <c r="C6" s="1644"/>
      <c r="D6" s="1644"/>
      <c r="E6" s="1644"/>
      <c r="F6" s="1647" t="str">
        <f>IF(Projektgrundlagen!E6="","",Projektgrundlagen!E6)</f>
        <v>Neubau ASG TUM Campus Taufkirchen / Ottobrunn</v>
      </c>
      <c r="G6" s="1647"/>
      <c r="H6" s="1647"/>
      <c r="I6" s="1647"/>
      <c r="J6" s="1648"/>
      <c r="K6" s="1683"/>
      <c r="M6" s="154"/>
    </row>
    <row r="7" spans="1:15" s="1" customFormat="1">
      <c r="A7" s="468"/>
      <c r="B7" s="1645" t="str">
        <f>IF(Projektgrundlagen!B7="","",Projektgrundlagen!B7)</f>
        <v/>
      </c>
      <c r="C7" s="1646"/>
      <c r="D7" s="1646"/>
      <c r="E7" s="1646"/>
      <c r="F7" s="1649" t="str">
        <f>IF(Projektgrundlagen!E7="","",Projektgrundlagen!E7)</f>
        <v/>
      </c>
      <c r="G7" s="1649"/>
      <c r="H7" s="1649"/>
      <c r="I7" s="1649"/>
      <c r="J7" s="1650"/>
      <c r="K7" s="1683"/>
      <c r="M7" s="154"/>
    </row>
    <row r="8" spans="1:15" s="1" customFormat="1">
      <c r="A8" s="468"/>
      <c r="B8" s="1618" t="str">
        <f>IF(Projektgrundlagen!B8="","",Projektgrundlagen!B8)</f>
        <v>Bieter:</v>
      </c>
      <c r="C8" s="1619"/>
      <c r="D8" s="1619"/>
      <c r="E8" s="1619"/>
      <c r="F8" s="1616" t="str">
        <f>IF(Projektgrundlagen!E8="","",Projektgrundlagen!E8)</f>
        <v/>
      </c>
      <c r="G8" s="1616"/>
      <c r="H8" s="1616"/>
      <c r="I8" s="1616"/>
      <c r="J8" s="1617"/>
      <c r="K8" s="1683"/>
      <c r="M8" s="154"/>
      <c r="N8" s="154"/>
    </row>
    <row r="9" spans="1:15" s="1" customFormat="1">
      <c r="A9" s="468"/>
      <c r="B9" s="569"/>
      <c r="C9" s="569"/>
      <c r="D9" s="570"/>
      <c r="E9" s="569"/>
      <c r="F9" s="569"/>
      <c r="G9" s="569"/>
      <c r="H9" s="569"/>
      <c r="I9" s="569"/>
      <c r="J9" s="569"/>
      <c r="M9" s="154"/>
    </row>
    <row r="10" spans="1:15" ht="27" customHeight="1">
      <c r="B10" s="1661" t="s">
        <v>854</v>
      </c>
      <c r="C10" s="1661"/>
      <c r="D10" s="1661"/>
      <c r="E10" s="1661"/>
      <c r="F10" s="1661"/>
      <c r="G10" s="1661"/>
      <c r="H10" s="1662"/>
      <c r="I10" s="1078" t="s">
        <v>393</v>
      </c>
      <c r="J10" s="1079" t="s">
        <v>382</v>
      </c>
      <c r="M10" s="156"/>
    </row>
    <row r="11" spans="1:15" ht="27" customHeight="1">
      <c r="B11" s="855" t="s">
        <v>853</v>
      </c>
      <c r="C11" s="785"/>
      <c r="D11" s="785"/>
      <c r="E11" s="785"/>
      <c r="F11" s="785"/>
      <c r="G11" s="784"/>
      <c r="H11" s="856" t="str">
        <f>IF(Projektgrundlagen!I25,"","Grundleistungen Hochbau Land sind nicht Teil dieser Honorarermittlung!")</f>
        <v/>
      </c>
      <c r="I11" s="884" t="s">
        <v>286</v>
      </c>
      <c r="J11" s="885" t="s">
        <v>286</v>
      </c>
      <c r="M11" s="156"/>
    </row>
    <row r="12" spans="1:15" ht="7.5" customHeight="1">
      <c r="B12" s="857"/>
      <c r="C12" s="857"/>
      <c r="D12" s="858"/>
      <c r="E12" s="859"/>
      <c r="F12" s="859"/>
      <c r="G12" s="860"/>
      <c r="H12" s="860"/>
      <c r="I12" s="861"/>
      <c r="J12" s="861"/>
      <c r="M12" s="1886" t="s">
        <v>488</v>
      </c>
    </row>
    <row r="13" spans="1:15" ht="16.5" customHeight="1">
      <c r="A13" s="1071" t="str">
        <f>IF(COUNTIF($L$13:$L$15,TRUE)&gt;1,"è","")</f>
        <v/>
      </c>
      <c r="B13" s="242"/>
      <c r="C13" s="851"/>
      <c r="D13" s="1523" t="s">
        <v>234</v>
      </c>
      <c r="E13" s="1523"/>
      <c r="F13" s="1523"/>
      <c r="G13" s="1523"/>
      <c r="H13" s="1523"/>
      <c r="I13" s="1523"/>
      <c r="J13" s="1668"/>
      <c r="L13" s="91" t="b">
        <v>0</v>
      </c>
      <c r="M13" s="129" t="b">
        <f>IF(COUNTIF(L13:L15,TRUE)=1,TRUE,FALSE)</f>
        <v>0</v>
      </c>
    </row>
    <row r="14" spans="1:15" ht="16.5" customHeight="1">
      <c r="A14" s="1071" t="str">
        <f>IF(COUNTIF($L$13:$L$15,TRUE)&gt;1,"è","")</f>
        <v/>
      </c>
      <c r="B14" s="169"/>
      <c r="C14" s="851"/>
      <c r="D14" s="1523" t="s">
        <v>489</v>
      </c>
      <c r="E14" s="1523"/>
      <c r="F14" s="1523"/>
      <c r="G14" s="1523"/>
      <c r="H14" s="1523"/>
      <c r="I14" s="1523"/>
      <c r="J14" s="1668"/>
      <c r="L14" s="91" t="b">
        <v>0</v>
      </c>
    </row>
    <row r="15" spans="1:15" ht="16.5" customHeight="1">
      <c r="A15" s="1071" t="str">
        <f>IF(COUNTIF($L$13:$L$15,TRUE)&gt;1,"è","")</f>
        <v/>
      </c>
      <c r="B15" s="242"/>
      <c r="C15" s="852"/>
      <c r="D15" s="1669" t="s">
        <v>669</v>
      </c>
      <c r="E15" s="1669"/>
      <c r="F15" s="1669"/>
      <c r="G15" s="1669"/>
      <c r="H15" s="1669"/>
      <c r="I15" s="1669"/>
      <c r="J15" s="1670"/>
      <c r="L15" s="91" t="b">
        <v>0</v>
      </c>
    </row>
    <row r="16" spans="1:15" ht="16.5" customHeight="1">
      <c r="B16" s="263"/>
      <c r="C16" s="412"/>
      <c r="D16" s="1685" t="s">
        <v>670</v>
      </c>
      <c r="E16" s="1685"/>
      <c r="F16" s="1685"/>
      <c r="G16" s="1685"/>
      <c r="H16" s="1685"/>
      <c r="I16" s="1686"/>
      <c r="J16" s="1887"/>
    </row>
    <row r="17" spans="1:13" ht="7.5" customHeight="1">
      <c r="B17" s="168"/>
      <c r="C17" s="168"/>
      <c r="D17" s="170"/>
      <c r="E17" s="171"/>
      <c r="F17" s="171"/>
      <c r="G17" s="63"/>
      <c r="H17" s="63"/>
      <c r="I17" s="172"/>
      <c r="J17" s="172"/>
    </row>
    <row r="18" spans="1:13" s="89" customFormat="1" ht="30" customHeight="1">
      <c r="A18" s="530"/>
      <c r="B18" s="1671" t="s">
        <v>151</v>
      </c>
      <c r="C18" s="1672"/>
      <c r="D18" s="1672"/>
      <c r="E18" s="1672"/>
      <c r="F18" s="1672"/>
      <c r="G18" s="1672"/>
      <c r="H18" s="1672"/>
      <c r="I18" s="271"/>
      <c r="J18" s="62"/>
      <c r="L18" s="1888"/>
      <c r="M18" s="158"/>
    </row>
    <row r="19" spans="1:13" ht="17.399999999999999">
      <c r="B19" s="182"/>
      <c r="C19" s="1171" t="s">
        <v>243</v>
      </c>
      <c r="D19" s="1159"/>
      <c r="E19" s="1663" t="s">
        <v>802</v>
      </c>
      <c r="F19" s="1663"/>
      <c r="G19" s="1663"/>
      <c r="H19" s="401"/>
      <c r="I19" s="1160">
        <v>0.75</v>
      </c>
      <c r="J19" s="413">
        <f>IF(L19,I19,0)</f>
        <v>0.75</v>
      </c>
      <c r="L19" s="91" t="b">
        <v>1</v>
      </c>
      <c r="M19" s="157"/>
    </row>
    <row r="20" spans="1:13" ht="16.5" customHeight="1">
      <c r="B20" s="181"/>
      <c r="C20" s="201"/>
      <c r="D20" s="680"/>
      <c r="E20" s="1667" t="s">
        <v>333</v>
      </c>
      <c r="F20" s="1667"/>
      <c r="G20" s="1667"/>
      <c r="H20" s="200"/>
      <c r="I20" s="1165"/>
      <c r="J20" s="1166"/>
    </row>
    <row r="21" spans="1:13" ht="17.399999999999999">
      <c r="B21" s="182"/>
      <c r="C21" s="1158" t="s">
        <v>245</v>
      </c>
      <c r="D21" s="1163"/>
      <c r="E21" s="1665" t="s">
        <v>428</v>
      </c>
      <c r="F21" s="1665"/>
      <c r="G21" s="1665"/>
      <c r="H21" s="402"/>
      <c r="I21" s="1164">
        <v>0.1</v>
      </c>
      <c r="J21" s="415">
        <f>IF(L21,I21,0)</f>
        <v>0.1</v>
      </c>
      <c r="L21" s="91" t="b">
        <v>1</v>
      </c>
      <c r="M21" s="157"/>
    </row>
    <row r="22" spans="1:13" ht="16.5" customHeight="1">
      <c r="B22" s="198"/>
      <c r="C22" s="201"/>
      <c r="D22" s="681"/>
      <c r="E22" s="1667"/>
      <c r="F22" s="1667"/>
      <c r="G22" s="1667"/>
      <c r="H22" s="200"/>
      <c r="I22" s="1161"/>
      <c r="J22" s="1162"/>
    </row>
    <row r="23" spans="1:13" ht="17.399999999999999">
      <c r="B23" s="182"/>
      <c r="C23" s="1158" t="s">
        <v>246</v>
      </c>
      <c r="D23" s="1163"/>
      <c r="E23" s="1665" t="s">
        <v>538</v>
      </c>
      <c r="F23" s="1665"/>
      <c r="G23" s="1665"/>
      <c r="H23" s="402"/>
      <c r="I23" s="1164">
        <v>0.75</v>
      </c>
      <c r="J23" s="415">
        <f>IF(L23,I23,0)</f>
        <v>0.75</v>
      </c>
      <c r="L23" s="91" t="b">
        <v>1</v>
      </c>
    </row>
    <row r="24" spans="1:13" ht="16.5" customHeight="1">
      <c r="B24" s="181"/>
      <c r="C24" s="201"/>
      <c r="D24" s="681"/>
      <c r="E24" s="1667"/>
      <c r="F24" s="1667"/>
      <c r="G24" s="1667"/>
      <c r="H24" s="200"/>
      <c r="I24" s="1161"/>
      <c r="J24" s="1162"/>
    </row>
    <row r="25" spans="1:13" ht="17.399999999999999">
      <c r="B25" s="182"/>
      <c r="C25" s="1158" t="s">
        <v>247</v>
      </c>
      <c r="D25" s="1163"/>
      <c r="E25" s="1665" t="s">
        <v>760</v>
      </c>
      <c r="F25" s="1665"/>
      <c r="G25" s="1665"/>
      <c r="H25" s="402"/>
      <c r="I25" s="1164">
        <v>0.25</v>
      </c>
      <c r="J25" s="415">
        <f>IF(L25,I25,0)</f>
        <v>0.25</v>
      </c>
      <c r="L25" s="91" t="b">
        <v>1</v>
      </c>
    </row>
    <row r="26" spans="1:13">
      <c r="B26" s="181"/>
      <c r="C26" s="201"/>
      <c r="D26" s="681"/>
      <c r="E26" s="1667" t="s">
        <v>426</v>
      </c>
      <c r="F26" s="1667"/>
      <c r="G26" s="1667"/>
      <c r="H26" s="200"/>
      <c r="I26" s="1161"/>
      <c r="J26" s="1162"/>
    </row>
    <row r="27" spans="1:13" ht="17.399999999999999">
      <c r="B27" s="182"/>
      <c r="C27" s="1158" t="s">
        <v>248</v>
      </c>
      <c r="D27" s="1163"/>
      <c r="E27" s="1665" t="s">
        <v>539</v>
      </c>
      <c r="F27" s="1665"/>
      <c r="G27" s="1665"/>
      <c r="H27" s="402"/>
      <c r="I27" s="1164">
        <v>0.15</v>
      </c>
      <c r="J27" s="415">
        <f>IF(L27,I27,0)</f>
        <v>0.15</v>
      </c>
      <c r="L27" s="91" t="b">
        <v>1</v>
      </c>
    </row>
    <row r="28" spans="1:13" ht="16.5" customHeight="1" thickBot="1">
      <c r="B28" s="198"/>
      <c r="C28" s="201"/>
      <c r="D28" s="681"/>
      <c r="E28" s="1667" t="s">
        <v>540</v>
      </c>
      <c r="F28" s="1667"/>
      <c r="G28" s="1667"/>
      <c r="H28" s="200"/>
      <c r="I28" s="1161"/>
      <c r="J28" s="1162"/>
    </row>
    <row r="29" spans="1:13" ht="22.5" customHeight="1" thickBot="1">
      <c r="B29" s="1678" t="s">
        <v>524</v>
      </c>
      <c r="C29" s="1679"/>
      <c r="D29" s="1679"/>
      <c r="E29" s="1679"/>
      <c r="F29" s="1679"/>
      <c r="G29" s="1679"/>
      <c r="H29" s="1680"/>
      <c r="I29" s="536">
        <f>IF(Projektgrundlagen!I25,SUM(I19:I28),0)</f>
        <v>2</v>
      </c>
      <c r="J29" s="537">
        <f>IF(Projektgrundlagen!I25,SUMIF(L19:L28,TRUE,J19:J28),0)</f>
        <v>2</v>
      </c>
      <c r="L29" s="345"/>
    </row>
    <row r="30" spans="1:13">
      <c r="B30" s="901"/>
      <c r="C30" s="902"/>
      <c r="D30" s="895"/>
      <c r="E30" s="895"/>
      <c r="F30" s="902"/>
      <c r="G30" s="895"/>
      <c r="H30" s="175"/>
      <c r="I30" s="897"/>
      <c r="J30" s="167"/>
    </row>
    <row r="31" spans="1:13" s="89" customFormat="1" ht="30" customHeight="1">
      <c r="A31" s="530"/>
      <c r="B31" s="1671" t="s">
        <v>150</v>
      </c>
      <c r="C31" s="1672"/>
      <c r="D31" s="1672"/>
      <c r="E31" s="1672"/>
      <c r="F31" s="1672"/>
      <c r="G31" s="1672"/>
      <c r="H31" s="1672"/>
      <c r="I31" s="533"/>
      <c r="J31" s="534"/>
      <c r="L31" s="1888"/>
      <c r="M31" s="158"/>
    </row>
    <row r="32" spans="1:13" ht="17.399999999999999">
      <c r="B32" s="182"/>
      <c r="C32" s="1158" t="s">
        <v>243</v>
      </c>
      <c r="D32" s="1159"/>
      <c r="E32" s="1663" t="s">
        <v>541</v>
      </c>
      <c r="F32" s="1663"/>
      <c r="G32" s="1663"/>
      <c r="H32" s="402"/>
      <c r="I32" s="1160">
        <v>0.5</v>
      </c>
      <c r="J32" s="415">
        <f>IF(L32,I32,0)</f>
        <v>0.5</v>
      </c>
      <c r="L32" s="91" t="b">
        <v>1</v>
      </c>
      <c r="M32" s="158"/>
    </row>
    <row r="33" spans="2:14">
      <c r="B33" s="181"/>
      <c r="C33" s="201"/>
      <c r="D33" s="680"/>
      <c r="E33" s="1664" t="s">
        <v>542</v>
      </c>
      <c r="F33" s="1664"/>
      <c r="G33" s="1664"/>
      <c r="H33" s="200"/>
      <c r="I33" s="1165"/>
      <c r="J33" s="1166"/>
      <c r="M33" s="158"/>
    </row>
    <row r="34" spans="2:14" ht="17.399999999999999">
      <c r="B34" s="182"/>
      <c r="C34" s="1158" t="s">
        <v>245</v>
      </c>
      <c r="D34" s="1163"/>
      <c r="E34" s="1665" t="s">
        <v>592</v>
      </c>
      <c r="F34" s="1665"/>
      <c r="G34" s="1665"/>
      <c r="H34" s="402"/>
      <c r="I34" s="1164">
        <v>0.1</v>
      </c>
      <c r="J34" s="415">
        <f>IF(L34,I34,0)</f>
        <v>0.1</v>
      </c>
      <c r="L34" s="91" t="b">
        <v>1</v>
      </c>
      <c r="M34" s="158"/>
    </row>
    <row r="35" spans="2:14" ht="16.5" customHeight="1">
      <c r="B35" s="181"/>
      <c r="C35" s="201"/>
      <c r="D35" s="680"/>
      <c r="E35" s="1664"/>
      <c r="F35" s="1664"/>
      <c r="G35" s="1664"/>
      <c r="H35" s="200"/>
      <c r="I35" s="1165"/>
      <c r="J35" s="1166"/>
      <c r="M35" s="158"/>
      <c r="N35" s="155"/>
    </row>
    <row r="36" spans="2:14" ht="17.399999999999999">
      <c r="B36" s="182"/>
      <c r="C36" s="1158" t="s">
        <v>246</v>
      </c>
      <c r="D36" s="1163"/>
      <c r="E36" s="1665" t="s">
        <v>701</v>
      </c>
      <c r="F36" s="1665"/>
      <c r="G36" s="1665"/>
      <c r="H36" s="402"/>
      <c r="I36" s="1164">
        <f>IF(AND(Projektgrundlagen!$I$20,NOT(Projektgrundlagen!$I$19)),3.25,3)</f>
        <v>3</v>
      </c>
      <c r="J36" s="415">
        <f>IF(L36,I36,0)</f>
        <v>3</v>
      </c>
      <c r="L36" s="91" t="b">
        <v>1</v>
      </c>
      <c r="M36" s="158"/>
      <c r="N36" s="155"/>
    </row>
    <row r="37" spans="2:14" ht="30" customHeight="1">
      <c r="B37" s="181"/>
      <c r="C37" s="201"/>
      <c r="D37" s="680"/>
      <c r="E37" s="1664" t="s">
        <v>700</v>
      </c>
      <c r="F37" s="1664"/>
      <c r="G37" s="1664"/>
      <c r="H37" s="200"/>
      <c r="I37" s="1165"/>
      <c r="J37" s="1166"/>
      <c r="M37" s="158"/>
      <c r="N37" s="155"/>
    </row>
    <row r="38" spans="2:14" ht="17.399999999999999">
      <c r="B38" s="182"/>
      <c r="C38" s="1158" t="s">
        <v>247</v>
      </c>
      <c r="D38" s="1163"/>
      <c r="E38" s="1665" t="s">
        <v>703</v>
      </c>
      <c r="F38" s="1665"/>
      <c r="G38" s="1665"/>
      <c r="H38" s="402"/>
      <c r="I38" s="1164">
        <f>IF(AND(Projektgrundlagen!$I$20,NOT(Projektgrundlagen!$I$19)),1,0.85)</f>
        <v>0.85</v>
      </c>
      <c r="J38" s="415">
        <f>IF(L38,I38,0)</f>
        <v>0.85</v>
      </c>
      <c r="L38" s="91" t="b">
        <v>1</v>
      </c>
      <c r="M38" s="158"/>
    </row>
    <row r="39" spans="2:14" ht="57" customHeight="1">
      <c r="B39" s="181"/>
      <c r="C39" s="201"/>
      <c r="D39" s="680"/>
      <c r="E39" s="1664" t="s">
        <v>761</v>
      </c>
      <c r="F39" s="1664"/>
      <c r="G39" s="1664"/>
      <c r="H39" s="200"/>
      <c r="I39" s="1165"/>
      <c r="J39" s="1166"/>
      <c r="M39" s="158"/>
    </row>
    <row r="40" spans="2:14" ht="17.399999999999999">
      <c r="B40" s="182"/>
      <c r="C40" s="1158" t="s">
        <v>248</v>
      </c>
      <c r="D40" s="1163"/>
      <c r="E40" s="1665" t="s">
        <v>705</v>
      </c>
      <c r="F40" s="1665"/>
      <c r="G40" s="1665"/>
      <c r="H40" s="402"/>
      <c r="I40" s="1164">
        <v>0.5</v>
      </c>
      <c r="J40" s="415">
        <f>IF(L40,I40,0)</f>
        <v>0.5</v>
      </c>
      <c r="L40" s="91" t="b">
        <v>1</v>
      </c>
      <c r="M40" s="158"/>
    </row>
    <row r="41" spans="2:14" ht="30" customHeight="1">
      <c r="B41" s="181"/>
      <c r="C41" s="201"/>
      <c r="D41" s="680"/>
      <c r="E41" s="1664" t="s">
        <v>704</v>
      </c>
      <c r="F41" s="1664"/>
      <c r="G41" s="1664"/>
      <c r="H41" s="200"/>
      <c r="I41" s="1165"/>
      <c r="J41" s="1166"/>
      <c r="M41" s="158"/>
      <c r="N41" s="155"/>
    </row>
    <row r="42" spans="2:14" ht="17.399999999999999">
      <c r="B42" s="182"/>
      <c r="C42" s="1158" t="s">
        <v>249</v>
      </c>
      <c r="D42" s="1163"/>
      <c r="E42" s="1665" t="s">
        <v>544</v>
      </c>
      <c r="F42" s="1665"/>
      <c r="G42" s="1665"/>
      <c r="H42" s="402"/>
      <c r="I42" s="1164">
        <f>IF(AND(Projektgrundlagen!$I$20,NOT(Projektgrundlagen!$I$19)),0.25,0.3)</f>
        <v>0.3</v>
      </c>
      <c r="J42" s="415">
        <f>IF(L42,I42,0)</f>
        <v>0.3</v>
      </c>
      <c r="L42" s="91" t="b">
        <v>1</v>
      </c>
      <c r="M42" s="158"/>
    </row>
    <row r="43" spans="2:14" ht="30" customHeight="1">
      <c r="B43" s="181"/>
      <c r="C43" s="201"/>
      <c r="D43" s="680"/>
      <c r="E43" s="1664" t="s">
        <v>543</v>
      </c>
      <c r="F43" s="1664"/>
      <c r="G43" s="1664"/>
      <c r="H43" s="200"/>
      <c r="I43" s="1165"/>
      <c r="J43" s="1166"/>
      <c r="M43" s="158"/>
      <c r="N43" s="155"/>
    </row>
    <row r="44" spans="2:14" ht="17.399999999999999">
      <c r="B44" s="182"/>
      <c r="C44" s="1158" t="s">
        <v>250</v>
      </c>
      <c r="D44" s="1163"/>
      <c r="E44" s="1665" t="s">
        <v>847</v>
      </c>
      <c r="F44" s="1665"/>
      <c r="G44" s="1665"/>
      <c r="H44" s="402"/>
      <c r="I44" s="1164">
        <f>IF(AND(Projektgrundlagen!$I$20,NOT(Projektgrundlagen!$I$19)),0.9,1)</f>
        <v>1</v>
      </c>
      <c r="J44" s="415">
        <f>IF(L44,I44,0)</f>
        <v>1</v>
      </c>
      <c r="L44" s="91" t="b">
        <v>1</v>
      </c>
      <c r="M44" s="158"/>
    </row>
    <row r="45" spans="2:14">
      <c r="B45" s="181"/>
      <c r="C45" s="1071" t="str">
        <f>IF(AND(L44,OR(AND(M45,M46),AND(NOT(M45),NOT(M46)))),"è","")</f>
        <v/>
      </c>
      <c r="D45" s="680"/>
      <c r="E45" s="1125"/>
      <c r="F45" s="1664" t="s">
        <v>846</v>
      </c>
      <c r="G45" s="1664"/>
      <c r="H45" s="200"/>
      <c r="I45" s="1165"/>
      <c r="J45" s="1166"/>
      <c r="M45" s="1126" t="b">
        <v>0</v>
      </c>
      <c r="N45" s="155"/>
    </row>
    <row r="46" spans="2:14">
      <c r="B46" s="202"/>
      <c r="C46" s="1071" t="str">
        <f>IF(AND(L44,OR(AND(M45,M46),AND(NOT(M45),NOT(M46)))),"è","")</f>
        <v/>
      </c>
      <c r="D46" s="680"/>
      <c r="E46" s="1125"/>
      <c r="F46" s="1664" t="s">
        <v>845</v>
      </c>
      <c r="G46" s="1664"/>
      <c r="H46" s="200"/>
      <c r="I46" s="1165"/>
      <c r="J46" s="1166"/>
      <c r="M46" s="1126" t="b">
        <v>1</v>
      </c>
      <c r="N46" s="155"/>
    </row>
    <row r="47" spans="2:14" ht="43.5" customHeight="1">
      <c r="B47" s="202"/>
      <c r="C47" s="201"/>
      <c r="D47" s="680"/>
      <c r="E47" s="1664" t="s">
        <v>545</v>
      </c>
      <c r="F47" s="1664"/>
      <c r="G47" s="1664"/>
      <c r="H47" s="200"/>
      <c r="I47" s="1165"/>
      <c r="J47" s="1166"/>
      <c r="M47" s="1126"/>
      <c r="N47" s="155"/>
    </row>
    <row r="48" spans="2:14" ht="17.399999999999999">
      <c r="B48" s="182"/>
      <c r="C48" s="1158" t="s">
        <v>251</v>
      </c>
      <c r="D48" s="1163"/>
      <c r="E48" s="1665" t="s">
        <v>763</v>
      </c>
      <c r="F48" s="1665"/>
      <c r="G48" s="1665"/>
      <c r="H48" s="402"/>
      <c r="I48" s="1164">
        <f>IF(AND(Projektgrundlagen!$I$20,NOT(Projektgrundlagen!$I$19)),0.25,0.5)</f>
        <v>0.5</v>
      </c>
      <c r="J48" s="415">
        <f>IF(L48,I48,0)</f>
        <v>0.5</v>
      </c>
      <c r="L48" s="91" t="b">
        <v>1</v>
      </c>
      <c r="M48" s="158"/>
    </row>
    <row r="49" spans="2:13" ht="16.5" customHeight="1">
      <c r="B49" s="181"/>
      <c r="C49" s="201"/>
      <c r="D49" s="680"/>
      <c r="E49" s="1664" t="s">
        <v>762</v>
      </c>
      <c r="F49" s="1664"/>
      <c r="G49" s="1664"/>
      <c r="H49" s="200"/>
      <c r="I49" s="1165"/>
      <c r="J49" s="1166"/>
      <c r="M49" s="158"/>
    </row>
    <row r="50" spans="2:13" ht="17.399999999999999">
      <c r="B50" s="182"/>
      <c r="C50" s="1158" t="s">
        <v>252</v>
      </c>
      <c r="D50" s="1163"/>
      <c r="E50" s="1665" t="s">
        <v>546</v>
      </c>
      <c r="F50" s="1665"/>
      <c r="G50" s="1665"/>
      <c r="H50" s="402"/>
      <c r="I50" s="1164">
        <v>0.25</v>
      </c>
      <c r="J50" s="415">
        <f>IF(L50,I50,0)</f>
        <v>0.25</v>
      </c>
      <c r="L50" s="91" t="b">
        <v>1</v>
      </c>
      <c r="M50" s="158"/>
    </row>
    <row r="51" spans="2:13" ht="43.5" customHeight="1">
      <c r="B51" s="181"/>
      <c r="C51" s="201"/>
      <c r="D51" s="680"/>
      <c r="E51" s="1664" t="s">
        <v>766</v>
      </c>
      <c r="F51" s="1664"/>
      <c r="G51" s="1664"/>
      <c r="H51" s="200"/>
      <c r="I51" s="1165"/>
      <c r="J51" s="1166"/>
      <c r="M51" s="158"/>
    </row>
    <row r="52" spans="2:13">
      <c r="B52" s="411"/>
      <c r="C52" s="1167"/>
      <c r="D52" s="1168"/>
      <c r="E52" s="772" t="s">
        <v>804</v>
      </c>
      <c r="F52" s="772"/>
      <c r="G52" s="772"/>
      <c r="H52" s="772"/>
      <c r="I52" s="1164"/>
      <c r="J52" s="415">
        <f>IF(L52,IF(AND($L$13,$M$13),I52+2,I52),0)</f>
        <v>0</v>
      </c>
      <c r="L52" s="91" t="b">
        <f>L13</f>
        <v>0</v>
      </c>
      <c r="M52" s="158"/>
    </row>
    <row r="53" spans="2:13" ht="16.5" customHeight="1" thickBot="1">
      <c r="B53" s="202"/>
      <c r="C53" s="400"/>
      <c r="D53" s="768"/>
      <c r="E53" s="1666"/>
      <c r="F53" s="1666"/>
      <c r="G53" s="399"/>
      <c r="H53" s="399"/>
      <c r="I53" s="1169"/>
      <c r="J53" s="1170"/>
      <c r="M53" s="158"/>
    </row>
    <row r="54" spans="2:13" ht="22.5" customHeight="1" thickBot="1">
      <c r="B54" s="1678" t="s">
        <v>681</v>
      </c>
      <c r="C54" s="1679"/>
      <c r="D54" s="1679"/>
      <c r="E54" s="1679"/>
      <c r="F54" s="1679"/>
      <c r="G54" s="1679"/>
      <c r="H54" s="1680"/>
      <c r="I54" s="536">
        <f>IF(Projektgrundlagen!I25,SUM(I32:I53),0)</f>
        <v>7</v>
      </c>
      <c r="J54" s="537">
        <f>IF(Projektgrundlagen!I25,SUMIF(L32:L53,TRUE,J32:J53),0)</f>
        <v>7</v>
      </c>
      <c r="M54" s="158"/>
    </row>
    <row r="55" spans="2:13">
      <c r="B55" s="901"/>
      <c r="C55" s="902"/>
      <c r="D55" s="890"/>
      <c r="E55" s="890"/>
      <c r="F55" s="894"/>
      <c r="G55" s="895"/>
      <c r="H55" s="175"/>
      <c r="I55" s="896"/>
      <c r="J55" s="167"/>
      <c r="M55" s="158"/>
    </row>
    <row r="56" spans="2:13" ht="30" customHeight="1">
      <c r="B56" s="1671" t="s">
        <v>149</v>
      </c>
      <c r="C56" s="1672"/>
      <c r="D56" s="1672"/>
      <c r="E56" s="1672"/>
      <c r="F56" s="1672"/>
      <c r="G56" s="1672"/>
      <c r="H56" s="1672"/>
      <c r="I56" s="533"/>
      <c r="J56" s="534"/>
      <c r="M56" s="158"/>
    </row>
    <row r="57" spans="2:13" ht="17.399999999999999">
      <c r="B57" s="182"/>
      <c r="C57" s="1158" t="s">
        <v>243</v>
      </c>
      <c r="D57" s="1159"/>
      <c r="E57" s="1663" t="s">
        <v>549</v>
      </c>
      <c r="F57" s="1663"/>
      <c r="G57" s="1663"/>
      <c r="H57" s="402"/>
      <c r="I57" s="1160">
        <v>11</v>
      </c>
      <c r="J57" s="415">
        <f>IF(L57,I57,0)</f>
        <v>11</v>
      </c>
      <c r="L57" s="91" t="b">
        <v>1</v>
      </c>
      <c r="M57" s="158"/>
    </row>
    <row r="58" spans="2:13" ht="124.5" customHeight="1">
      <c r="B58" s="198"/>
      <c r="C58" s="201"/>
      <c r="D58" s="680"/>
      <c r="E58" s="1667" t="s">
        <v>548</v>
      </c>
      <c r="F58" s="1667"/>
      <c r="G58" s="1667"/>
      <c r="H58" s="200"/>
      <c r="I58" s="1161"/>
      <c r="J58" s="1162"/>
      <c r="M58" s="158"/>
    </row>
    <row r="59" spans="2:13" ht="17.399999999999999">
      <c r="B59" s="182"/>
      <c r="C59" s="1158" t="s">
        <v>245</v>
      </c>
      <c r="D59" s="1163"/>
      <c r="E59" s="1665" t="s">
        <v>768</v>
      </c>
      <c r="F59" s="1665"/>
      <c r="G59" s="1665"/>
      <c r="H59" s="402"/>
      <c r="I59" s="1164">
        <f>IF(AND(Projektgrundlagen!$I$20,NOT(Projektgrundlagen!$I$19)),1.5,1.15)</f>
        <v>1.1499999999999999</v>
      </c>
      <c r="J59" s="415">
        <f>IF(L59,I59,0)</f>
        <v>1.1499999999999999</v>
      </c>
      <c r="L59" s="91" t="b">
        <v>1</v>
      </c>
      <c r="M59" s="158"/>
    </row>
    <row r="60" spans="2:13" ht="30" customHeight="1">
      <c r="B60" s="198"/>
      <c r="C60" s="201"/>
      <c r="D60" s="680"/>
      <c r="E60" s="1667" t="s">
        <v>704</v>
      </c>
      <c r="F60" s="1667"/>
      <c r="G60" s="1667"/>
      <c r="H60" s="200"/>
      <c r="I60" s="1161"/>
      <c r="J60" s="1162"/>
      <c r="M60" s="158"/>
    </row>
    <row r="61" spans="2:13" ht="17.399999999999999">
      <c r="B61" s="182"/>
      <c r="C61" s="1158" t="s">
        <v>246</v>
      </c>
      <c r="D61" s="1163"/>
      <c r="E61" s="1665" t="s">
        <v>708</v>
      </c>
      <c r="F61" s="1665"/>
      <c r="G61" s="1665"/>
      <c r="H61" s="402"/>
      <c r="I61" s="1164">
        <f>IF(AND(Projektgrundlagen!$I$20,NOT(Projektgrundlagen!$I$19)),0.5,0.4)</f>
        <v>0.4</v>
      </c>
      <c r="J61" s="415">
        <f>IF(L61,I61,0)</f>
        <v>0.4</v>
      </c>
      <c r="L61" s="91" t="b">
        <v>1</v>
      </c>
      <c r="M61" s="158"/>
    </row>
    <row r="62" spans="2:13" ht="30" customHeight="1">
      <c r="B62" s="198"/>
      <c r="C62" s="201"/>
      <c r="D62" s="680"/>
      <c r="E62" s="1667" t="s">
        <v>769</v>
      </c>
      <c r="F62" s="1667"/>
      <c r="G62" s="1667"/>
      <c r="H62" s="200"/>
      <c r="I62" s="1161"/>
      <c r="J62" s="1162"/>
      <c r="M62" s="158"/>
    </row>
    <row r="63" spans="2:13" ht="17.399999999999999">
      <c r="B63" s="182"/>
      <c r="C63" s="1158" t="s">
        <v>247</v>
      </c>
      <c r="D63" s="1163"/>
      <c r="E63" s="1665" t="s">
        <v>550</v>
      </c>
      <c r="F63" s="1665"/>
      <c r="G63" s="1665"/>
      <c r="H63" s="402"/>
      <c r="I63" s="1164">
        <f>IF(AND(Projektgrundlagen!$I$20,NOT(Projektgrundlagen!$I$19)),0.25,0.2)</f>
        <v>0.2</v>
      </c>
      <c r="J63" s="415">
        <f>IF(L63,I63,0)</f>
        <v>0.2</v>
      </c>
      <c r="L63" s="91" t="b">
        <v>1</v>
      </c>
      <c r="M63" s="158"/>
    </row>
    <row r="64" spans="2:13">
      <c r="B64" s="181"/>
      <c r="C64" s="201"/>
      <c r="D64" s="680"/>
      <c r="E64" s="1664"/>
      <c r="F64" s="1664"/>
      <c r="G64" s="1664"/>
      <c r="H64" s="200"/>
      <c r="I64" s="1165"/>
      <c r="J64" s="1166"/>
      <c r="M64" s="158"/>
    </row>
    <row r="65" spans="2:14" ht="17.399999999999999">
      <c r="B65" s="182"/>
      <c r="C65" s="1158" t="s">
        <v>248</v>
      </c>
      <c r="D65" s="1163"/>
      <c r="E65" s="1665" t="s">
        <v>848</v>
      </c>
      <c r="F65" s="1665"/>
      <c r="G65" s="1665"/>
      <c r="H65" s="402"/>
      <c r="I65" s="1164">
        <v>1.25</v>
      </c>
      <c r="J65" s="415">
        <f>IF(L65,I65,0)</f>
        <v>1.25</v>
      </c>
      <c r="L65" s="91" t="b">
        <v>1</v>
      </c>
      <c r="M65" s="158"/>
    </row>
    <row r="66" spans="2:14">
      <c r="B66" s="181"/>
      <c r="C66" s="1071" t="str">
        <f>IF(AND(L65,OR(AND(M66,M67),AND(NOT(M66),NOT(M67)))),"è","")</f>
        <v/>
      </c>
      <c r="D66" s="680"/>
      <c r="E66" s="1125"/>
      <c r="F66" s="1664" t="s">
        <v>846</v>
      </c>
      <c r="G66" s="1664"/>
      <c r="H66" s="200"/>
      <c r="I66" s="1165"/>
      <c r="J66" s="1166"/>
      <c r="M66" s="1126" t="b">
        <v>0</v>
      </c>
      <c r="N66" s="155"/>
    </row>
    <row r="67" spans="2:14">
      <c r="B67" s="202"/>
      <c r="C67" s="1071" t="str">
        <f>IF(AND(L65,OR(AND(M66,M67),AND(NOT(M66),NOT(M67)))),"è","")</f>
        <v/>
      </c>
      <c r="D67" s="680"/>
      <c r="E67" s="1125"/>
      <c r="F67" s="1664" t="s">
        <v>845</v>
      </c>
      <c r="G67" s="1664"/>
      <c r="H67" s="200"/>
      <c r="I67" s="1165"/>
      <c r="J67" s="1166"/>
      <c r="M67" s="1126" t="b">
        <v>1</v>
      </c>
      <c r="N67" s="155"/>
    </row>
    <row r="68" spans="2:14" ht="57" customHeight="1">
      <c r="B68" s="199"/>
      <c r="C68" s="201"/>
      <c r="D68" s="680"/>
      <c r="E68" s="1664" t="s">
        <v>551</v>
      </c>
      <c r="F68" s="1664"/>
      <c r="G68" s="1664"/>
      <c r="H68" s="200"/>
      <c r="I68" s="1165"/>
      <c r="J68" s="1166"/>
      <c r="M68" s="158"/>
    </row>
    <row r="69" spans="2:14" ht="17.399999999999999">
      <c r="B69" s="182"/>
      <c r="C69" s="1158" t="s">
        <v>249</v>
      </c>
      <c r="D69" s="1163"/>
      <c r="E69" s="1665" t="s">
        <v>552</v>
      </c>
      <c r="F69" s="1665"/>
      <c r="G69" s="1665"/>
      <c r="H69" s="402"/>
      <c r="I69" s="1164">
        <f>IF(AND(Projektgrundlagen!$I$20,NOT(Projektgrundlagen!$I$19)),0.2,0.35)</f>
        <v>0.35</v>
      </c>
      <c r="J69" s="415">
        <f>IF(L69,I69,0)</f>
        <v>0.35</v>
      </c>
      <c r="L69" s="91" t="b">
        <v>1</v>
      </c>
      <c r="M69" s="158"/>
    </row>
    <row r="70" spans="2:14" ht="16.5" customHeight="1">
      <c r="B70" s="198"/>
      <c r="C70" s="201"/>
      <c r="D70" s="680"/>
      <c r="E70" s="1667"/>
      <c r="F70" s="1667"/>
      <c r="G70" s="1667"/>
      <c r="H70" s="200"/>
      <c r="I70" s="1161"/>
      <c r="J70" s="1162"/>
      <c r="M70" s="158"/>
    </row>
    <row r="71" spans="2:14" ht="17.399999999999999">
      <c r="B71" s="182"/>
      <c r="C71" s="1158" t="s">
        <v>250</v>
      </c>
      <c r="D71" s="1163"/>
      <c r="E71" s="1665" t="s">
        <v>546</v>
      </c>
      <c r="F71" s="1665"/>
      <c r="G71" s="1665"/>
      <c r="H71" s="402"/>
      <c r="I71" s="1164">
        <f>IF(AND(Projektgrundlagen!$I$20,NOT(Projektgrundlagen!$I$19)),0.3,0.65)</f>
        <v>0.65</v>
      </c>
      <c r="J71" s="415">
        <f>IF(L71,I71,0)</f>
        <v>0.65</v>
      </c>
      <c r="L71" s="91" t="b">
        <v>1</v>
      </c>
      <c r="M71" s="158"/>
    </row>
    <row r="72" spans="2:14" ht="43.5" customHeight="1">
      <c r="B72" s="198"/>
      <c r="C72" s="201"/>
      <c r="D72" s="680"/>
      <c r="E72" s="1667" t="s">
        <v>671</v>
      </c>
      <c r="F72" s="1667"/>
      <c r="G72" s="1667"/>
      <c r="H72" s="200"/>
      <c r="I72" s="1161"/>
      <c r="J72" s="1162"/>
      <c r="M72" s="158"/>
    </row>
    <row r="73" spans="2:14">
      <c r="B73" s="411"/>
      <c r="C73" s="1167"/>
      <c r="D73" s="1168"/>
      <c r="E73" s="772" t="s">
        <v>805</v>
      </c>
      <c r="F73" s="772"/>
      <c r="G73" s="772"/>
      <c r="H73" s="773"/>
      <c r="I73" s="1164"/>
      <c r="J73" s="415">
        <f>IF(L73,IF(AND($L$14,$M$13),I73+7,I73),0)</f>
        <v>0</v>
      </c>
      <c r="L73" s="91" t="b">
        <f>L14</f>
        <v>0</v>
      </c>
      <c r="M73" s="158"/>
    </row>
    <row r="74" spans="2:14" ht="16.5" customHeight="1" thickBot="1">
      <c r="B74" s="202"/>
      <c r="C74" s="400"/>
      <c r="D74" s="768"/>
      <c r="E74" s="1666"/>
      <c r="F74" s="1666"/>
      <c r="G74" s="399"/>
      <c r="H74" s="399"/>
      <c r="I74" s="1169"/>
      <c r="J74" s="1170"/>
      <c r="M74" s="158"/>
    </row>
    <row r="75" spans="2:14" ht="22.5" customHeight="1" thickBot="1">
      <c r="B75" s="1678" t="s">
        <v>547</v>
      </c>
      <c r="C75" s="1679"/>
      <c r="D75" s="1679"/>
      <c r="E75" s="1679"/>
      <c r="F75" s="1679"/>
      <c r="G75" s="1679"/>
      <c r="H75" s="1680"/>
      <c r="I75" s="536">
        <f>IF(Projektgrundlagen!I25,SUM(I57:I74),0)</f>
        <v>15</v>
      </c>
      <c r="J75" s="537">
        <f>IF(Projektgrundlagen!I25,SUMIF(L57:L74,TRUE,J57:J74),0)</f>
        <v>15</v>
      </c>
      <c r="M75" s="158"/>
    </row>
    <row r="76" spans="2:14">
      <c r="B76" s="901"/>
      <c r="C76" s="902"/>
      <c r="D76" s="895"/>
      <c r="E76" s="895"/>
      <c r="F76" s="895"/>
      <c r="G76" s="895"/>
      <c r="H76" s="175"/>
      <c r="I76" s="897"/>
      <c r="J76" s="167"/>
      <c r="M76" s="158"/>
    </row>
    <row r="77" spans="2:14" ht="30" customHeight="1">
      <c r="B77" s="1671" t="s">
        <v>394</v>
      </c>
      <c r="C77" s="1672"/>
      <c r="D77" s="1672"/>
      <c r="E77" s="1672"/>
      <c r="F77" s="1672"/>
      <c r="G77" s="1672"/>
      <c r="H77" s="1672"/>
      <c r="I77" s="533"/>
      <c r="J77" s="534"/>
      <c r="M77" s="158"/>
    </row>
    <row r="78" spans="2:14" ht="17.399999999999999">
      <c r="B78" s="182"/>
      <c r="C78" s="1158" t="s">
        <v>243</v>
      </c>
      <c r="D78" s="1159"/>
      <c r="E78" s="1663" t="s">
        <v>553</v>
      </c>
      <c r="F78" s="1663"/>
      <c r="G78" s="1663"/>
      <c r="H78" s="402"/>
      <c r="I78" s="1160">
        <f>IF(AND(Projektgrundlagen!$I$20,NOT(Projektgrundlagen!$I$19)),1.8,2.5)</f>
        <v>2.5</v>
      </c>
      <c r="J78" s="415">
        <f>IF(L78,I78,0)</f>
        <v>2.5</v>
      </c>
      <c r="L78" s="91" t="b">
        <v>1</v>
      </c>
      <c r="M78" s="158"/>
    </row>
    <row r="79" spans="2:14" ht="70.5" customHeight="1">
      <c r="B79" s="181"/>
      <c r="C79" s="201"/>
      <c r="D79" s="680"/>
      <c r="E79" s="1664" t="s">
        <v>789</v>
      </c>
      <c r="F79" s="1664"/>
      <c r="G79" s="1664"/>
      <c r="H79" s="200"/>
      <c r="I79" s="1165"/>
      <c r="J79" s="1166"/>
    </row>
    <row r="80" spans="2:14">
      <c r="B80" s="199"/>
      <c r="C80" s="201"/>
      <c r="D80" s="680"/>
      <c r="E80" s="1889" t="s">
        <v>790</v>
      </c>
      <c r="F80" s="1889"/>
      <c r="G80" s="1889"/>
      <c r="H80" s="200"/>
      <c r="I80" s="1161"/>
      <c r="J80" s="1162"/>
    </row>
    <row r="81" spans="2:12" ht="17.399999999999999">
      <c r="B81" s="182"/>
      <c r="C81" s="1158" t="s">
        <v>245</v>
      </c>
      <c r="D81" s="1163"/>
      <c r="E81" s="1665" t="s">
        <v>714</v>
      </c>
      <c r="F81" s="1665"/>
      <c r="G81" s="1665"/>
      <c r="H81" s="402"/>
      <c r="I81" s="1164">
        <f>IF(AND(Projektgrundlagen!$I$20,NOT(Projektgrundlagen!$I$19)),0.1,0.25)</f>
        <v>0.25</v>
      </c>
      <c r="J81" s="415">
        <f>IF(L81,I81,0)</f>
        <v>0.25</v>
      </c>
      <c r="L81" s="91" t="b">
        <v>1</v>
      </c>
    </row>
    <row r="82" spans="2:12">
      <c r="B82" s="181"/>
      <c r="C82" s="201"/>
      <c r="D82" s="680"/>
      <c r="E82" s="1664" t="s">
        <v>713</v>
      </c>
      <c r="F82" s="1664"/>
      <c r="G82" s="1664"/>
      <c r="H82" s="200"/>
      <c r="I82" s="1165"/>
      <c r="J82" s="1166"/>
    </row>
    <row r="83" spans="2:12" ht="17.399999999999999">
      <c r="B83" s="182"/>
      <c r="C83" s="1158" t="s">
        <v>246</v>
      </c>
      <c r="D83" s="1163"/>
      <c r="E83" s="1665" t="s">
        <v>771</v>
      </c>
      <c r="F83" s="1665"/>
      <c r="G83" s="1665"/>
      <c r="H83" s="402"/>
      <c r="I83" s="1164">
        <f>IF(AND(Projektgrundlagen!$I$20,NOT(Projektgrundlagen!$I$19)),0.1,0.25)</f>
        <v>0.25</v>
      </c>
      <c r="J83" s="415">
        <f>IF(L83,I83,0)</f>
        <v>0.25</v>
      </c>
      <c r="L83" s="91" t="b">
        <v>1</v>
      </c>
    </row>
    <row r="84" spans="2:12" ht="17.399999999999999" thickBot="1">
      <c r="B84" s="198"/>
      <c r="C84" s="201"/>
      <c r="D84" s="680"/>
      <c r="E84" s="1667" t="s">
        <v>770</v>
      </c>
      <c r="F84" s="1667"/>
      <c r="G84" s="1667"/>
      <c r="H84" s="200"/>
      <c r="I84" s="1161"/>
      <c r="J84" s="1162"/>
    </row>
    <row r="85" spans="2:12" ht="22.5" customHeight="1" thickBot="1">
      <c r="B85" s="1678" t="s">
        <v>683</v>
      </c>
      <c r="C85" s="1679"/>
      <c r="D85" s="1679"/>
      <c r="E85" s="1679"/>
      <c r="F85" s="1679"/>
      <c r="G85" s="1679"/>
      <c r="H85" s="1680"/>
      <c r="I85" s="536">
        <f>IF(Projektgrundlagen!I25,SUM(I78:I84),0)</f>
        <v>3</v>
      </c>
      <c r="J85" s="537">
        <f>IF(Projektgrundlagen!I25,SUMIF(L78:L84,TRUE,J78:J84),0)</f>
        <v>3</v>
      </c>
    </row>
    <row r="86" spans="2:12">
      <c r="B86" s="901"/>
      <c r="C86" s="902"/>
      <c r="D86" s="898"/>
      <c r="E86" s="898"/>
      <c r="F86" s="898"/>
      <c r="G86" s="898"/>
      <c r="H86" s="899"/>
      <c r="I86" s="897"/>
      <c r="J86" s="167"/>
    </row>
    <row r="87" spans="2:12" ht="30" customHeight="1">
      <c r="B87" s="1671" t="s">
        <v>152</v>
      </c>
      <c r="C87" s="1672"/>
      <c r="D87" s="1672"/>
      <c r="E87" s="1672"/>
      <c r="F87" s="1672"/>
      <c r="G87" s="1672"/>
      <c r="H87" s="1672"/>
      <c r="I87" s="539"/>
      <c r="J87" s="540"/>
    </row>
    <row r="88" spans="2:12" ht="17.399999999999999">
      <c r="B88" s="182"/>
      <c r="C88" s="1158" t="s">
        <v>243</v>
      </c>
      <c r="D88" s="1159"/>
      <c r="E88" s="1663" t="s">
        <v>772</v>
      </c>
      <c r="F88" s="1663"/>
      <c r="G88" s="1663"/>
      <c r="H88" s="402"/>
      <c r="I88" s="1160">
        <f>IF(AND(Projektgrundlagen!$I$20,NOT(Projektgrundlagen!$I$19)),13.75,10)</f>
        <v>10</v>
      </c>
      <c r="J88" s="415">
        <f>IF(L88,I88,0)</f>
        <v>10</v>
      </c>
      <c r="L88" s="91" t="b">
        <v>1</v>
      </c>
    </row>
    <row r="89" spans="2:12" ht="43.5" customHeight="1">
      <c r="B89" s="198"/>
      <c r="C89" s="201"/>
      <c r="D89" s="680"/>
      <c r="E89" s="1667" t="s">
        <v>715</v>
      </c>
      <c r="F89" s="1667"/>
      <c r="G89" s="1667"/>
      <c r="H89" s="200"/>
      <c r="I89" s="1161"/>
      <c r="J89" s="1162"/>
    </row>
    <row r="90" spans="2:12" ht="17.399999999999999">
      <c r="B90" s="182"/>
      <c r="C90" s="1158" t="s">
        <v>245</v>
      </c>
      <c r="D90" s="1163"/>
      <c r="E90" s="1665" t="s">
        <v>718</v>
      </c>
      <c r="F90" s="1665"/>
      <c r="G90" s="1665"/>
      <c r="H90" s="402"/>
      <c r="I90" s="1164">
        <f>IF(AND(Projektgrundlagen!$I$20,NOT(Projektgrundlagen!$I$19)),13,9.5)</f>
        <v>9.5</v>
      </c>
      <c r="J90" s="415">
        <f>IF(L90,I90,0)</f>
        <v>9.5</v>
      </c>
      <c r="L90" s="91" t="b">
        <v>1</v>
      </c>
    </row>
    <row r="91" spans="2:12" ht="30" customHeight="1">
      <c r="B91" s="198"/>
      <c r="C91" s="201"/>
      <c r="D91" s="680"/>
      <c r="E91" s="1667" t="s">
        <v>773</v>
      </c>
      <c r="F91" s="1667"/>
      <c r="G91" s="1667"/>
      <c r="H91" s="200"/>
      <c r="I91" s="1161"/>
      <c r="J91" s="1162"/>
    </row>
    <row r="92" spans="2:12" ht="17.399999999999999">
      <c r="B92" s="182"/>
      <c r="C92" s="1158" t="s">
        <v>246</v>
      </c>
      <c r="D92" s="1163"/>
      <c r="E92" s="1665" t="s">
        <v>705</v>
      </c>
      <c r="F92" s="1665"/>
      <c r="G92" s="1665"/>
      <c r="H92" s="402"/>
      <c r="I92" s="1164">
        <f>IF(AND(Projektgrundlagen!$I$20,NOT(Projektgrundlagen!$I$19)),1.25,3)</f>
        <v>3</v>
      </c>
      <c r="J92" s="415">
        <f>IF(L92,I92,0)</f>
        <v>3</v>
      </c>
      <c r="L92" s="91" t="b">
        <v>1</v>
      </c>
    </row>
    <row r="93" spans="2:12" ht="30" customHeight="1">
      <c r="B93" s="198"/>
      <c r="C93" s="201"/>
      <c r="D93" s="680"/>
      <c r="E93" s="1667" t="s">
        <v>719</v>
      </c>
      <c r="F93" s="1667"/>
      <c r="G93" s="1667"/>
      <c r="H93" s="200"/>
      <c r="I93" s="1161"/>
      <c r="J93" s="1162"/>
    </row>
    <row r="94" spans="2:12" ht="17.399999999999999">
      <c r="B94" s="182"/>
      <c r="C94" s="1158" t="s">
        <v>247</v>
      </c>
      <c r="D94" s="1163"/>
      <c r="E94" s="1665" t="s">
        <v>552</v>
      </c>
      <c r="F94" s="1665"/>
      <c r="G94" s="1665"/>
      <c r="H94" s="402"/>
      <c r="I94" s="1164">
        <f>IF(AND(Projektgrundlagen!$I$20,NOT(Projektgrundlagen!$I$19)),0.5,0.85)</f>
        <v>0.85</v>
      </c>
      <c r="J94" s="415">
        <f>IF(L94,I94,0)</f>
        <v>0.85</v>
      </c>
      <c r="L94" s="91" t="b">
        <v>1</v>
      </c>
    </row>
    <row r="95" spans="2:12" ht="16.5" customHeight="1">
      <c r="B95" s="198"/>
      <c r="C95" s="201"/>
      <c r="D95" s="680"/>
      <c r="E95" s="1664"/>
      <c r="F95" s="1664"/>
      <c r="G95" s="1664"/>
      <c r="H95" s="200"/>
      <c r="I95" s="1161"/>
      <c r="J95" s="1162"/>
    </row>
    <row r="96" spans="2:12" ht="17.399999999999999">
      <c r="B96" s="182"/>
      <c r="C96" s="1158" t="s">
        <v>248</v>
      </c>
      <c r="D96" s="1163"/>
      <c r="E96" s="1665" t="s">
        <v>823</v>
      </c>
      <c r="F96" s="1665"/>
      <c r="G96" s="1665"/>
      <c r="H96" s="402"/>
      <c r="I96" s="1164">
        <f>IF(AND(Projektgrundlagen!$I$20,NOT(Projektgrundlagen!$I$19)),1,0.4)</f>
        <v>0.4</v>
      </c>
      <c r="J96" s="415">
        <f>IF(L96,I96,0)</f>
        <v>0.4</v>
      </c>
      <c r="L96" s="91" t="b">
        <v>1</v>
      </c>
    </row>
    <row r="97" spans="1:13">
      <c r="B97" s="198"/>
      <c r="C97" s="201"/>
      <c r="D97" s="680"/>
      <c r="E97" s="1667" t="s">
        <v>720</v>
      </c>
      <c r="F97" s="1667"/>
      <c r="G97" s="1667"/>
      <c r="H97" s="200"/>
      <c r="I97" s="1161"/>
      <c r="J97" s="1162"/>
    </row>
    <row r="98" spans="1:13" ht="17.399999999999999">
      <c r="B98" s="182"/>
      <c r="C98" s="1158" t="s">
        <v>249</v>
      </c>
      <c r="D98" s="1163"/>
      <c r="E98" s="1665" t="s">
        <v>555</v>
      </c>
      <c r="F98" s="1665"/>
      <c r="G98" s="1665"/>
      <c r="H98" s="402"/>
      <c r="I98" s="1164">
        <f>IF(AND(Projektgrundlagen!$I$20,NOT(Projektgrundlagen!$I$19)),0.5,1.25)</f>
        <v>1.25</v>
      </c>
      <c r="J98" s="415">
        <f>IF(L98,I98,0)</f>
        <v>1.25</v>
      </c>
      <c r="L98" s="91" t="b">
        <v>1</v>
      </c>
    </row>
    <row r="99" spans="1:13" ht="30" customHeight="1" thickBot="1">
      <c r="B99" s="198"/>
      <c r="C99" s="201"/>
      <c r="D99" s="680"/>
      <c r="E99" s="1664" t="s">
        <v>554</v>
      </c>
      <c r="F99" s="1664"/>
      <c r="G99" s="1664"/>
      <c r="H99" s="200"/>
      <c r="I99" s="1161"/>
      <c r="J99" s="1162"/>
    </row>
    <row r="100" spans="1:13" ht="22.5" customHeight="1" thickBot="1">
      <c r="B100" s="1678" t="s">
        <v>682</v>
      </c>
      <c r="C100" s="1679"/>
      <c r="D100" s="1679"/>
      <c r="E100" s="1679"/>
      <c r="F100" s="1679"/>
      <c r="G100" s="1679"/>
      <c r="H100" s="1680"/>
      <c r="I100" s="536">
        <f>IF(Projektgrundlagen!I25,SUM(I88:I99),0)</f>
        <v>25</v>
      </c>
      <c r="J100" s="537">
        <f>IF(Projektgrundlagen!I25,SUMIF(L88:L99,TRUE,J88:J99),0)</f>
        <v>25</v>
      </c>
    </row>
    <row r="101" spans="1:13">
      <c r="B101" s="901"/>
      <c r="C101" s="902"/>
      <c r="D101" s="898"/>
      <c r="E101" s="898"/>
      <c r="F101" s="898"/>
      <c r="G101" s="898"/>
      <c r="H101" s="899"/>
      <c r="I101" s="896"/>
      <c r="J101" s="167"/>
    </row>
    <row r="102" spans="1:13" s="92" customFormat="1" ht="30" customHeight="1">
      <c r="A102" s="532"/>
      <c r="B102" s="1671" t="s">
        <v>153</v>
      </c>
      <c r="C102" s="1672"/>
      <c r="D102" s="1672"/>
      <c r="E102" s="1672"/>
      <c r="F102" s="1672"/>
      <c r="G102" s="1672"/>
      <c r="H102" s="1672"/>
      <c r="I102" s="541"/>
      <c r="J102" s="542"/>
      <c r="M102" s="159"/>
    </row>
    <row r="103" spans="1:13" ht="17.399999999999999">
      <c r="B103" s="182"/>
      <c r="C103" s="1158" t="s">
        <v>243</v>
      </c>
      <c r="D103" s="1159"/>
      <c r="E103" s="1663" t="s">
        <v>556</v>
      </c>
      <c r="F103" s="1663"/>
      <c r="G103" s="1663"/>
      <c r="H103" s="402"/>
      <c r="I103" s="1160">
        <f>IF(AND(Projektgrundlagen!$I$20,NOT(Projektgrundlagen!$I$19)),0.1,0.2)</f>
        <v>0.2</v>
      </c>
      <c r="J103" s="415">
        <f>IF(L103,I103,0)</f>
        <v>0</v>
      </c>
      <c r="L103" s="91" t="b">
        <v>0</v>
      </c>
    </row>
    <row r="104" spans="1:13">
      <c r="B104" s="198"/>
      <c r="C104" s="201"/>
      <c r="D104" s="680"/>
      <c r="E104" s="1667"/>
      <c r="F104" s="1667"/>
      <c r="G104" s="1667"/>
      <c r="H104" s="200"/>
      <c r="I104" s="1161"/>
      <c r="J104" s="1162"/>
    </row>
    <row r="105" spans="1:13" ht="17.399999999999999">
      <c r="B105" s="182"/>
      <c r="C105" s="1158" t="s">
        <v>245</v>
      </c>
      <c r="D105" s="1163"/>
      <c r="E105" s="1665" t="s">
        <v>672</v>
      </c>
      <c r="F105" s="1665"/>
      <c r="G105" s="1665"/>
      <c r="H105" s="402"/>
      <c r="I105" s="1164">
        <f>IF(AND(Projektgrundlagen!$I$20,NOT(Projektgrundlagen!$I$19)),5.5,7.6)</f>
        <v>7.6</v>
      </c>
      <c r="J105" s="415">
        <f>IF(L105,I105,0)</f>
        <v>0</v>
      </c>
      <c r="L105" s="91" t="b">
        <v>0</v>
      </c>
    </row>
    <row r="106" spans="1:13" ht="84" customHeight="1">
      <c r="B106" s="198"/>
      <c r="C106" s="201"/>
      <c r="D106" s="680"/>
      <c r="E106" s="1667" t="s">
        <v>596</v>
      </c>
      <c r="F106" s="1667"/>
      <c r="G106" s="1667"/>
      <c r="H106" s="200"/>
      <c r="I106" s="1161"/>
      <c r="J106" s="1162"/>
    </row>
    <row r="107" spans="1:13" ht="17.399999999999999">
      <c r="B107" s="182"/>
      <c r="C107" s="1158" t="s">
        <v>246</v>
      </c>
      <c r="D107" s="1163"/>
      <c r="E107" s="1665" t="s">
        <v>557</v>
      </c>
      <c r="F107" s="1665"/>
      <c r="G107" s="1665"/>
      <c r="H107" s="402"/>
      <c r="I107" s="1164">
        <f>IF(AND(Projektgrundlagen!$I$20,NOT(Projektgrundlagen!$I$19)),0.25,0.35)</f>
        <v>0.35</v>
      </c>
      <c r="J107" s="415">
        <f>IF(L107,I107,0)</f>
        <v>0</v>
      </c>
      <c r="L107" s="91" t="b">
        <v>0</v>
      </c>
    </row>
    <row r="108" spans="1:13" ht="57" customHeight="1">
      <c r="B108" s="198"/>
      <c r="C108" s="201"/>
      <c r="D108" s="680"/>
      <c r="E108" s="1667" t="s">
        <v>558</v>
      </c>
      <c r="F108" s="1667"/>
      <c r="G108" s="1667"/>
      <c r="H108" s="200"/>
      <c r="I108" s="1161"/>
      <c r="J108" s="1162"/>
    </row>
    <row r="109" spans="1:13" ht="17.399999999999999">
      <c r="B109" s="182"/>
      <c r="C109" s="1158" t="s">
        <v>247</v>
      </c>
      <c r="D109" s="1163"/>
      <c r="E109" s="1665" t="s">
        <v>673</v>
      </c>
      <c r="F109" s="1665"/>
      <c r="G109" s="1665"/>
      <c r="H109" s="402"/>
      <c r="I109" s="1164">
        <f>IF(AND(Projektgrundlagen!$I$20,NOT(Projektgrundlagen!$I$19)),0.8,1.5)</f>
        <v>1.5</v>
      </c>
      <c r="J109" s="415">
        <f>IF(L109,I109,0)</f>
        <v>0</v>
      </c>
      <c r="L109" s="91" t="b">
        <v>0</v>
      </c>
    </row>
    <row r="110" spans="1:13">
      <c r="B110" s="198"/>
      <c r="C110" s="201"/>
      <c r="D110" s="680"/>
      <c r="E110" s="1667" t="s">
        <v>674</v>
      </c>
      <c r="F110" s="1667"/>
      <c r="G110" s="1667"/>
      <c r="H110" s="200"/>
      <c r="I110" s="1161"/>
      <c r="J110" s="1162"/>
    </row>
    <row r="111" spans="1:13" ht="17.399999999999999">
      <c r="B111" s="182"/>
      <c r="C111" s="1158" t="s">
        <v>248</v>
      </c>
      <c r="D111" s="1163"/>
      <c r="E111" s="1665" t="s">
        <v>676</v>
      </c>
      <c r="F111" s="1665"/>
      <c r="G111" s="1665"/>
      <c r="H111" s="402"/>
      <c r="I111" s="1164">
        <f>IF(AND(Projektgrundlagen!$I$20,NOT(Projektgrundlagen!$I$19)),0.2,0.25)</f>
        <v>0.25</v>
      </c>
      <c r="J111" s="415">
        <f>IF(L111,I111,0)</f>
        <v>0</v>
      </c>
      <c r="L111" s="91" t="b">
        <v>0</v>
      </c>
    </row>
    <row r="112" spans="1:13" ht="43.5" customHeight="1">
      <c r="B112" s="198"/>
      <c r="C112" s="201"/>
      <c r="D112" s="680"/>
      <c r="E112" s="1667" t="s">
        <v>675</v>
      </c>
      <c r="F112" s="1667"/>
      <c r="G112" s="1667"/>
      <c r="H112" s="200"/>
      <c r="I112" s="1161"/>
      <c r="J112" s="1162"/>
    </row>
    <row r="113" spans="2:12" ht="17.399999999999999">
      <c r="B113" s="185"/>
      <c r="C113" s="1158" t="s">
        <v>249</v>
      </c>
      <c r="D113" s="1163"/>
      <c r="E113" s="1665" t="s">
        <v>806</v>
      </c>
      <c r="F113" s="1665"/>
      <c r="G113" s="1665"/>
      <c r="H113" s="402"/>
      <c r="I113" s="1164">
        <f>IF(AND(Projektgrundlagen!$I$20,NOT(Projektgrundlagen!$I$19)),0.15,0.1)</f>
        <v>0.1</v>
      </c>
      <c r="J113" s="415">
        <f>IF(L113,I113-(IF(AND(Projektgrundlagen!$I$20,NOT(Projektgrundlagen!$I$19)),0.15,0.1)),0)</f>
        <v>0</v>
      </c>
      <c r="L113" s="91" t="b">
        <v>0</v>
      </c>
    </row>
    <row r="114" spans="2:12" ht="16.5" customHeight="1">
      <c r="B114" s="181"/>
      <c r="C114" s="201"/>
      <c r="D114" s="680"/>
      <c r="E114" s="1664"/>
      <c r="F114" s="1664"/>
      <c r="G114" s="1664"/>
      <c r="H114" s="200"/>
      <c r="I114" s="1165"/>
      <c r="J114" s="1166"/>
    </row>
    <row r="115" spans="2:12" ht="16.5" customHeight="1" thickBot="1">
      <c r="B115" s="199"/>
      <c r="C115" s="265"/>
      <c r="D115" s="768"/>
      <c r="E115" s="1139" t="s">
        <v>734</v>
      </c>
      <c r="F115" s="197"/>
      <c r="G115" s="196"/>
      <c r="H115" s="196"/>
      <c r="I115" s="771"/>
      <c r="J115" s="266"/>
    </row>
    <row r="116" spans="2:12" ht="22.5" customHeight="1" thickBot="1">
      <c r="B116" s="1684" t="s">
        <v>758</v>
      </c>
      <c r="C116" s="1679"/>
      <c r="D116" s="1679"/>
      <c r="E116" s="1679"/>
      <c r="F116" s="1679"/>
      <c r="G116" s="1679"/>
      <c r="H116" s="1680"/>
      <c r="I116" s="536">
        <f>IF(Projektgrundlagen!I25,SUM(I103:I115),0)</f>
        <v>10</v>
      </c>
      <c r="J116" s="537">
        <f>IF(Projektgrundlagen!I25,SUMIF(L103:L115,TRUE,J103:J115),0)</f>
        <v>0</v>
      </c>
    </row>
    <row r="117" spans="2:12">
      <c r="B117" s="901"/>
      <c r="C117" s="902"/>
      <c r="D117" s="898"/>
      <c r="E117" s="898"/>
      <c r="F117" s="898"/>
      <c r="G117" s="898"/>
      <c r="H117" s="899"/>
      <c r="I117" s="897"/>
      <c r="J117" s="167"/>
    </row>
    <row r="118" spans="2:12" ht="30" customHeight="1">
      <c r="B118" s="1671" t="s">
        <v>154</v>
      </c>
      <c r="C118" s="1672"/>
      <c r="D118" s="1672"/>
      <c r="E118" s="1672"/>
      <c r="F118" s="1672"/>
      <c r="G118" s="1672"/>
      <c r="H118" s="1672"/>
      <c r="I118" s="539"/>
      <c r="J118" s="540"/>
    </row>
    <row r="119" spans="2:12" ht="17.399999999999999">
      <c r="B119" s="182"/>
      <c r="C119" s="1158" t="s">
        <v>243</v>
      </c>
      <c r="D119" s="1163"/>
      <c r="E119" s="1665" t="s">
        <v>559</v>
      </c>
      <c r="F119" s="1665"/>
      <c r="G119" s="1665"/>
      <c r="H119" s="402"/>
      <c r="I119" s="1164">
        <f>IF(AND(Projektgrundlagen!$I$20,NOT(Projektgrundlagen!$I$19)),0.2,0.25)</f>
        <v>0.25</v>
      </c>
      <c r="J119" s="415">
        <f>IF(L119,I119,0)</f>
        <v>0</v>
      </c>
      <c r="L119" s="91" t="b">
        <v>0</v>
      </c>
    </row>
    <row r="120" spans="2:12" ht="16.5" customHeight="1">
      <c r="B120" s="198"/>
      <c r="C120" s="201"/>
      <c r="D120" s="680"/>
      <c r="E120" s="1664"/>
      <c r="F120" s="1664"/>
      <c r="G120" s="1664"/>
      <c r="H120" s="200"/>
      <c r="I120" s="1165"/>
      <c r="J120" s="1162"/>
    </row>
    <row r="121" spans="2:12" ht="17.399999999999999">
      <c r="B121" s="185"/>
      <c r="C121" s="1158" t="s">
        <v>245</v>
      </c>
      <c r="D121" s="1163"/>
      <c r="E121" s="1665" t="s">
        <v>807</v>
      </c>
      <c r="F121" s="1665"/>
      <c r="G121" s="1665"/>
      <c r="H121" s="402"/>
      <c r="I121" s="1164">
        <v>0.1</v>
      </c>
      <c r="J121" s="415">
        <f>IF(L121,I121-0.1,0)</f>
        <v>0</v>
      </c>
      <c r="L121" s="91" t="b">
        <v>0</v>
      </c>
    </row>
    <row r="122" spans="2:12" ht="16.5" customHeight="1">
      <c r="B122" s="181"/>
      <c r="C122" s="201"/>
      <c r="D122" s="680"/>
      <c r="E122" s="1664"/>
      <c r="F122" s="1664"/>
      <c r="G122" s="1664"/>
      <c r="H122" s="200"/>
      <c r="I122" s="1165"/>
      <c r="J122" s="1166"/>
    </row>
    <row r="123" spans="2:12" ht="16.5" customHeight="1">
      <c r="B123" s="199"/>
      <c r="C123" s="400"/>
      <c r="D123" s="681"/>
      <c r="E123" s="1138" t="s">
        <v>735</v>
      </c>
      <c r="F123" s="1138"/>
      <c r="G123" s="399"/>
      <c r="H123" s="399"/>
      <c r="I123" s="1172"/>
      <c r="J123" s="1170"/>
    </row>
    <row r="124" spans="2:12" ht="17.399999999999999">
      <c r="B124" s="182"/>
      <c r="C124" s="1158" t="s">
        <v>246</v>
      </c>
      <c r="D124" s="1163"/>
      <c r="E124" s="1665" t="s">
        <v>560</v>
      </c>
      <c r="F124" s="1665"/>
      <c r="G124" s="1665"/>
      <c r="H124" s="402"/>
      <c r="I124" s="1164">
        <v>2</v>
      </c>
      <c r="J124" s="415">
        <f>IF(L124,I124-1,0)</f>
        <v>0</v>
      </c>
      <c r="L124" s="91" t="b">
        <v>0</v>
      </c>
    </row>
    <row r="125" spans="2:12" ht="30" customHeight="1">
      <c r="B125" s="181"/>
      <c r="C125" s="201"/>
      <c r="D125" s="680"/>
      <c r="E125" s="1664" t="s">
        <v>808</v>
      </c>
      <c r="F125" s="1664"/>
      <c r="G125" s="1664"/>
      <c r="H125" s="200"/>
      <c r="I125" s="1165"/>
      <c r="J125" s="1166"/>
    </row>
    <row r="126" spans="2:12" ht="30" customHeight="1">
      <c r="B126" s="199"/>
      <c r="C126" s="400"/>
      <c r="D126" s="681"/>
      <c r="E126" s="1689" t="s">
        <v>395</v>
      </c>
      <c r="F126" s="1689"/>
      <c r="G126" s="1689"/>
      <c r="H126" s="1690"/>
      <c r="I126" s="1172"/>
      <c r="J126" s="1170"/>
    </row>
    <row r="127" spans="2:12" ht="17.399999999999999">
      <c r="B127" s="182"/>
      <c r="C127" s="1158" t="s">
        <v>247</v>
      </c>
      <c r="D127" s="1163"/>
      <c r="E127" s="1665" t="s">
        <v>809</v>
      </c>
      <c r="F127" s="1665"/>
      <c r="G127" s="1665"/>
      <c r="H127" s="402"/>
      <c r="I127" s="1164">
        <f>IF(AND(Projektgrundlagen!$I$20,NOT(Projektgrundlagen!$I$19)),0.1,0.25)</f>
        <v>0.25</v>
      </c>
      <c r="J127" s="415">
        <f>IF(L127,I127-0.05,0)</f>
        <v>0</v>
      </c>
      <c r="L127" s="91" t="b">
        <v>0</v>
      </c>
    </row>
    <row r="128" spans="2:12" ht="16.5" customHeight="1">
      <c r="B128" s="181"/>
      <c r="C128" s="201"/>
      <c r="D128" s="680"/>
      <c r="E128" s="1664"/>
      <c r="F128" s="1664"/>
      <c r="G128" s="1664"/>
      <c r="H128" s="200"/>
      <c r="I128" s="1165"/>
      <c r="J128" s="1166"/>
    </row>
    <row r="129" spans="2:12" ht="16.5" customHeight="1">
      <c r="B129" s="199"/>
      <c r="C129" s="400"/>
      <c r="D129" s="681"/>
      <c r="E129" s="1666" t="s">
        <v>677</v>
      </c>
      <c r="F129" s="1666"/>
      <c r="G129" s="1666"/>
      <c r="H129" s="1666"/>
      <c r="I129" s="1172"/>
      <c r="J129" s="1170"/>
    </row>
    <row r="130" spans="2:12" ht="17.399999999999999">
      <c r="B130" s="182"/>
      <c r="C130" s="1158" t="s">
        <v>248</v>
      </c>
      <c r="D130" s="1163"/>
      <c r="E130" s="1665" t="s">
        <v>561</v>
      </c>
      <c r="F130" s="1665"/>
      <c r="G130" s="1665"/>
      <c r="H130" s="402"/>
      <c r="I130" s="1164">
        <f>IF(AND(Projektgrundlagen!$I$20,NOT(Projektgrundlagen!$I$19)),0.25,0.8)</f>
        <v>0.8</v>
      </c>
      <c r="J130" s="415">
        <f>IF(L130,I130,0)</f>
        <v>0</v>
      </c>
      <c r="L130" s="91" t="b">
        <v>0</v>
      </c>
    </row>
    <row r="131" spans="2:12">
      <c r="B131" s="198"/>
      <c r="C131" s="201"/>
      <c r="D131" s="680"/>
      <c r="E131" s="1667" t="s">
        <v>678</v>
      </c>
      <c r="F131" s="1667"/>
      <c r="G131" s="1667"/>
      <c r="H131" s="200"/>
      <c r="I131" s="1161"/>
      <c r="J131" s="1162"/>
    </row>
    <row r="132" spans="2:12" ht="17.399999999999999">
      <c r="B132" s="185"/>
      <c r="C132" s="1158" t="s">
        <v>249</v>
      </c>
      <c r="D132" s="1163"/>
      <c r="E132" s="1665" t="s">
        <v>810</v>
      </c>
      <c r="F132" s="1665"/>
      <c r="G132" s="1665"/>
      <c r="H132" s="402"/>
      <c r="I132" s="1164">
        <v>0.1</v>
      </c>
      <c r="J132" s="415">
        <f>IF(L132,I132-0.1,0)</f>
        <v>0</v>
      </c>
      <c r="L132" s="91" t="b">
        <v>0</v>
      </c>
    </row>
    <row r="133" spans="2:12" ht="16.5" customHeight="1">
      <c r="B133" s="181"/>
      <c r="C133" s="201"/>
      <c r="D133" s="680"/>
      <c r="E133" s="1664"/>
      <c r="F133" s="1664"/>
      <c r="G133" s="1664"/>
      <c r="H133" s="200"/>
      <c r="I133" s="1165"/>
      <c r="J133" s="1166"/>
    </row>
    <row r="134" spans="2:12" ht="16.5" customHeight="1">
      <c r="B134" s="199"/>
      <c r="C134" s="400"/>
      <c r="D134" s="681"/>
      <c r="E134" s="1138" t="s">
        <v>735</v>
      </c>
      <c r="F134" s="1138"/>
      <c r="G134" s="399"/>
      <c r="H134" s="399"/>
      <c r="I134" s="1172"/>
      <c r="J134" s="1170"/>
    </row>
    <row r="135" spans="2:12" ht="17.399999999999999">
      <c r="B135" s="182"/>
      <c r="C135" s="1158" t="s">
        <v>250</v>
      </c>
      <c r="D135" s="1163"/>
      <c r="E135" s="1665" t="s">
        <v>680</v>
      </c>
      <c r="F135" s="1665"/>
      <c r="G135" s="1665"/>
      <c r="H135" s="402"/>
      <c r="I135" s="1164">
        <f>IF(AND(Projektgrundlagen!$I$20,NOT(Projektgrundlagen!$I$19)),0.1,0.25)</f>
        <v>0.25</v>
      </c>
      <c r="J135" s="415">
        <f>IF(L135,I135,0)</f>
        <v>0</v>
      </c>
      <c r="L135" s="91" t="b">
        <v>0</v>
      </c>
    </row>
    <row r="136" spans="2:12" ht="57" customHeight="1">
      <c r="B136" s="198"/>
      <c r="C136" s="201"/>
      <c r="D136" s="680"/>
      <c r="E136" s="1667" t="s">
        <v>679</v>
      </c>
      <c r="F136" s="1667"/>
      <c r="G136" s="1667"/>
      <c r="H136" s="200"/>
      <c r="I136" s="1161"/>
      <c r="J136" s="1162"/>
    </row>
    <row r="137" spans="2:12" ht="17.399999999999999">
      <c r="B137" s="182"/>
      <c r="C137" s="1158" t="s">
        <v>251</v>
      </c>
      <c r="D137" s="1163"/>
      <c r="E137" s="1665" t="s">
        <v>562</v>
      </c>
      <c r="F137" s="1665"/>
      <c r="G137" s="1665"/>
      <c r="H137" s="402"/>
      <c r="I137" s="1164">
        <f>IF(AND(Projektgrundlagen!$I$20,NOT(Projektgrundlagen!$I$19)),0.15,0.25)</f>
        <v>0.25</v>
      </c>
      <c r="J137" s="415">
        <f>IF(L137,I137,0)</f>
        <v>0</v>
      </c>
      <c r="L137" s="91" t="b">
        <v>0</v>
      </c>
    </row>
    <row r="138" spans="2:12" ht="16.5" customHeight="1" thickBot="1">
      <c r="B138" s="198"/>
      <c r="C138" s="201"/>
      <c r="D138" s="768"/>
      <c r="E138" s="1682"/>
      <c r="F138" s="1682"/>
      <c r="G138" s="1682"/>
      <c r="H138" s="200"/>
      <c r="I138" s="1173"/>
      <c r="J138" s="1162"/>
    </row>
    <row r="139" spans="2:12" ht="22.5" customHeight="1" thickBot="1">
      <c r="B139" s="1684" t="s">
        <v>759</v>
      </c>
      <c r="C139" s="1679"/>
      <c r="D139" s="1679"/>
      <c r="E139" s="1679"/>
      <c r="F139" s="1679"/>
      <c r="G139" s="1679"/>
      <c r="H139" s="1680"/>
      <c r="I139" s="536">
        <f>IF(Projektgrundlagen!I25,SUM(I119:I138),0)</f>
        <v>4</v>
      </c>
      <c r="J139" s="537">
        <f>IF(Projektgrundlagen!I25,SUMIF(L119:L138,TRUE,J119:J138),0)</f>
        <v>0</v>
      </c>
    </row>
    <row r="140" spans="2:12">
      <c r="B140" s="901"/>
      <c r="C140" s="902"/>
      <c r="D140" s="898"/>
      <c r="E140" s="898"/>
      <c r="F140" s="898"/>
      <c r="G140" s="898"/>
      <c r="H140" s="899"/>
      <c r="I140" s="897"/>
      <c r="J140" s="167"/>
    </row>
    <row r="141" spans="2:12" ht="30" customHeight="1">
      <c r="B141" s="1671" t="s">
        <v>563</v>
      </c>
      <c r="C141" s="1672"/>
      <c r="D141" s="1672"/>
      <c r="E141" s="1672"/>
      <c r="F141" s="1672"/>
      <c r="G141" s="1672"/>
      <c r="H141" s="1672"/>
      <c r="I141" s="533"/>
      <c r="J141" s="534"/>
    </row>
    <row r="142" spans="2:12" ht="17.399999999999999">
      <c r="B142" s="182"/>
      <c r="C142" s="1158" t="s">
        <v>243</v>
      </c>
      <c r="D142" s="1159"/>
      <c r="E142" s="1663" t="s">
        <v>571</v>
      </c>
      <c r="F142" s="1663"/>
      <c r="G142" s="1663"/>
      <c r="H142" s="402"/>
      <c r="I142" s="1160">
        <v>18</v>
      </c>
      <c r="J142" s="415">
        <f>IF(L142,I142,0)</f>
        <v>0</v>
      </c>
      <c r="L142" s="91" t="b">
        <v>0</v>
      </c>
    </row>
    <row r="143" spans="2:12" ht="57" customHeight="1">
      <c r="B143" s="198"/>
      <c r="C143" s="201"/>
      <c r="D143" s="680"/>
      <c r="E143" s="1667" t="s">
        <v>685</v>
      </c>
      <c r="F143" s="1667"/>
      <c r="G143" s="1667"/>
      <c r="H143" s="200"/>
      <c r="I143" s="1161"/>
      <c r="J143" s="1162"/>
    </row>
    <row r="144" spans="2:12" ht="17.399999999999999">
      <c r="B144" s="182"/>
      <c r="C144" s="1158" t="s">
        <v>245</v>
      </c>
      <c r="D144" s="1163"/>
      <c r="E144" s="1665" t="s">
        <v>572</v>
      </c>
      <c r="F144" s="1665"/>
      <c r="G144" s="1665"/>
      <c r="H144" s="402"/>
      <c r="I144" s="1164">
        <v>0.1</v>
      </c>
      <c r="J144" s="415">
        <f>IF(L144,I144,0)</f>
        <v>0</v>
      </c>
      <c r="L144" s="91" t="b">
        <v>0</v>
      </c>
    </row>
    <row r="145" spans="2:12" ht="30" customHeight="1">
      <c r="B145" s="198"/>
      <c r="C145" s="201"/>
      <c r="D145" s="680"/>
      <c r="E145" s="1667" t="s">
        <v>573</v>
      </c>
      <c r="F145" s="1667"/>
      <c r="G145" s="1667"/>
      <c r="H145" s="200"/>
      <c r="I145" s="1161"/>
      <c r="J145" s="1162"/>
    </row>
    <row r="146" spans="2:12" ht="17.399999999999999">
      <c r="B146" s="182"/>
      <c r="C146" s="1158" t="s">
        <v>246</v>
      </c>
      <c r="D146" s="1163"/>
      <c r="E146" s="1665" t="s">
        <v>574</v>
      </c>
      <c r="F146" s="1665"/>
      <c r="G146" s="1665"/>
      <c r="H146" s="402"/>
      <c r="I146" s="1164">
        <f>IF(AND(Projektgrundlagen!$I$20,NOT(Projektgrundlagen!$I$19)),1.25,1.5)</f>
        <v>1.5</v>
      </c>
      <c r="J146" s="415">
        <f>IF(L146,I146,0)</f>
        <v>0</v>
      </c>
      <c r="L146" s="91" t="b">
        <v>0</v>
      </c>
    </row>
    <row r="147" spans="2:12" ht="16.5" customHeight="1">
      <c r="B147" s="198"/>
      <c r="C147" s="201"/>
      <c r="D147" s="680"/>
      <c r="E147" s="1667"/>
      <c r="F147" s="1667"/>
      <c r="G147" s="1667"/>
      <c r="H147" s="200"/>
      <c r="I147" s="1161"/>
      <c r="J147" s="1162"/>
    </row>
    <row r="148" spans="2:12" ht="17.399999999999999">
      <c r="B148" s="182"/>
      <c r="C148" s="1158" t="s">
        <v>247</v>
      </c>
      <c r="D148" s="1163"/>
      <c r="E148" s="1665" t="s">
        <v>335</v>
      </c>
      <c r="F148" s="1665"/>
      <c r="G148" s="1665"/>
      <c r="H148" s="402"/>
      <c r="I148" s="1164">
        <f>IF(AND(Projektgrundlagen!$I$20,NOT(Projektgrundlagen!$I$19)),1.25,1.6)</f>
        <v>1.6</v>
      </c>
      <c r="J148" s="415">
        <f>IF(L148,I148,0)</f>
        <v>0</v>
      </c>
      <c r="L148" s="91" t="b">
        <v>0</v>
      </c>
    </row>
    <row r="149" spans="2:12" ht="16.5" customHeight="1">
      <c r="B149" s="198"/>
      <c r="C149" s="201"/>
      <c r="D149" s="680"/>
      <c r="E149" s="1667" t="s">
        <v>575</v>
      </c>
      <c r="F149" s="1667"/>
      <c r="G149" s="1667"/>
      <c r="H149" s="200"/>
      <c r="I149" s="1161"/>
      <c r="J149" s="1162"/>
    </row>
    <row r="150" spans="2:12" ht="17.399999999999999">
      <c r="B150" s="182"/>
      <c r="C150" s="1158" t="s">
        <v>248</v>
      </c>
      <c r="D150" s="1163"/>
      <c r="E150" s="1665" t="s">
        <v>687</v>
      </c>
      <c r="F150" s="1665"/>
      <c r="G150" s="1665"/>
      <c r="H150" s="402"/>
      <c r="I150" s="1164">
        <v>0.75</v>
      </c>
      <c r="J150" s="415">
        <f>IF(L150,I150,0)</f>
        <v>0</v>
      </c>
      <c r="L150" s="91" t="b">
        <v>0</v>
      </c>
    </row>
    <row r="151" spans="2:12">
      <c r="B151" s="181"/>
      <c r="C151" s="201"/>
      <c r="D151" s="680"/>
      <c r="E151" s="1664" t="s">
        <v>686</v>
      </c>
      <c r="F151" s="1664"/>
      <c r="G151" s="1664"/>
      <c r="H151" s="200"/>
      <c r="I151" s="1165"/>
      <c r="J151" s="1166"/>
    </row>
    <row r="152" spans="2:12" ht="17.399999999999999">
      <c r="B152" s="182"/>
      <c r="C152" s="1158" t="s">
        <v>249</v>
      </c>
      <c r="D152" s="1163"/>
      <c r="E152" s="1665" t="s">
        <v>576</v>
      </c>
      <c r="F152" s="1665"/>
      <c r="G152" s="1665"/>
      <c r="H152" s="402"/>
      <c r="I152" s="1164">
        <v>1</v>
      </c>
      <c r="J152" s="415">
        <f>IF(L152,I152,0)</f>
        <v>0</v>
      </c>
      <c r="L152" s="91" t="b">
        <v>0</v>
      </c>
    </row>
    <row r="153" spans="2:12">
      <c r="B153" s="198"/>
      <c r="C153" s="201"/>
      <c r="D153" s="680"/>
      <c r="E153" s="1667" t="s">
        <v>688</v>
      </c>
      <c r="F153" s="1667"/>
      <c r="G153" s="1667"/>
      <c r="H153" s="200"/>
      <c r="I153" s="1161"/>
      <c r="J153" s="1162"/>
    </row>
    <row r="154" spans="2:12" ht="17.399999999999999">
      <c r="B154" s="182"/>
      <c r="C154" s="1158" t="s">
        <v>250</v>
      </c>
      <c r="D154" s="1163"/>
      <c r="E154" s="1665" t="s">
        <v>577</v>
      </c>
      <c r="F154" s="1665"/>
      <c r="G154" s="1665"/>
      <c r="H154" s="402"/>
      <c r="I154" s="1164">
        <v>3.75</v>
      </c>
      <c r="J154" s="415">
        <f>IF(L154,I154,0)</f>
        <v>0</v>
      </c>
      <c r="L154" s="91" t="b">
        <v>0</v>
      </c>
    </row>
    <row r="155" spans="2:12" ht="43.5" customHeight="1">
      <c r="B155" s="181"/>
      <c r="C155" s="201"/>
      <c r="D155" s="680"/>
      <c r="E155" s="1664" t="s">
        <v>578</v>
      </c>
      <c r="F155" s="1664"/>
      <c r="G155" s="1664"/>
      <c r="H155" s="200"/>
      <c r="I155" s="1165"/>
      <c r="J155" s="1166"/>
    </row>
    <row r="156" spans="2:12" ht="17.399999999999999">
      <c r="B156" s="182"/>
      <c r="C156" s="1158" t="s">
        <v>251</v>
      </c>
      <c r="D156" s="1163"/>
      <c r="E156" s="1665" t="s">
        <v>579</v>
      </c>
      <c r="F156" s="1665"/>
      <c r="G156" s="1665"/>
      <c r="H156" s="402"/>
      <c r="I156" s="1164">
        <f>IF(AND(Projektgrundlagen!$I$20,NOT(Projektgrundlagen!$I$19)),1,0.25)</f>
        <v>0.25</v>
      </c>
      <c r="J156" s="415">
        <f>IF(L156,I156,0)</f>
        <v>0</v>
      </c>
      <c r="L156" s="91" t="b">
        <v>0</v>
      </c>
    </row>
    <row r="157" spans="2:12" ht="16.5" customHeight="1">
      <c r="B157" s="181"/>
      <c r="C157" s="201"/>
      <c r="D157" s="680"/>
      <c r="E157" s="1664" t="s">
        <v>580</v>
      </c>
      <c r="F157" s="1664"/>
      <c r="G157" s="1664"/>
      <c r="H157" s="200"/>
      <c r="I157" s="1165"/>
      <c r="J157" s="1166"/>
    </row>
    <row r="158" spans="2:12" ht="17.399999999999999">
      <c r="B158" s="182"/>
      <c r="C158" s="1158" t="s">
        <v>252</v>
      </c>
      <c r="D158" s="1163"/>
      <c r="E158" s="1665" t="s">
        <v>581</v>
      </c>
      <c r="F158" s="1665"/>
      <c r="G158" s="1665"/>
      <c r="H158" s="402"/>
      <c r="I158" s="1164">
        <f>IF(AND(Projektgrundlagen!$I$20,NOT(Projektgrundlagen!$I$19)),0.7,0.85)</f>
        <v>0.85</v>
      </c>
      <c r="J158" s="415">
        <f>IF(L158,I158,0)</f>
        <v>0</v>
      </c>
      <c r="L158" s="91" t="b">
        <v>0</v>
      </c>
    </row>
    <row r="159" spans="2:12" ht="57" customHeight="1">
      <c r="B159" s="181"/>
      <c r="C159" s="201"/>
      <c r="D159" s="680"/>
      <c r="E159" s="1664" t="s">
        <v>582</v>
      </c>
      <c r="F159" s="1664"/>
      <c r="G159" s="1664"/>
      <c r="H159" s="200"/>
      <c r="I159" s="1165"/>
      <c r="J159" s="1166"/>
    </row>
    <row r="160" spans="2:12" ht="17.399999999999999">
      <c r="B160" s="182"/>
      <c r="C160" s="1158" t="s">
        <v>253</v>
      </c>
      <c r="D160" s="1163"/>
      <c r="E160" s="1665" t="s">
        <v>849</v>
      </c>
      <c r="F160" s="1665"/>
      <c r="G160" s="1665"/>
      <c r="H160" s="402"/>
      <c r="I160" s="1164">
        <v>1</v>
      </c>
      <c r="J160" s="415">
        <f>IF(L160,I160,0)</f>
        <v>0</v>
      </c>
      <c r="L160" s="91" t="b">
        <v>0</v>
      </c>
    </row>
    <row r="161" spans="2:14">
      <c r="B161" s="181"/>
      <c r="C161" s="1071" t="str">
        <f>IF(AND(L160,OR(AND(M161,M162),AND(NOT(M161),NOT(M162)))),"è","")</f>
        <v/>
      </c>
      <c r="D161" s="680"/>
      <c r="E161" s="1125"/>
      <c r="F161" s="1664" t="s">
        <v>846</v>
      </c>
      <c r="G161" s="1664"/>
      <c r="H161" s="200"/>
      <c r="I161" s="1165"/>
      <c r="J161" s="1166"/>
      <c r="M161" s="1126" t="b">
        <v>0</v>
      </c>
      <c r="N161" s="155"/>
    </row>
    <row r="162" spans="2:14">
      <c r="B162" s="202"/>
      <c r="C162" s="1071" t="str">
        <f>IF(AND(L160,OR(AND(M161,M162),AND(NOT(M161),NOT(M162)))),"è","")</f>
        <v/>
      </c>
      <c r="D162" s="680"/>
      <c r="E162" s="1125"/>
      <c r="F162" s="1664" t="s">
        <v>845</v>
      </c>
      <c r="G162" s="1664"/>
      <c r="H162" s="200"/>
      <c r="I162" s="1165"/>
      <c r="J162" s="1166"/>
      <c r="M162" s="1126" t="b">
        <v>0</v>
      </c>
      <c r="N162" s="155"/>
    </row>
    <row r="163" spans="2:14" ht="16.5" customHeight="1">
      <c r="B163" s="199"/>
      <c r="C163" s="201"/>
      <c r="D163" s="680"/>
      <c r="E163" s="1664" t="s">
        <v>584</v>
      </c>
      <c r="F163" s="1664"/>
      <c r="G163" s="1664"/>
      <c r="H163" s="200"/>
      <c r="I163" s="1165"/>
      <c r="J163" s="1162"/>
    </row>
    <row r="164" spans="2:14" ht="17.399999999999999">
      <c r="B164" s="182"/>
      <c r="C164" s="1158" t="s">
        <v>254</v>
      </c>
      <c r="D164" s="1163"/>
      <c r="E164" s="1665" t="s">
        <v>692</v>
      </c>
      <c r="F164" s="1665"/>
      <c r="G164" s="1665"/>
      <c r="H164" s="402"/>
      <c r="I164" s="1164">
        <v>1.5</v>
      </c>
      <c r="J164" s="415">
        <f>IF(L164,I164-0.5,0)</f>
        <v>0</v>
      </c>
      <c r="L164" s="91" t="b">
        <v>0</v>
      </c>
    </row>
    <row r="165" spans="2:14" ht="138" customHeight="1">
      <c r="B165" s="181"/>
      <c r="C165" s="201"/>
      <c r="D165" s="680"/>
      <c r="E165" s="1664" t="s">
        <v>811</v>
      </c>
      <c r="F165" s="1664"/>
      <c r="G165" s="1664"/>
      <c r="H165" s="200"/>
      <c r="I165" s="1165"/>
      <c r="J165" s="1166"/>
    </row>
    <row r="166" spans="2:14" ht="16.5" customHeight="1">
      <c r="B166" s="199"/>
      <c r="C166" s="400"/>
      <c r="D166" s="681"/>
      <c r="E166" s="1666" t="s">
        <v>689</v>
      </c>
      <c r="F166" s="1666"/>
      <c r="G166" s="1666"/>
      <c r="H166" s="1666"/>
      <c r="I166" s="1172"/>
      <c r="J166" s="1170"/>
    </row>
    <row r="167" spans="2:14" ht="17.399999999999999">
      <c r="B167" s="182"/>
      <c r="C167" s="1158" t="s">
        <v>565</v>
      </c>
      <c r="D167" s="1163"/>
      <c r="E167" s="1665" t="s">
        <v>812</v>
      </c>
      <c r="F167" s="1665"/>
      <c r="G167" s="1665"/>
      <c r="H167" s="402"/>
      <c r="I167" s="1164">
        <v>0.1</v>
      </c>
      <c r="J167" s="415">
        <f>IF(L167,I167-0.05,0)</f>
        <v>0</v>
      </c>
      <c r="L167" s="91" t="b">
        <v>0</v>
      </c>
    </row>
    <row r="168" spans="2:14" ht="16.5" customHeight="1">
      <c r="B168" s="181"/>
      <c r="C168" s="201"/>
      <c r="D168" s="680"/>
      <c r="E168" s="1664"/>
      <c r="F168" s="1664"/>
      <c r="G168" s="1664"/>
      <c r="H168" s="200"/>
      <c r="I168" s="1165"/>
      <c r="J168" s="1166"/>
    </row>
    <row r="169" spans="2:14" ht="16.5" customHeight="1">
      <c r="B169" s="199"/>
      <c r="C169" s="400"/>
      <c r="D169" s="681"/>
      <c r="E169" s="1666" t="s">
        <v>690</v>
      </c>
      <c r="F169" s="1666"/>
      <c r="G169" s="1666"/>
      <c r="H169" s="1666"/>
      <c r="I169" s="1172"/>
      <c r="J169" s="1170"/>
    </row>
    <row r="170" spans="2:14" ht="17.399999999999999">
      <c r="B170" s="182"/>
      <c r="C170" s="1158" t="s">
        <v>566</v>
      </c>
      <c r="D170" s="1163"/>
      <c r="E170" s="1665" t="s">
        <v>585</v>
      </c>
      <c r="F170" s="1665"/>
      <c r="G170" s="1665"/>
      <c r="H170" s="402"/>
      <c r="I170" s="1164">
        <v>0.25</v>
      </c>
      <c r="J170" s="415">
        <f>IF(L170,I170,0)</f>
        <v>0</v>
      </c>
      <c r="L170" s="91" t="b">
        <v>0</v>
      </c>
    </row>
    <row r="171" spans="2:14" ht="57" customHeight="1">
      <c r="B171" s="181"/>
      <c r="C171" s="201"/>
      <c r="D171" s="680"/>
      <c r="E171" s="1664" t="s">
        <v>792</v>
      </c>
      <c r="F171" s="1664"/>
      <c r="G171" s="1664"/>
      <c r="H171" s="200"/>
      <c r="I171" s="1165"/>
      <c r="J171" s="1166"/>
    </row>
    <row r="172" spans="2:14">
      <c r="B172" s="199"/>
      <c r="C172" s="201"/>
      <c r="D172" s="680"/>
      <c r="E172" s="1890" t="s">
        <v>791</v>
      </c>
      <c r="F172" s="1890"/>
      <c r="G172" s="1890"/>
      <c r="H172" s="200"/>
      <c r="I172" s="1165"/>
      <c r="J172" s="1166"/>
    </row>
    <row r="173" spans="2:14" ht="17.399999999999999">
      <c r="B173" s="182"/>
      <c r="C173" s="1158" t="s">
        <v>567</v>
      </c>
      <c r="D173" s="1163"/>
      <c r="E173" s="1665" t="s">
        <v>586</v>
      </c>
      <c r="F173" s="1665"/>
      <c r="G173" s="1665"/>
      <c r="H173" s="402"/>
      <c r="I173" s="1164">
        <v>0.25</v>
      </c>
      <c r="J173" s="415">
        <f>IF(L173,I173-0.1,0)</f>
        <v>0</v>
      </c>
      <c r="L173" s="91" t="b">
        <v>0</v>
      </c>
    </row>
    <row r="174" spans="2:14" ht="30" customHeight="1">
      <c r="B174" s="181"/>
      <c r="C174" s="201"/>
      <c r="D174" s="680"/>
      <c r="E174" s="1664" t="s">
        <v>814</v>
      </c>
      <c r="F174" s="1664"/>
      <c r="G174" s="1664"/>
      <c r="H174" s="200"/>
      <c r="I174" s="1165"/>
      <c r="J174" s="1166"/>
    </row>
    <row r="175" spans="2:14" ht="16.5" customHeight="1">
      <c r="B175" s="199"/>
      <c r="C175" s="400"/>
      <c r="D175" s="681"/>
      <c r="E175" s="1666" t="s">
        <v>691</v>
      </c>
      <c r="F175" s="1666"/>
      <c r="G175" s="1666"/>
      <c r="H175" s="1666"/>
      <c r="I175" s="1172"/>
      <c r="J175" s="1170"/>
    </row>
    <row r="176" spans="2:14" ht="17.399999999999999">
      <c r="B176" s="182"/>
      <c r="C176" s="1158" t="s">
        <v>568</v>
      </c>
      <c r="D176" s="1163"/>
      <c r="E176" s="1665" t="s">
        <v>587</v>
      </c>
      <c r="F176" s="1665"/>
      <c r="G176" s="1665"/>
      <c r="H176" s="402"/>
      <c r="I176" s="1164">
        <v>0.1</v>
      </c>
      <c r="J176" s="415">
        <f>IF(L176,I176,0)</f>
        <v>0</v>
      </c>
      <c r="L176" s="91" t="b">
        <v>0</v>
      </c>
    </row>
    <row r="177" spans="2:12" ht="16.5" customHeight="1">
      <c r="B177" s="181"/>
      <c r="C177" s="201"/>
      <c r="D177" s="680"/>
      <c r="E177" s="1664"/>
      <c r="F177" s="1664"/>
      <c r="G177" s="1664"/>
      <c r="H177" s="200"/>
      <c r="I177" s="1165"/>
      <c r="J177" s="1166"/>
    </row>
    <row r="178" spans="2:12" ht="17.399999999999999">
      <c r="B178" s="182"/>
      <c r="C178" s="1158" t="s">
        <v>569</v>
      </c>
      <c r="D178" s="1163"/>
      <c r="E178" s="1665" t="s">
        <v>588</v>
      </c>
      <c r="F178" s="1665"/>
      <c r="G178" s="1665"/>
      <c r="H178" s="402"/>
      <c r="I178" s="1164">
        <v>1</v>
      </c>
      <c r="J178" s="415">
        <f>IF(L178,I178,0)</f>
        <v>0</v>
      </c>
      <c r="L178" s="91" t="b">
        <v>0</v>
      </c>
    </row>
    <row r="179" spans="2:12" ht="16.5" customHeight="1">
      <c r="B179" s="198"/>
      <c r="C179" s="201"/>
      <c r="D179" s="680"/>
      <c r="E179" s="1664"/>
      <c r="F179" s="1664"/>
      <c r="G179" s="1664"/>
      <c r="H179" s="200"/>
      <c r="I179" s="1165"/>
      <c r="J179" s="1166"/>
    </row>
    <row r="180" spans="2:12">
      <c r="B180" s="411"/>
      <c r="C180" s="1167"/>
      <c r="D180" s="1168"/>
      <c r="E180" s="772" t="s">
        <v>813</v>
      </c>
      <c r="F180" s="772"/>
      <c r="G180" s="772"/>
      <c r="H180" s="772"/>
      <c r="I180" s="1164"/>
      <c r="J180" s="415">
        <f>IF(L180,IF(AND($L$15,$M$13),I180+J16,I180),0)</f>
        <v>0</v>
      </c>
      <c r="L180" s="91" t="b">
        <f>L15</f>
        <v>0</v>
      </c>
    </row>
    <row r="181" spans="2:12" ht="16.5" customHeight="1" thickBot="1">
      <c r="B181" s="202"/>
      <c r="C181" s="400"/>
      <c r="D181" s="770"/>
      <c r="E181" s="1666"/>
      <c r="F181" s="1666"/>
      <c r="G181" s="399"/>
      <c r="H181" s="399"/>
      <c r="I181" s="1169"/>
      <c r="J181" s="1170"/>
    </row>
    <row r="182" spans="2:12" ht="22.5" customHeight="1" thickBot="1">
      <c r="B182" s="1678" t="s">
        <v>684</v>
      </c>
      <c r="C182" s="1679"/>
      <c r="D182" s="1679"/>
      <c r="E182" s="1679"/>
      <c r="F182" s="1679"/>
      <c r="G182" s="1679"/>
      <c r="H182" s="1680"/>
      <c r="I182" s="536">
        <f>IF(Projektgrundlagen!I25,SUM(I142:I181),0)</f>
        <v>32.000000000000007</v>
      </c>
      <c r="J182" s="537">
        <f>IF(Projektgrundlagen!I25,SUMIF(L142:L181,TRUE,J142:J181),0)</f>
        <v>0</v>
      </c>
    </row>
    <row r="183" spans="2:12">
      <c r="B183" s="901"/>
      <c r="C183" s="902"/>
      <c r="D183" s="898"/>
      <c r="E183" s="898"/>
      <c r="F183" s="899"/>
      <c r="G183" s="900"/>
      <c r="H183" s="899"/>
      <c r="I183" s="897"/>
      <c r="J183" s="167"/>
    </row>
    <row r="184" spans="2:12" ht="30" customHeight="1">
      <c r="B184" s="1671" t="s">
        <v>155</v>
      </c>
      <c r="C184" s="1672"/>
      <c r="D184" s="1672"/>
      <c r="E184" s="1672"/>
      <c r="F184" s="1672"/>
      <c r="G184" s="1672"/>
      <c r="H184" s="1672"/>
      <c r="I184" s="533"/>
      <c r="J184" s="534"/>
    </row>
    <row r="185" spans="2:12" ht="17.399999999999999">
      <c r="B185" s="182"/>
      <c r="C185" s="1158" t="s">
        <v>243</v>
      </c>
      <c r="D185" s="1159"/>
      <c r="E185" s="1663" t="s">
        <v>182</v>
      </c>
      <c r="F185" s="1663"/>
      <c r="G185" s="1663"/>
      <c r="H185" s="402"/>
      <c r="I185" s="1160">
        <v>1</v>
      </c>
      <c r="J185" s="415">
        <f>IF(L185,I185,0)</f>
        <v>0</v>
      </c>
      <c r="L185" s="91" t="b">
        <v>0</v>
      </c>
    </row>
    <row r="186" spans="2:12" ht="43.5" customHeight="1">
      <c r="B186" s="198"/>
      <c r="C186" s="201"/>
      <c r="D186" s="680"/>
      <c r="E186" s="1667" t="s">
        <v>183</v>
      </c>
      <c r="F186" s="1667"/>
      <c r="G186" s="1667"/>
      <c r="H186" s="200"/>
      <c r="I186" s="1161"/>
      <c r="J186" s="1162"/>
    </row>
    <row r="187" spans="2:12" ht="17.399999999999999">
      <c r="B187" s="182"/>
      <c r="C187" s="1158" t="s">
        <v>245</v>
      </c>
      <c r="D187" s="1163"/>
      <c r="E187" s="1665" t="s">
        <v>334</v>
      </c>
      <c r="F187" s="1665"/>
      <c r="G187" s="1665"/>
      <c r="H187" s="402"/>
      <c r="I187" s="1164">
        <v>0.8</v>
      </c>
      <c r="J187" s="415">
        <f>IF(L187,I187,0)</f>
        <v>0</v>
      </c>
      <c r="L187" s="91" t="b">
        <v>0</v>
      </c>
    </row>
    <row r="188" spans="2:12" ht="30" customHeight="1">
      <c r="B188" s="198"/>
      <c r="C188" s="201"/>
      <c r="D188" s="680"/>
      <c r="E188" s="1667" t="s">
        <v>331</v>
      </c>
      <c r="F188" s="1667"/>
      <c r="G188" s="1667"/>
      <c r="H188" s="200"/>
      <c r="I188" s="1161"/>
      <c r="J188" s="1162"/>
    </row>
    <row r="189" spans="2:12" ht="17.399999999999999">
      <c r="B189" s="182"/>
      <c r="C189" s="1158" t="s">
        <v>246</v>
      </c>
      <c r="D189" s="1163"/>
      <c r="E189" s="1665" t="s">
        <v>60</v>
      </c>
      <c r="F189" s="1665"/>
      <c r="G189" s="1665"/>
      <c r="H189" s="402"/>
      <c r="I189" s="1164">
        <v>0.2</v>
      </c>
      <c r="J189" s="415">
        <f>IF(L189,I189,0)</f>
        <v>0</v>
      </c>
      <c r="L189" s="91" t="b">
        <v>0</v>
      </c>
    </row>
    <row r="190" spans="2:12" ht="16.5" customHeight="1" thickBot="1">
      <c r="B190" s="198"/>
      <c r="C190" s="201"/>
      <c r="D190" s="768"/>
      <c r="E190" s="1682"/>
      <c r="F190" s="1682"/>
      <c r="G190" s="1682"/>
      <c r="H190" s="200"/>
      <c r="I190" s="1173"/>
      <c r="J190" s="1162"/>
    </row>
    <row r="191" spans="2:12" ht="22.5" customHeight="1" thickBot="1">
      <c r="B191" s="1678" t="s">
        <v>570</v>
      </c>
      <c r="C191" s="1679"/>
      <c r="D191" s="1679"/>
      <c r="E191" s="1679"/>
      <c r="F191" s="1679"/>
      <c r="G191" s="1679"/>
      <c r="H191" s="1680"/>
      <c r="I191" s="536">
        <f>IF(Projektgrundlagen!I25,SUM(I185:I190),0)</f>
        <v>2</v>
      </c>
      <c r="J191" s="537">
        <f>IF(Projektgrundlagen!I25,SUMIF(L185:L190,TRUE,J185:J190),0)</f>
        <v>0</v>
      </c>
    </row>
    <row r="192" spans="2:12">
      <c r="B192" s="87"/>
    </row>
    <row r="193" spans="2:12">
      <c r="B193" s="411"/>
      <c r="C193" s="1118"/>
      <c r="D193" s="1119"/>
      <c r="E193" s="1120" t="s">
        <v>830</v>
      </c>
      <c r="F193" s="1120"/>
      <c r="G193" s="1121"/>
      <c r="H193" s="1121"/>
      <c r="I193" s="1122"/>
      <c r="J193" s="1123"/>
      <c r="L193" s="91" t="b">
        <f>IF('A anrechb Kosten'!$G$20="",FALSE,TRUE)</f>
        <v>1</v>
      </c>
    </row>
    <row r="194" spans="2:12" ht="16.5" customHeight="1" thickBot="1">
      <c r="B194" s="199"/>
      <c r="C194" s="265"/>
      <c r="D194" s="770"/>
      <c r="E194" s="1691" t="s">
        <v>831</v>
      </c>
      <c r="F194" s="1691"/>
      <c r="G194" s="196"/>
      <c r="H194" s="196"/>
      <c r="I194" s="769"/>
      <c r="J194" s="1124"/>
    </row>
    <row r="195" spans="2:12" ht="30" customHeight="1" thickBot="1">
      <c r="B195" s="1675" t="s">
        <v>733</v>
      </c>
      <c r="C195" s="1676"/>
      <c r="D195" s="1676"/>
      <c r="E195" s="1676"/>
      <c r="F195" s="1676"/>
      <c r="G195" s="1676"/>
      <c r="H195" s="1677"/>
      <c r="I195" s="747">
        <f>SUM(I29,I54,I75,I85,I100,I116,I139,I182,I191)</f>
        <v>100</v>
      </c>
      <c r="J195" s="748">
        <f>SUM(J29,J54,J75,J85,J100,J116,J139,J182,J191)</f>
        <v>52</v>
      </c>
    </row>
    <row r="196" spans="2:12" ht="12.75" customHeight="1">
      <c r="C196" s="272"/>
    </row>
    <row r="197" spans="2:12"/>
  </sheetData>
  <sheetProtection algorithmName="SHA-512" hashValue="3tWJQkzjAKpM8V4RaRtjYQ1hJsqAN+Tn7bssbe5wqmkNy8S3ro6xDuNVPKQoPXSng4rwQ3E1RYbfmx4wj7aKLQ==" saltValue="M5nZRfVY5uYd34jkCd+7cA==" spinCount="100000" sheet="1" formatRows="0"/>
  <mergeCells count="183">
    <mergeCell ref="F45:G45"/>
    <mergeCell ref="F46:G46"/>
    <mergeCell ref="F66:G66"/>
    <mergeCell ref="F67:G67"/>
    <mergeCell ref="F161:G161"/>
    <mergeCell ref="F162:G162"/>
    <mergeCell ref="B87:H87"/>
    <mergeCell ref="E137:G137"/>
    <mergeCell ref="E194:F194"/>
    <mergeCell ref="E82:G82"/>
    <mergeCell ref="E119:G119"/>
    <mergeCell ref="E138:G138"/>
    <mergeCell ref="E142:G142"/>
    <mergeCell ref="E143:G143"/>
    <mergeCell ref="E144:G144"/>
    <mergeCell ref="E145:G145"/>
    <mergeCell ref="E120:G120"/>
    <mergeCell ref="E127:G127"/>
    <mergeCell ref="E128:G128"/>
    <mergeCell ref="E130:G130"/>
    <mergeCell ref="E131:G131"/>
    <mergeCell ref="E132:G132"/>
    <mergeCell ref="E133:G133"/>
    <mergeCell ref="E135:G135"/>
    <mergeCell ref="E121:G121"/>
    <mergeCell ref="E122:G122"/>
    <mergeCell ref="E124:G124"/>
    <mergeCell ref="E125:G125"/>
    <mergeCell ref="E126:H126"/>
    <mergeCell ref="E84:G84"/>
    <mergeCell ref="E83:G83"/>
    <mergeCell ref="E148:G148"/>
    <mergeCell ref="E149:G149"/>
    <mergeCell ref="E94:G94"/>
    <mergeCell ref="E95:G95"/>
    <mergeCell ref="E96:G96"/>
    <mergeCell ref="E88:G88"/>
    <mergeCell ref="E89:G89"/>
    <mergeCell ref="E90:G90"/>
    <mergeCell ref="E91:G91"/>
    <mergeCell ref="E92:G92"/>
    <mergeCell ref="E93:G93"/>
    <mergeCell ref="E150:G150"/>
    <mergeCell ref="E151:G151"/>
    <mergeCell ref="E152:G152"/>
    <mergeCell ref="E153:G153"/>
    <mergeCell ref="E154:G154"/>
    <mergeCell ref="E155:G155"/>
    <mergeCell ref="E114:G114"/>
    <mergeCell ref="E136:G136"/>
    <mergeCell ref="E97:G97"/>
    <mergeCell ref="E98:G98"/>
    <mergeCell ref="E99:G99"/>
    <mergeCell ref="E103:G103"/>
    <mergeCell ref="E110:G110"/>
    <mergeCell ref="E111:G111"/>
    <mergeCell ref="E112:G112"/>
    <mergeCell ref="B118:H118"/>
    <mergeCell ref="E104:G104"/>
    <mergeCell ref="E105:G105"/>
    <mergeCell ref="E106:G106"/>
    <mergeCell ref="E107:G107"/>
    <mergeCell ref="E108:G108"/>
    <mergeCell ref="E113:G113"/>
    <mergeCell ref="E109:G109"/>
    <mergeCell ref="B102:H102"/>
    <mergeCell ref="E156:G156"/>
    <mergeCell ref="E189:G189"/>
    <mergeCell ref="E170:G170"/>
    <mergeCell ref="E171:G171"/>
    <mergeCell ref="E173:G173"/>
    <mergeCell ref="E174:G174"/>
    <mergeCell ref="E175:H175"/>
    <mergeCell ref="E176:G176"/>
    <mergeCell ref="E177:G177"/>
    <mergeCell ref="E169:H169"/>
    <mergeCell ref="E20:G20"/>
    <mergeCell ref="E21:G21"/>
    <mergeCell ref="E22:G22"/>
    <mergeCell ref="E23:G23"/>
    <mergeCell ref="E24:G24"/>
    <mergeCell ref="E25:G25"/>
    <mergeCell ref="E26:G26"/>
    <mergeCell ref="E27:G27"/>
    <mergeCell ref="E28:G28"/>
    <mergeCell ref="E49:G49"/>
    <mergeCell ref="E50:G50"/>
    <mergeCell ref="E78:G78"/>
    <mergeCell ref="E69:G69"/>
    <mergeCell ref="E81:G81"/>
    <mergeCell ref="E63:G63"/>
    <mergeCell ref="E64:G64"/>
    <mergeCell ref="E65:G65"/>
    <mergeCell ref="E68:G68"/>
    <mergeCell ref="B77:H77"/>
    <mergeCell ref="E79:G79"/>
    <mergeCell ref="E80:G80"/>
    <mergeCell ref="E70:G70"/>
    <mergeCell ref="E51:G51"/>
    <mergeCell ref="E57:G57"/>
    <mergeCell ref="K2:K8"/>
    <mergeCell ref="B182:H182"/>
    <mergeCell ref="B29:H29"/>
    <mergeCell ref="B54:H54"/>
    <mergeCell ref="B75:H75"/>
    <mergeCell ref="B85:H85"/>
    <mergeCell ref="B100:H100"/>
    <mergeCell ref="B116:H116"/>
    <mergeCell ref="E181:F181"/>
    <mergeCell ref="D16:I16"/>
    <mergeCell ref="E129:H129"/>
    <mergeCell ref="B139:H139"/>
    <mergeCell ref="E39:G39"/>
    <mergeCell ref="E40:G40"/>
    <mergeCell ref="E41:G41"/>
    <mergeCell ref="E42:G42"/>
    <mergeCell ref="E43:G43"/>
    <mergeCell ref="I3:J3"/>
    <mergeCell ref="D13:J13"/>
    <mergeCell ref="E47:G47"/>
    <mergeCell ref="G2:H2"/>
    <mergeCell ref="G3:H3"/>
    <mergeCell ref="B8:E8"/>
    <mergeCell ref="E48:G48"/>
    <mergeCell ref="B195:H195"/>
    <mergeCell ref="B141:H141"/>
    <mergeCell ref="B184:H184"/>
    <mergeCell ref="E157:G157"/>
    <mergeCell ref="E158:G158"/>
    <mergeCell ref="E159:G159"/>
    <mergeCell ref="E160:G160"/>
    <mergeCell ref="E163:G163"/>
    <mergeCell ref="E185:G185"/>
    <mergeCell ref="E186:G186"/>
    <mergeCell ref="E187:G187"/>
    <mergeCell ref="E188:G188"/>
    <mergeCell ref="B191:H191"/>
    <mergeCell ref="E178:G178"/>
    <mergeCell ref="E179:G179"/>
    <mergeCell ref="E164:G164"/>
    <mergeCell ref="E165:G165"/>
    <mergeCell ref="E166:H166"/>
    <mergeCell ref="E172:G172"/>
    <mergeCell ref="E167:G167"/>
    <mergeCell ref="E168:G168"/>
    <mergeCell ref="E146:G146"/>
    <mergeCell ref="E147:G147"/>
    <mergeCell ref="E190:G190"/>
    <mergeCell ref="F8:J8"/>
    <mergeCell ref="B5:E5"/>
    <mergeCell ref="G5:H5"/>
    <mergeCell ref="I5:J5"/>
    <mergeCell ref="B6:E6"/>
    <mergeCell ref="F6:J6"/>
    <mergeCell ref="B7:E7"/>
    <mergeCell ref="F7:J7"/>
    <mergeCell ref="B2:F2"/>
    <mergeCell ref="B3:F3"/>
    <mergeCell ref="I2:J2"/>
    <mergeCell ref="B10:H10"/>
    <mergeCell ref="E19:G19"/>
    <mergeCell ref="E32:G32"/>
    <mergeCell ref="E33:G33"/>
    <mergeCell ref="E34:G34"/>
    <mergeCell ref="E35:G35"/>
    <mergeCell ref="E74:F74"/>
    <mergeCell ref="E71:G71"/>
    <mergeCell ref="E72:G72"/>
    <mergeCell ref="D14:J14"/>
    <mergeCell ref="D15:J15"/>
    <mergeCell ref="B18:H18"/>
    <mergeCell ref="B31:H31"/>
    <mergeCell ref="B56:H56"/>
    <mergeCell ref="E44:G44"/>
    <mergeCell ref="E58:G58"/>
    <mergeCell ref="E59:G59"/>
    <mergeCell ref="E60:G60"/>
    <mergeCell ref="E61:G61"/>
    <mergeCell ref="E62:G62"/>
    <mergeCell ref="E36:G36"/>
    <mergeCell ref="E37:G37"/>
    <mergeCell ref="E38:G38"/>
    <mergeCell ref="E53:F53"/>
  </mergeCells>
  <conditionalFormatting sqref="B13:B14">
    <cfRule type="expression" dxfId="2401" priority="59">
      <formula>AND(L13,NOT($M$13))</formula>
    </cfRule>
  </conditionalFormatting>
  <conditionalFormatting sqref="E193:F194">
    <cfRule type="expression" dxfId="2374" priority="21">
      <formula>$L$193</formula>
    </cfRule>
  </conditionalFormatting>
  <conditionalFormatting sqref="J16">
    <cfRule type="expression" dxfId="2361" priority="229">
      <formula>OR(L15=FALSE,J16&lt;0,J16&gt;9)</formula>
    </cfRule>
    <cfRule type="expression" dxfId="2360" priority="230">
      <formula>AND(L15,J16="")</formula>
    </cfRule>
  </conditionalFormatting>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Februar 2023&amp;R&amp;P</oddFooter>
  </headerFooter>
  <rowBreaks count="9" manualBreakCount="9">
    <brk id="30" max="10" man="1"/>
    <brk id="55" max="10" man="1"/>
    <brk id="76" max="10" man="1"/>
    <brk id="86" max="10" man="1"/>
    <brk id="101" max="10" man="1"/>
    <brk id="117" max="10" man="1"/>
    <brk id="140" max="10" man="1"/>
    <brk id="166" max="10" man="1"/>
    <brk id="183"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0390" r:id="rId4" name="Check Box 150">
              <controlPr defaultSize="0" autoFill="0" autoLine="0" autoPict="0" altText="">
                <anchor moveWithCells="1">
                  <from>
                    <xdr:col>1</xdr:col>
                    <xdr:colOff>0</xdr:colOff>
                    <xdr:row>20</xdr:row>
                    <xdr:rowOff>0</xdr:rowOff>
                  </from>
                  <to>
                    <xdr:col>2</xdr:col>
                    <xdr:colOff>0</xdr:colOff>
                    <xdr:row>20</xdr:row>
                    <xdr:rowOff>213360</xdr:rowOff>
                  </to>
                </anchor>
              </controlPr>
            </control>
          </mc:Choice>
        </mc:AlternateContent>
        <mc:AlternateContent xmlns:mc="http://schemas.openxmlformats.org/markup-compatibility/2006">
          <mc:Choice Requires="x14">
            <control shapeId="10392" r:id="rId5" name="Check Box 152">
              <controlPr defaultSize="0" autoFill="0" autoLine="0" autoPict="0" altText="">
                <anchor moveWithCells="1">
                  <from>
                    <xdr:col>1</xdr:col>
                    <xdr:colOff>0</xdr:colOff>
                    <xdr:row>24</xdr:row>
                    <xdr:rowOff>0</xdr:rowOff>
                  </from>
                  <to>
                    <xdr:col>2</xdr:col>
                    <xdr:colOff>0</xdr:colOff>
                    <xdr:row>24</xdr:row>
                    <xdr:rowOff>213360</xdr:rowOff>
                  </to>
                </anchor>
              </controlPr>
            </control>
          </mc:Choice>
        </mc:AlternateContent>
        <mc:AlternateContent xmlns:mc="http://schemas.openxmlformats.org/markup-compatibility/2006">
          <mc:Choice Requires="x14">
            <control shapeId="10394" r:id="rId6" name="Check Box 154">
              <controlPr defaultSize="0" autoFill="0" autoLine="0" autoPict="0" altText="">
                <anchor moveWithCells="1">
                  <from>
                    <xdr:col>1</xdr:col>
                    <xdr:colOff>0</xdr:colOff>
                    <xdr:row>26</xdr:row>
                    <xdr:rowOff>0</xdr:rowOff>
                  </from>
                  <to>
                    <xdr:col>2</xdr:col>
                    <xdr:colOff>0</xdr:colOff>
                    <xdr:row>26</xdr:row>
                    <xdr:rowOff>213360</xdr:rowOff>
                  </to>
                </anchor>
              </controlPr>
            </control>
          </mc:Choice>
        </mc:AlternateContent>
        <mc:AlternateContent xmlns:mc="http://schemas.openxmlformats.org/markup-compatibility/2006">
          <mc:Choice Requires="x14">
            <control shapeId="10396" r:id="rId7" name="Check Box 156">
              <controlPr defaultSize="0" autoFill="0" autoLine="0" autoPict="0" altText="">
                <anchor moveWithCells="1">
                  <from>
                    <xdr:col>1</xdr:col>
                    <xdr:colOff>0</xdr:colOff>
                    <xdr:row>31</xdr:row>
                    <xdr:rowOff>0</xdr:rowOff>
                  </from>
                  <to>
                    <xdr:col>2</xdr:col>
                    <xdr:colOff>0</xdr:colOff>
                    <xdr:row>31</xdr:row>
                    <xdr:rowOff>213360</xdr:rowOff>
                  </to>
                </anchor>
              </controlPr>
            </control>
          </mc:Choice>
        </mc:AlternateContent>
        <mc:AlternateContent xmlns:mc="http://schemas.openxmlformats.org/markup-compatibility/2006">
          <mc:Choice Requires="x14">
            <control shapeId="10397" r:id="rId8" name="Check Box 157">
              <controlPr defaultSize="0" autoFill="0" autoLine="0" autoPict="0" altText="">
                <anchor moveWithCells="1">
                  <from>
                    <xdr:col>1</xdr:col>
                    <xdr:colOff>0</xdr:colOff>
                    <xdr:row>33</xdr:row>
                    <xdr:rowOff>0</xdr:rowOff>
                  </from>
                  <to>
                    <xdr:col>2</xdr:col>
                    <xdr:colOff>0</xdr:colOff>
                    <xdr:row>33</xdr:row>
                    <xdr:rowOff>213360</xdr:rowOff>
                  </to>
                </anchor>
              </controlPr>
            </control>
          </mc:Choice>
        </mc:AlternateContent>
        <mc:AlternateContent xmlns:mc="http://schemas.openxmlformats.org/markup-compatibility/2006">
          <mc:Choice Requires="x14">
            <control shapeId="10398" r:id="rId9" name="Check Box 158">
              <controlPr defaultSize="0" autoFill="0" autoLine="0" autoPict="0" altText="">
                <anchor moveWithCells="1">
                  <from>
                    <xdr:col>1</xdr:col>
                    <xdr:colOff>0</xdr:colOff>
                    <xdr:row>35</xdr:row>
                    <xdr:rowOff>0</xdr:rowOff>
                  </from>
                  <to>
                    <xdr:col>2</xdr:col>
                    <xdr:colOff>0</xdr:colOff>
                    <xdr:row>35</xdr:row>
                    <xdr:rowOff>213360</xdr:rowOff>
                  </to>
                </anchor>
              </controlPr>
            </control>
          </mc:Choice>
        </mc:AlternateContent>
        <mc:AlternateContent xmlns:mc="http://schemas.openxmlformats.org/markup-compatibility/2006">
          <mc:Choice Requires="x14">
            <control shapeId="10400" r:id="rId10" name="Check Box 160">
              <controlPr defaultSize="0" autoFill="0" autoLine="0" autoPict="0" altText="">
                <anchor moveWithCells="1">
                  <from>
                    <xdr:col>1</xdr:col>
                    <xdr:colOff>0</xdr:colOff>
                    <xdr:row>37</xdr:row>
                    <xdr:rowOff>0</xdr:rowOff>
                  </from>
                  <to>
                    <xdr:col>2</xdr:col>
                    <xdr:colOff>0</xdr:colOff>
                    <xdr:row>37</xdr:row>
                    <xdr:rowOff>213360</xdr:rowOff>
                  </to>
                </anchor>
              </controlPr>
            </control>
          </mc:Choice>
        </mc:AlternateContent>
        <mc:AlternateContent xmlns:mc="http://schemas.openxmlformats.org/markup-compatibility/2006">
          <mc:Choice Requires="x14">
            <control shapeId="10401" r:id="rId11" name="Check Box 161">
              <controlPr defaultSize="0" autoFill="0" autoLine="0" autoPict="0" altText="">
                <anchor moveWithCells="1">
                  <from>
                    <xdr:col>1</xdr:col>
                    <xdr:colOff>0</xdr:colOff>
                    <xdr:row>39</xdr:row>
                    <xdr:rowOff>0</xdr:rowOff>
                  </from>
                  <to>
                    <xdr:col>2</xdr:col>
                    <xdr:colOff>0</xdr:colOff>
                    <xdr:row>39</xdr:row>
                    <xdr:rowOff>213360</xdr:rowOff>
                  </to>
                </anchor>
              </controlPr>
            </control>
          </mc:Choice>
        </mc:AlternateContent>
        <mc:AlternateContent xmlns:mc="http://schemas.openxmlformats.org/markup-compatibility/2006">
          <mc:Choice Requires="x14">
            <control shapeId="10402" r:id="rId12" name="Check Box 162">
              <controlPr defaultSize="0" autoFill="0" autoLine="0" autoPict="0" altText="">
                <anchor moveWithCells="1">
                  <from>
                    <xdr:col>1</xdr:col>
                    <xdr:colOff>0</xdr:colOff>
                    <xdr:row>41</xdr:row>
                    <xdr:rowOff>0</xdr:rowOff>
                  </from>
                  <to>
                    <xdr:col>2</xdr:col>
                    <xdr:colOff>0</xdr:colOff>
                    <xdr:row>41</xdr:row>
                    <xdr:rowOff>213360</xdr:rowOff>
                  </to>
                </anchor>
              </controlPr>
            </control>
          </mc:Choice>
        </mc:AlternateContent>
        <mc:AlternateContent xmlns:mc="http://schemas.openxmlformats.org/markup-compatibility/2006">
          <mc:Choice Requires="x14">
            <control shapeId="10403" r:id="rId13" name="Check Box 163">
              <controlPr defaultSize="0" autoFill="0" autoLine="0" autoPict="0" altText="">
                <anchor moveWithCells="1">
                  <from>
                    <xdr:col>1</xdr:col>
                    <xdr:colOff>0</xdr:colOff>
                    <xdr:row>43</xdr:row>
                    <xdr:rowOff>0</xdr:rowOff>
                  </from>
                  <to>
                    <xdr:col>2</xdr:col>
                    <xdr:colOff>0</xdr:colOff>
                    <xdr:row>43</xdr:row>
                    <xdr:rowOff>213360</xdr:rowOff>
                  </to>
                </anchor>
              </controlPr>
            </control>
          </mc:Choice>
        </mc:AlternateContent>
        <mc:AlternateContent xmlns:mc="http://schemas.openxmlformats.org/markup-compatibility/2006">
          <mc:Choice Requires="x14">
            <control shapeId="10404" r:id="rId14" name="Check Box 164">
              <controlPr defaultSize="0" autoFill="0" autoLine="0" autoPict="0" altText="3 Fahrstreifen">
                <anchor moveWithCells="1">
                  <from>
                    <xdr:col>1</xdr:col>
                    <xdr:colOff>0</xdr:colOff>
                    <xdr:row>47</xdr:row>
                    <xdr:rowOff>0</xdr:rowOff>
                  </from>
                  <to>
                    <xdr:col>2</xdr:col>
                    <xdr:colOff>0</xdr:colOff>
                    <xdr:row>47</xdr:row>
                    <xdr:rowOff>213360</xdr:rowOff>
                  </to>
                </anchor>
              </controlPr>
            </control>
          </mc:Choice>
        </mc:AlternateContent>
        <mc:AlternateContent xmlns:mc="http://schemas.openxmlformats.org/markup-compatibility/2006">
          <mc:Choice Requires="x14">
            <control shapeId="10405" r:id="rId15" name="Check Box 165">
              <controlPr defaultSize="0" autoFill="0" autoLine="0" autoPict="0" altText="">
                <anchor moveWithCells="1">
                  <from>
                    <xdr:col>1</xdr:col>
                    <xdr:colOff>0</xdr:colOff>
                    <xdr:row>49</xdr:row>
                    <xdr:rowOff>0</xdr:rowOff>
                  </from>
                  <to>
                    <xdr:col>2</xdr:col>
                    <xdr:colOff>0</xdr:colOff>
                    <xdr:row>49</xdr:row>
                    <xdr:rowOff>213360</xdr:rowOff>
                  </to>
                </anchor>
              </controlPr>
            </control>
          </mc:Choice>
        </mc:AlternateContent>
        <mc:AlternateContent xmlns:mc="http://schemas.openxmlformats.org/markup-compatibility/2006">
          <mc:Choice Requires="x14">
            <control shapeId="10437" r:id="rId16" name="Check Box 197">
              <controlPr defaultSize="0" autoFill="0" autoLine="0" autoPict="0" altText="">
                <anchor moveWithCells="1">
                  <from>
                    <xdr:col>1</xdr:col>
                    <xdr:colOff>0</xdr:colOff>
                    <xdr:row>58</xdr:row>
                    <xdr:rowOff>0</xdr:rowOff>
                  </from>
                  <to>
                    <xdr:col>2</xdr:col>
                    <xdr:colOff>0</xdr:colOff>
                    <xdr:row>58</xdr:row>
                    <xdr:rowOff>213360</xdr:rowOff>
                  </to>
                </anchor>
              </controlPr>
            </control>
          </mc:Choice>
        </mc:AlternateContent>
        <mc:AlternateContent xmlns:mc="http://schemas.openxmlformats.org/markup-compatibility/2006">
          <mc:Choice Requires="x14">
            <control shapeId="10438" r:id="rId17" name="Check Box 198">
              <controlPr defaultSize="0" autoFill="0" autoLine="0" autoPict="0" altText="">
                <anchor moveWithCells="1">
                  <from>
                    <xdr:col>1</xdr:col>
                    <xdr:colOff>0</xdr:colOff>
                    <xdr:row>60</xdr:row>
                    <xdr:rowOff>0</xdr:rowOff>
                  </from>
                  <to>
                    <xdr:col>2</xdr:col>
                    <xdr:colOff>0</xdr:colOff>
                    <xdr:row>60</xdr:row>
                    <xdr:rowOff>213360</xdr:rowOff>
                  </to>
                </anchor>
              </controlPr>
            </control>
          </mc:Choice>
        </mc:AlternateContent>
        <mc:AlternateContent xmlns:mc="http://schemas.openxmlformats.org/markup-compatibility/2006">
          <mc:Choice Requires="x14">
            <control shapeId="10439" r:id="rId18" name="Check Box 199">
              <controlPr defaultSize="0" autoFill="0" autoLine="0" autoPict="0" altText="">
                <anchor moveWithCells="1">
                  <from>
                    <xdr:col>1</xdr:col>
                    <xdr:colOff>0</xdr:colOff>
                    <xdr:row>62</xdr:row>
                    <xdr:rowOff>0</xdr:rowOff>
                  </from>
                  <to>
                    <xdr:col>2</xdr:col>
                    <xdr:colOff>0</xdr:colOff>
                    <xdr:row>62</xdr:row>
                    <xdr:rowOff>213360</xdr:rowOff>
                  </to>
                </anchor>
              </controlPr>
            </control>
          </mc:Choice>
        </mc:AlternateContent>
        <mc:AlternateContent xmlns:mc="http://schemas.openxmlformats.org/markup-compatibility/2006">
          <mc:Choice Requires="x14">
            <control shapeId="10442" r:id="rId19" name="Check Box 202">
              <controlPr defaultSize="0" autoFill="0" autoLine="0" autoPict="0" altText="3 Fahrstreifen">
                <anchor moveWithCells="1">
                  <from>
                    <xdr:col>1</xdr:col>
                    <xdr:colOff>0</xdr:colOff>
                    <xdr:row>70</xdr:row>
                    <xdr:rowOff>0</xdr:rowOff>
                  </from>
                  <to>
                    <xdr:col>2</xdr:col>
                    <xdr:colOff>0</xdr:colOff>
                    <xdr:row>70</xdr:row>
                    <xdr:rowOff>213360</xdr:rowOff>
                  </to>
                </anchor>
              </controlPr>
            </control>
          </mc:Choice>
        </mc:AlternateContent>
        <mc:AlternateContent xmlns:mc="http://schemas.openxmlformats.org/markup-compatibility/2006">
          <mc:Choice Requires="x14">
            <control shapeId="10460" r:id="rId20" name="Check Box 220">
              <controlPr defaultSize="0" autoFill="0" autoLine="0" autoPict="0" altText="">
                <anchor moveWithCells="1">
                  <from>
                    <xdr:col>1</xdr:col>
                    <xdr:colOff>0</xdr:colOff>
                    <xdr:row>80</xdr:row>
                    <xdr:rowOff>0</xdr:rowOff>
                  </from>
                  <to>
                    <xdr:col>2</xdr:col>
                    <xdr:colOff>0</xdr:colOff>
                    <xdr:row>80</xdr:row>
                    <xdr:rowOff>213360</xdr:rowOff>
                  </to>
                </anchor>
              </controlPr>
            </control>
          </mc:Choice>
        </mc:AlternateContent>
        <mc:AlternateContent xmlns:mc="http://schemas.openxmlformats.org/markup-compatibility/2006">
          <mc:Choice Requires="x14">
            <control shapeId="10463" r:id="rId21" name="Check Box 223">
              <controlPr defaultSize="0" autoFill="0" autoLine="0" autoPict="0" altText="3 Fahrstreifen">
                <anchor moveWithCells="1">
                  <from>
                    <xdr:col>1</xdr:col>
                    <xdr:colOff>0</xdr:colOff>
                    <xdr:row>82</xdr:row>
                    <xdr:rowOff>0</xdr:rowOff>
                  </from>
                  <to>
                    <xdr:col>2</xdr:col>
                    <xdr:colOff>0</xdr:colOff>
                    <xdr:row>82</xdr:row>
                    <xdr:rowOff>213360</xdr:rowOff>
                  </to>
                </anchor>
              </controlPr>
            </control>
          </mc:Choice>
        </mc:AlternateContent>
        <mc:AlternateContent xmlns:mc="http://schemas.openxmlformats.org/markup-compatibility/2006">
          <mc:Choice Requires="x14">
            <control shapeId="10467" r:id="rId22" name="Check Box 227">
              <controlPr defaultSize="0" autoFill="0" autoLine="0" autoPict="0" altText="">
                <anchor moveWithCells="1">
                  <from>
                    <xdr:col>1</xdr:col>
                    <xdr:colOff>0</xdr:colOff>
                    <xdr:row>87</xdr:row>
                    <xdr:rowOff>0</xdr:rowOff>
                  </from>
                  <to>
                    <xdr:col>2</xdr:col>
                    <xdr:colOff>0</xdr:colOff>
                    <xdr:row>88</xdr:row>
                    <xdr:rowOff>0</xdr:rowOff>
                  </to>
                </anchor>
              </controlPr>
            </control>
          </mc:Choice>
        </mc:AlternateContent>
        <mc:AlternateContent xmlns:mc="http://schemas.openxmlformats.org/markup-compatibility/2006">
          <mc:Choice Requires="x14">
            <control shapeId="10469" r:id="rId23" name="Check Box 229">
              <controlPr defaultSize="0" autoFill="0" autoLine="0" autoPict="0" altText="">
                <anchor moveWithCells="1">
                  <from>
                    <xdr:col>1</xdr:col>
                    <xdr:colOff>0</xdr:colOff>
                    <xdr:row>89</xdr:row>
                    <xdr:rowOff>0</xdr:rowOff>
                  </from>
                  <to>
                    <xdr:col>2</xdr:col>
                    <xdr:colOff>0</xdr:colOff>
                    <xdr:row>89</xdr:row>
                    <xdr:rowOff>213360</xdr:rowOff>
                  </to>
                </anchor>
              </controlPr>
            </control>
          </mc:Choice>
        </mc:AlternateContent>
        <mc:AlternateContent xmlns:mc="http://schemas.openxmlformats.org/markup-compatibility/2006">
          <mc:Choice Requires="x14">
            <control shapeId="10470" r:id="rId24" name="Check Box 230">
              <controlPr defaultSize="0" autoFill="0" autoLine="0" autoPict="0" altText="">
                <anchor moveWithCells="1">
                  <from>
                    <xdr:col>1</xdr:col>
                    <xdr:colOff>0</xdr:colOff>
                    <xdr:row>91</xdr:row>
                    <xdr:rowOff>0</xdr:rowOff>
                  </from>
                  <to>
                    <xdr:col>2</xdr:col>
                    <xdr:colOff>0</xdr:colOff>
                    <xdr:row>91</xdr:row>
                    <xdr:rowOff>213360</xdr:rowOff>
                  </to>
                </anchor>
              </controlPr>
            </control>
          </mc:Choice>
        </mc:AlternateContent>
        <mc:AlternateContent xmlns:mc="http://schemas.openxmlformats.org/markup-compatibility/2006">
          <mc:Choice Requires="x14">
            <control shapeId="10471" r:id="rId25" name="Check Box 231">
              <controlPr defaultSize="0" autoFill="0" autoLine="0" autoPict="0" altText="">
                <anchor moveWithCells="1">
                  <from>
                    <xdr:col>1</xdr:col>
                    <xdr:colOff>0</xdr:colOff>
                    <xdr:row>93</xdr:row>
                    <xdr:rowOff>0</xdr:rowOff>
                  </from>
                  <to>
                    <xdr:col>2</xdr:col>
                    <xdr:colOff>0</xdr:colOff>
                    <xdr:row>93</xdr:row>
                    <xdr:rowOff>213360</xdr:rowOff>
                  </to>
                </anchor>
              </controlPr>
            </control>
          </mc:Choice>
        </mc:AlternateContent>
        <mc:AlternateContent xmlns:mc="http://schemas.openxmlformats.org/markup-compatibility/2006">
          <mc:Choice Requires="x14">
            <control shapeId="10473" r:id="rId26" name="Check Box 233">
              <controlPr defaultSize="0" autoFill="0" autoLine="0" autoPict="0" altText="">
                <anchor moveWithCells="1">
                  <from>
                    <xdr:col>1</xdr:col>
                    <xdr:colOff>0</xdr:colOff>
                    <xdr:row>102</xdr:row>
                    <xdr:rowOff>0</xdr:rowOff>
                  </from>
                  <to>
                    <xdr:col>2</xdr:col>
                    <xdr:colOff>0</xdr:colOff>
                    <xdr:row>103</xdr:row>
                    <xdr:rowOff>0</xdr:rowOff>
                  </to>
                </anchor>
              </controlPr>
            </control>
          </mc:Choice>
        </mc:AlternateContent>
        <mc:AlternateContent xmlns:mc="http://schemas.openxmlformats.org/markup-compatibility/2006">
          <mc:Choice Requires="x14">
            <control shapeId="10475" r:id="rId27" name="Check Box 235">
              <controlPr defaultSize="0" autoFill="0" autoLine="0" autoPict="0" altText="">
                <anchor moveWithCells="1">
                  <from>
                    <xdr:col>1</xdr:col>
                    <xdr:colOff>0</xdr:colOff>
                    <xdr:row>104</xdr:row>
                    <xdr:rowOff>0</xdr:rowOff>
                  </from>
                  <to>
                    <xdr:col>2</xdr:col>
                    <xdr:colOff>0</xdr:colOff>
                    <xdr:row>104</xdr:row>
                    <xdr:rowOff>213360</xdr:rowOff>
                  </to>
                </anchor>
              </controlPr>
            </control>
          </mc:Choice>
        </mc:AlternateContent>
        <mc:AlternateContent xmlns:mc="http://schemas.openxmlformats.org/markup-compatibility/2006">
          <mc:Choice Requires="x14">
            <control shapeId="10476" r:id="rId28" name="Check Box 236">
              <controlPr defaultSize="0" autoFill="0" autoLine="0" autoPict="0" altText="3 Fahrstreifen">
                <anchor moveWithCells="1">
                  <from>
                    <xdr:col>1</xdr:col>
                    <xdr:colOff>0</xdr:colOff>
                    <xdr:row>106</xdr:row>
                    <xdr:rowOff>0</xdr:rowOff>
                  </from>
                  <to>
                    <xdr:col>2</xdr:col>
                    <xdr:colOff>0</xdr:colOff>
                    <xdr:row>106</xdr:row>
                    <xdr:rowOff>213360</xdr:rowOff>
                  </to>
                </anchor>
              </controlPr>
            </control>
          </mc:Choice>
        </mc:AlternateContent>
        <mc:AlternateContent xmlns:mc="http://schemas.openxmlformats.org/markup-compatibility/2006">
          <mc:Choice Requires="x14">
            <control shapeId="10477" r:id="rId29" name="Check Box 237">
              <controlPr defaultSize="0" autoFill="0" autoLine="0" autoPict="0" altText="">
                <anchor moveWithCells="1">
                  <from>
                    <xdr:col>1</xdr:col>
                    <xdr:colOff>0</xdr:colOff>
                    <xdr:row>108</xdr:row>
                    <xdr:rowOff>0</xdr:rowOff>
                  </from>
                  <to>
                    <xdr:col>2</xdr:col>
                    <xdr:colOff>0</xdr:colOff>
                    <xdr:row>108</xdr:row>
                    <xdr:rowOff>213360</xdr:rowOff>
                  </to>
                </anchor>
              </controlPr>
            </control>
          </mc:Choice>
        </mc:AlternateContent>
        <mc:AlternateContent xmlns:mc="http://schemas.openxmlformats.org/markup-compatibility/2006">
          <mc:Choice Requires="x14">
            <control shapeId="10478" r:id="rId30" name="Check Box 238">
              <controlPr defaultSize="0" autoFill="0" autoLine="0" autoPict="0" altText="3 Fahrstreifen">
                <anchor moveWithCells="1">
                  <from>
                    <xdr:col>1</xdr:col>
                    <xdr:colOff>0</xdr:colOff>
                    <xdr:row>110</xdr:row>
                    <xdr:rowOff>0</xdr:rowOff>
                  </from>
                  <to>
                    <xdr:col>2</xdr:col>
                    <xdr:colOff>0</xdr:colOff>
                    <xdr:row>110</xdr:row>
                    <xdr:rowOff>213360</xdr:rowOff>
                  </to>
                </anchor>
              </controlPr>
            </control>
          </mc:Choice>
        </mc:AlternateContent>
        <mc:AlternateContent xmlns:mc="http://schemas.openxmlformats.org/markup-compatibility/2006">
          <mc:Choice Requires="x14">
            <control shapeId="10480" r:id="rId31" name="Check Box 240">
              <controlPr defaultSize="0" autoFill="0" autoLine="0" autoPict="0" altText="">
                <anchor moveWithCells="1">
                  <from>
                    <xdr:col>1</xdr:col>
                    <xdr:colOff>0</xdr:colOff>
                    <xdr:row>112</xdr:row>
                    <xdr:rowOff>0</xdr:rowOff>
                  </from>
                  <to>
                    <xdr:col>2</xdr:col>
                    <xdr:colOff>0</xdr:colOff>
                    <xdr:row>112</xdr:row>
                    <xdr:rowOff>213360</xdr:rowOff>
                  </to>
                </anchor>
              </controlPr>
            </control>
          </mc:Choice>
        </mc:AlternateContent>
        <mc:AlternateContent xmlns:mc="http://schemas.openxmlformats.org/markup-compatibility/2006">
          <mc:Choice Requires="x14">
            <control shapeId="10481" r:id="rId32" name="Check Box 241">
              <controlPr defaultSize="0" autoFill="0" autoLine="0" autoPict="0" altText="">
                <anchor moveWithCells="1">
                  <from>
                    <xdr:col>1</xdr:col>
                    <xdr:colOff>0</xdr:colOff>
                    <xdr:row>120</xdr:row>
                    <xdr:rowOff>0</xdr:rowOff>
                  </from>
                  <to>
                    <xdr:col>2</xdr:col>
                    <xdr:colOff>0</xdr:colOff>
                    <xdr:row>121</xdr:row>
                    <xdr:rowOff>0</xdr:rowOff>
                  </to>
                </anchor>
              </controlPr>
            </control>
          </mc:Choice>
        </mc:AlternateContent>
        <mc:AlternateContent xmlns:mc="http://schemas.openxmlformats.org/markup-compatibility/2006">
          <mc:Choice Requires="x14">
            <control shapeId="10483" r:id="rId33" name="Check Box 243">
              <controlPr defaultSize="0" autoFill="0" autoLine="0" autoPict="0" altText="">
                <anchor moveWithCells="1">
                  <from>
                    <xdr:col>1</xdr:col>
                    <xdr:colOff>0</xdr:colOff>
                    <xdr:row>122</xdr:row>
                    <xdr:rowOff>213360</xdr:rowOff>
                  </from>
                  <to>
                    <xdr:col>2</xdr:col>
                    <xdr:colOff>0</xdr:colOff>
                    <xdr:row>124</xdr:row>
                    <xdr:rowOff>0</xdr:rowOff>
                  </to>
                </anchor>
              </controlPr>
            </control>
          </mc:Choice>
        </mc:AlternateContent>
        <mc:AlternateContent xmlns:mc="http://schemas.openxmlformats.org/markup-compatibility/2006">
          <mc:Choice Requires="x14">
            <control shapeId="10485" r:id="rId34" name="Check Box 245">
              <controlPr defaultSize="0" autoFill="0" autoLine="0" autoPict="0" altText="">
                <anchor moveWithCells="1">
                  <from>
                    <xdr:col>1</xdr:col>
                    <xdr:colOff>0</xdr:colOff>
                    <xdr:row>118</xdr:row>
                    <xdr:rowOff>0</xdr:rowOff>
                  </from>
                  <to>
                    <xdr:col>2</xdr:col>
                    <xdr:colOff>0</xdr:colOff>
                    <xdr:row>119</xdr:row>
                    <xdr:rowOff>0</xdr:rowOff>
                  </to>
                </anchor>
              </controlPr>
            </control>
          </mc:Choice>
        </mc:AlternateContent>
        <mc:AlternateContent xmlns:mc="http://schemas.openxmlformats.org/markup-compatibility/2006">
          <mc:Choice Requires="x14">
            <control shapeId="10488" r:id="rId35" name="Check Box 248">
              <controlPr defaultSize="0" autoFill="0" autoLine="0" autoPict="0" altText="">
                <anchor moveWithCells="1">
                  <from>
                    <xdr:col>1</xdr:col>
                    <xdr:colOff>0</xdr:colOff>
                    <xdr:row>128</xdr:row>
                    <xdr:rowOff>213360</xdr:rowOff>
                  </from>
                  <to>
                    <xdr:col>2</xdr:col>
                    <xdr:colOff>0</xdr:colOff>
                    <xdr:row>130</xdr:row>
                    <xdr:rowOff>0</xdr:rowOff>
                  </to>
                </anchor>
              </controlPr>
            </control>
          </mc:Choice>
        </mc:AlternateContent>
        <mc:AlternateContent xmlns:mc="http://schemas.openxmlformats.org/markup-compatibility/2006">
          <mc:Choice Requires="x14">
            <control shapeId="10490" r:id="rId36" name="Check Box 250">
              <controlPr defaultSize="0" autoFill="0" autoLine="0" autoPict="0" altText="">
                <anchor moveWithCells="1">
                  <from>
                    <xdr:col>1</xdr:col>
                    <xdr:colOff>0</xdr:colOff>
                    <xdr:row>131</xdr:row>
                    <xdr:rowOff>0</xdr:rowOff>
                  </from>
                  <to>
                    <xdr:col>2</xdr:col>
                    <xdr:colOff>0</xdr:colOff>
                    <xdr:row>131</xdr:row>
                    <xdr:rowOff>213360</xdr:rowOff>
                  </to>
                </anchor>
              </controlPr>
            </control>
          </mc:Choice>
        </mc:AlternateContent>
        <mc:AlternateContent xmlns:mc="http://schemas.openxmlformats.org/markup-compatibility/2006">
          <mc:Choice Requires="x14">
            <control shapeId="10491" r:id="rId37" name="Check Box 251">
              <controlPr defaultSize="0" autoFill="0" autoLine="0" autoPict="0" altText="">
                <anchor moveWithCells="1">
                  <from>
                    <xdr:col>1</xdr:col>
                    <xdr:colOff>0</xdr:colOff>
                    <xdr:row>134</xdr:row>
                    <xdr:rowOff>0</xdr:rowOff>
                  </from>
                  <to>
                    <xdr:col>2</xdr:col>
                    <xdr:colOff>0</xdr:colOff>
                    <xdr:row>135</xdr:row>
                    <xdr:rowOff>0</xdr:rowOff>
                  </to>
                </anchor>
              </controlPr>
            </control>
          </mc:Choice>
        </mc:AlternateContent>
        <mc:AlternateContent xmlns:mc="http://schemas.openxmlformats.org/markup-compatibility/2006">
          <mc:Choice Requires="x14">
            <control shapeId="10492" r:id="rId38" name="Check Box 252">
              <controlPr defaultSize="0" autoFill="0" autoLine="0" autoPict="0" altText="">
                <anchor moveWithCells="1">
                  <from>
                    <xdr:col>1</xdr:col>
                    <xdr:colOff>0</xdr:colOff>
                    <xdr:row>136</xdr:row>
                    <xdr:rowOff>0</xdr:rowOff>
                  </from>
                  <to>
                    <xdr:col>2</xdr:col>
                    <xdr:colOff>0</xdr:colOff>
                    <xdr:row>136</xdr:row>
                    <xdr:rowOff>213360</xdr:rowOff>
                  </to>
                </anchor>
              </controlPr>
            </control>
          </mc:Choice>
        </mc:AlternateContent>
        <mc:AlternateContent xmlns:mc="http://schemas.openxmlformats.org/markup-compatibility/2006">
          <mc:Choice Requires="x14">
            <control shapeId="10493" r:id="rId39" name="Check Box 253">
              <controlPr defaultSize="0" autoFill="0" autoLine="0" autoPict="0" altText="">
                <anchor moveWithCells="1">
                  <from>
                    <xdr:col>1</xdr:col>
                    <xdr:colOff>0</xdr:colOff>
                    <xdr:row>141</xdr:row>
                    <xdr:rowOff>0</xdr:rowOff>
                  </from>
                  <to>
                    <xdr:col>2</xdr:col>
                    <xdr:colOff>0</xdr:colOff>
                    <xdr:row>142</xdr:row>
                    <xdr:rowOff>0</xdr:rowOff>
                  </to>
                </anchor>
              </controlPr>
            </control>
          </mc:Choice>
        </mc:AlternateContent>
        <mc:AlternateContent xmlns:mc="http://schemas.openxmlformats.org/markup-compatibility/2006">
          <mc:Choice Requires="x14">
            <control shapeId="10494" r:id="rId40" name="Check Box 254">
              <controlPr defaultSize="0" autoFill="0" autoLine="0" autoPict="0" altText="">
                <anchor moveWithCells="1">
                  <from>
                    <xdr:col>1</xdr:col>
                    <xdr:colOff>0</xdr:colOff>
                    <xdr:row>143</xdr:row>
                    <xdr:rowOff>0</xdr:rowOff>
                  </from>
                  <to>
                    <xdr:col>2</xdr:col>
                    <xdr:colOff>0</xdr:colOff>
                    <xdr:row>143</xdr:row>
                    <xdr:rowOff>213360</xdr:rowOff>
                  </to>
                </anchor>
              </controlPr>
            </control>
          </mc:Choice>
        </mc:AlternateContent>
        <mc:AlternateContent xmlns:mc="http://schemas.openxmlformats.org/markup-compatibility/2006">
          <mc:Choice Requires="x14">
            <control shapeId="10496" r:id="rId41" name="Check Box 256">
              <controlPr defaultSize="0" autoFill="0" autoLine="0" autoPict="0" altText="">
                <anchor moveWithCells="1">
                  <from>
                    <xdr:col>1</xdr:col>
                    <xdr:colOff>0</xdr:colOff>
                    <xdr:row>145</xdr:row>
                    <xdr:rowOff>0</xdr:rowOff>
                  </from>
                  <to>
                    <xdr:col>2</xdr:col>
                    <xdr:colOff>0</xdr:colOff>
                    <xdr:row>145</xdr:row>
                    <xdr:rowOff>213360</xdr:rowOff>
                  </to>
                </anchor>
              </controlPr>
            </control>
          </mc:Choice>
        </mc:AlternateContent>
        <mc:AlternateContent xmlns:mc="http://schemas.openxmlformats.org/markup-compatibility/2006">
          <mc:Choice Requires="x14">
            <control shapeId="10497" r:id="rId42" name="Check Box 257">
              <controlPr defaultSize="0" autoFill="0" autoLine="0" autoPict="0" altText="">
                <anchor moveWithCells="1">
                  <from>
                    <xdr:col>1</xdr:col>
                    <xdr:colOff>0</xdr:colOff>
                    <xdr:row>147</xdr:row>
                    <xdr:rowOff>0</xdr:rowOff>
                  </from>
                  <to>
                    <xdr:col>2</xdr:col>
                    <xdr:colOff>0</xdr:colOff>
                    <xdr:row>147</xdr:row>
                    <xdr:rowOff>213360</xdr:rowOff>
                  </to>
                </anchor>
              </controlPr>
            </control>
          </mc:Choice>
        </mc:AlternateContent>
        <mc:AlternateContent xmlns:mc="http://schemas.openxmlformats.org/markup-compatibility/2006">
          <mc:Choice Requires="x14">
            <control shapeId="10498" r:id="rId43" name="Check Box 258">
              <controlPr defaultSize="0" autoFill="0" autoLine="0" autoPict="0" altText="">
                <anchor moveWithCells="1">
                  <from>
                    <xdr:col>1</xdr:col>
                    <xdr:colOff>0</xdr:colOff>
                    <xdr:row>149</xdr:row>
                    <xdr:rowOff>0</xdr:rowOff>
                  </from>
                  <to>
                    <xdr:col>2</xdr:col>
                    <xdr:colOff>0</xdr:colOff>
                    <xdr:row>149</xdr:row>
                    <xdr:rowOff>213360</xdr:rowOff>
                  </to>
                </anchor>
              </controlPr>
            </control>
          </mc:Choice>
        </mc:AlternateContent>
        <mc:AlternateContent xmlns:mc="http://schemas.openxmlformats.org/markup-compatibility/2006">
          <mc:Choice Requires="x14">
            <control shapeId="10500" r:id="rId44" name="Check Box 260">
              <controlPr defaultSize="0" autoFill="0" autoLine="0" autoPict="0" altText="">
                <anchor moveWithCells="1">
                  <from>
                    <xdr:col>1</xdr:col>
                    <xdr:colOff>0</xdr:colOff>
                    <xdr:row>153</xdr:row>
                    <xdr:rowOff>0</xdr:rowOff>
                  </from>
                  <to>
                    <xdr:col>2</xdr:col>
                    <xdr:colOff>0</xdr:colOff>
                    <xdr:row>153</xdr:row>
                    <xdr:rowOff>213360</xdr:rowOff>
                  </to>
                </anchor>
              </controlPr>
            </control>
          </mc:Choice>
        </mc:AlternateContent>
        <mc:AlternateContent xmlns:mc="http://schemas.openxmlformats.org/markup-compatibility/2006">
          <mc:Choice Requires="x14">
            <control shapeId="10502" r:id="rId45" name="Check Box 262">
              <controlPr defaultSize="0" autoFill="0" autoLine="0" autoPict="0" altText="">
                <anchor moveWithCells="1">
                  <from>
                    <xdr:col>1</xdr:col>
                    <xdr:colOff>7620</xdr:colOff>
                    <xdr:row>155</xdr:row>
                    <xdr:rowOff>0</xdr:rowOff>
                  </from>
                  <to>
                    <xdr:col>2</xdr:col>
                    <xdr:colOff>7620</xdr:colOff>
                    <xdr:row>156</xdr:row>
                    <xdr:rowOff>0</xdr:rowOff>
                  </to>
                </anchor>
              </controlPr>
            </control>
          </mc:Choice>
        </mc:AlternateContent>
        <mc:AlternateContent xmlns:mc="http://schemas.openxmlformats.org/markup-compatibility/2006">
          <mc:Choice Requires="x14">
            <control shapeId="10503" r:id="rId46" name="Check Box 263">
              <controlPr defaultSize="0" autoFill="0" autoLine="0" autoPict="0" altText="">
                <anchor moveWithCells="1">
                  <from>
                    <xdr:col>1</xdr:col>
                    <xdr:colOff>0</xdr:colOff>
                    <xdr:row>157</xdr:row>
                    <xdr:rowOff>0</xdr:rowOff>
                  </from>
                  <to>
                    <xdr:col>2</xdr:col>
                    <xdr:colOff>0</xdr:colOff>
                    <xdr:row>158</xdr:row>
                    <xdr:rowOff>0</xdr:rowOff>
                  </to>
                </anchor>
              </controlPr>
            </control>
          </mc:Choice>
        </mc:AlternateContent>
        <mc:AlternateContent xmlns:mc="http://schemas.openxmlformats.org/markup-compatibility/2006">
          <mc:Choice Requires="x14">
            <control shapeId="10504" r:id="rId47" name="Check Box 264">
              <controlPr defaultSize="0" autoFill="0" autoLine="0" autoPict="0" altText="">
                <anchor moveWithCells="1">
                  <from>
                    <xdr:col>1</xdr:col>
                    <xdr:colOff>0</xdr:colOff>
                    <xdr:row>159</xdr:row>
                    <xdr:rowOff>0</xdr:rowOff>
                  </from>
                  <to>
                    <xdr:col>2</xdr:col>
                    <xdr:colOff>0</xdr:colOff>
                    <xdr:row>160</xdr:row>
                    <xdr:rowOff>0</xdr:rowOff>
                  </to>
                </anchor>
              </controlPr>
            </control>
          </mc:Choice>
        </mc:AlternateContent>
        <mc:AlternateContent xmlns:mc="http://schemas.openxmlformats.org/markup-compatibility/2006">
          <mc:Choice Requires="x14">
            <control shapeId="10505" r:id="rId48" name="Check Box 265">
              <controlPr defaultSize="0" autoFill="0" autoLine="0" autoPict="0" altText="">
                <anchor moveWithCells="1">
                  <from>
                    <xdr:col>1</xdr:col>
                    <xdr:colOff>0</xdr:colOff>
                    <xdr:row>184</xdr:row>
                    <xdr:rowOff>0</xdr:rowOff>
                  </from>
                  <to>
                    <xdr:col>2</xdr:col>
                    <xdr:colOff>0</xdr:colOff>
                    <xdr:row>185</xdr:row>
                    <xdr:rowOff>0</xdr:rowOff>
                  </to>
                </anchor>
              </controlPr>
            </control>
          </mc:Choice>
        </mc:AlternateContent>
        <mc:AlternateContent xmlns:mc="http://schemas.openxmlformats.org/markup-compatibility/2006">
          <mc:Choice Requires="x14">
            <control shapeId="10506" r:id="rId49" name="Check Box 266">
              <controlPr defaultSize="0" autoFill="0" autoLine="0" autoPict="0" altText="">
                <anchor moveWithCells="1">
                  <from>
                    <xdr:col>1</xdr:col>
                    <xdr:colOff>0</xdr:colOff>
                    <xdr:row>186</xdr:row>
                    <xdr:rowOff>0</xdr:rowOff>
                  </from>
                  <to>
                    <xdr:col>2</xdr:col>
                    <xdr:colOff>0</xdr:colOff>
                    <xdr:row>186</xdr:row>
                    <xdr:rowOff>213360</xdr:rowOff>
                  </to>
                </anchor>
              </controlPr>
            </control>
          </mc:Choice>
        </mc:AlternateContent>
        <mc:AlternateContent xmlns:mc="http://schemas.openxmlformats.org/markup-compatibility/2006">
          <mc:Choice Requires="x14">
            <control shapeId="10507" r:id="rId50" name="Check Box 267">
              <controlPr defaultSize="0" autoFill="0" autoLine="0" autoPict="0" altText="">
                <anchor moveWithCells="1">
                  <from>
                    <xdr:col>1</xdr:col>
                    <xdr:colOff>0</xdr:colOff>
                    <xdr:row>188</xdr:row>
                    <xdr:rowOff>0</xdr:rowOff>
                  </from>
                  <to>
                    <xdr:col>2</xdr:col>
                    <xdr:colOff>0</xdr:colOff>
                    <xdr:row>188</xdr:row>
                    <xdr:rowOff>213360</xdr:rowOff>
                  </to>
                </anchor>
              </controlPr>
            </control>
          </mc:Choice>
        </mc:AlternateContent>
        <mc:AlternateContent xmlns:mc="http://schemas.openxmlformats.org/markup-compatibility/2006">
          <mc:Choice Requires="x14">
            <control shapeId="10521" r:id="rId51" name="Check Box 281">
              <controlPr defaultSize="0" autoFill="0" autoLine="0" autoPict="0" altText="">
                <anchor moveWithCells="1">
                  <from>
                    <xdr:col>1</xdr:col>
                    <xdr:colOff>0</xdr:colOff>
                    <xdr:row>77</xdr:row>
                    <xdr:rowOff>0</xdr:rowOff>
                  </from>
                  <to>
                    <xdr:col>2</xdr:col>
                    <xdr:colOff>0</xdr:colOff>
                    <xdr:row>78</xdr:row>
                    <xdr:rowOff>0</xdr:rowOff>
                  </to>
                </anchor>
              </controlPr>
            </control>
          </mc:Choice>
        </mc:AlternateContent>
        <mc:AlternateContent xmlns:mc="http://schemas.openxmlformats.org/markup-compatibility/2006">
          <mc:Choice Requires="x14">
            <control shapeId="10589" r:id="rId52" name="Check Box 349">
              <controlPr defaultSize="0" autoFill="0" autoLine="0" autoPict="0" altText="3 Fahrstreifen">
                <anchor moveWithCells="1">
                  <from>
                    <xdr:col>1</xdr:col>
                    <xdr:colOff>0</xdr:colOff>
                    <xdr:row>56</xdr:row>
                    <xdr:rowOff>0</xdr:rowOff>
                  </from>
                  <to>
                    <xdr:col>2</xdr:col>
                    <xdr:colOff>0</xdr:colOff>
                    <xdr:row>57</xdr:row>
                    <xdr:rowOff>0</xdr:rowOff>
                  </to>
                </anchor>
              </controlPr>
            </control>
          </mc:Choice>
        </mc:AlternateContent>
        <mc:AlternateContent xmlns:mc="http://schemas.openxmlformats.org/markup-compatibility/2006">
          <mc:Choice Requires="x14">
            <control shapeId="10616" r:id="rId53" name="Check Box 376">
              <controlPr defaultSize="0" autoFill="0" autoLine="0" autoPict="0" altText="">
                <anchor moveWithCells="1">
                  <from>
                    <xdr:col>1</xdr:col>
                    <xdr:colOff>0</xdr:colOff>
                    <xdr:row>22</xdr:row>
                    <xdr:rowOff>0</xdr:rowOff>
                  </from>
                  <to>
                    <xdr:col>2</xdr:col>
                    <xdr:colOff>0</xdr:colOff>
                    <xdr:row>22</xdr:row>
                    <xdr:rowOff>213360</xdr:rowOff>
                  </to>
                </anchor>
              </controlPr>
            </control>
          </mc:Choice>
        </mc:AlternateContent>
        <mc:AlternateContent xmlns:mc="http://schemas.openxmlformats.org/markup-compatibility/2006">
          <mc:Choice Requires="x14">
            <control shapeId="10617" r:id="rId54" name="Check Box 377">
              <controlPr defaultSize="0" autoFill="0" autoLine="0" autoPict="0" altText="">
                <anchor moveWithCells="1">
                  <from>
                    <xdr:col>1</xdr:col>
                    <xdr:colOff>7620</xdr:colOff>
                    <xdr:row>12</xdr:row>
                    <xdr:rowOff>0</xdr:rowOff>
                  </from>
                  <to>
                    <xdr:col>2</xdr:col>
                    <xdr:colOff>7620</xdr:colOff>
                    <xdr:row>13</xdr:row>
                    <xdr:rowOff>7620</xdr:rowOff>
                  </to>
                </anchor>
              </controlPr>
            </control>
          </mc:Choice>
        </mc:AlternateContent>
        <mc:AlternateContent xmlns:mc="http://schemas.openxmlformats.org/markup-compatibility/2006">
          <mc:Choice Requires="x14">
            <control shapeId="10618" r:id="rId55" name="Check Box 378">
              <controlPr defaultSize="0" autoFill="0" autoLine="0" autoPict="0" altText="">
                <anchor moveWithCells="1">
                  <from>
                    <xdr:col>1</xdr:col>
                    <xdr:colOff>7620</xdr:colOff>
                    <xdr:row>13</xdr:row>
                    <xdr:rowOff>0</xdr:rowOff>
                  </from>
                  <to>
                    <xdr:col>2</xdr:col>
                    <xdr:colOff>0</xdr:colOff>
                    <xdr:row>14</xdr:row>
                    <xdr:rowOff>7620</xdr:rowOff>
                  </to>
                </anchor>
              </controlPr>
            </control>
          </mc:Choice>
        </mc:AlternateContent>
        <mc:AlternateContent xmlns:mc="http://schemas.openxmlformats.org/markup-compatibility/2006">
          <mc:Choice Requires="x14">
            <control shapeId="10619" r:id="rId56" name="Check Box 379">
              <controlPr defaultSize="0" autoFill="0" autoLine="0" autoPict="0" altText="">
                <anchor moveWithCells="1">
                  <from>
                    <xdr:col>1</xdr:col>
                    <xdr:colOff>7620</xdr:colOff>
                    <xdr:row>14</xdr:row>
                    <xdr:rowOff>0</xdr:rowOff>
                  </from>
                  <to>
                    <xdr:col>2</xdr:col>
                    <xdr:colOff>7620</xdr:colOff>
                    <xdr:row>15</xdr:row>
                    <xdr:rowOff>7620</xdr:rowOff>
                  </to>
                </anchor>
              </controlPr>
            </control>
          </mc:Choice>
        </mc:AlternateContent>
        <mc:AlternateContent xmlns:mc="http://schemas.openxmlformats.org/markup-compatibility/2006">
          <mc:Choice Requires="x14">
            <control shapeId="10621" r:id="rId57" name="Check Box 381">
              <controlPr defaultSize="0" autoFill="0" autoLine="0" autoPict="0" altText="">
                <anchor moveWithCells="1">
                  <from>
                    <xdr:col>1</xdr:col>
                    <xdr:colOff>0</xdr:colOff>
                    <xdr:row>151</xdr:row>
                    <xdr:rowOff>0</xdr:rowOff>
                  </from>
                  <to>
                    <xdr:col>2</xdr:col>
                    <xdr:colOff>0</xdr:colOff>
                    <xdr:row>151</xdr:row>
                    <xdr:rowOff>213360</xdr:rowOff>
                  </to>
                </anchor>
              </controlPr>
            </control>
          </mc:Choice>
        </mc:AlternateContent>
        <mc:AlternateContent xmlns:mc="http://schemas.openxmlformats.org/markup-compatibility/2006">
          <mc:Choice Requires="x14">
            <control shapeId="10624" r:id="rId58" name="Check Box 384">
              <controlPr defaultSize="0" autoFill="0" autoLine="0" autoPict="0" altText="3 Fahrstreifen">
                <anchor moveWithCells="1">
                  <from>
                    <xdr:col>1</xdr:col>
                    <xdr:colOff>0</xdr:colOff>
                    <xdr:row>64</xdr:row>
                    <xdr:rowOff>0</xdr:rowOff>
                  </from>
                  <to>
                    <xdr:col>2</xdr:col>
                    <xdr:colOff>0</xdr:colOff>
                    <xdr:row>64</xdr:row>
                    <xdr:rowOff>213360</xdr:rowOff>
                  </to>
                </anchor>
              </controlPr>
            </control>
          </mc:Choice>
        </mc:AlternateContent>
        <mc:AlternateContent xmlns:mc="http://schemas.openxmlformats.org/markup-compatibility/2006">
          <mc:Choice Requires="x14">
            <control shapeId="10625" r:id="rId59" name="Check Box 385">
              <controlPr defaultSize="0" autoFill="0" autoLine="0" autoPict="0" altText="3 Fahrstreifen">
                <anchor moveWithCells="1">
                  <from>
                    <xdr:col>1</xdr:col>
                    <xdr:colOff>0</xdr:colOff>
                    <xdr:row>68</xdr:row>
                    <xdr:rowOff>0</xdr:rowOff>
                  </from>
                  <to>
                    <xdr:col>2</xdr:col>
                    <xdr:colOff>0</xdr:colOff>
                    <xdr:row>68</xdr:row>
                    <xdr:rowOff>213360</xdr:rowOff>
                  </to>
                </anchor>
              </controlPr>
            </control>
          </mc:Choice>
        </mc:AlternateContent>
        <mc:AlternateContent xmlns:mc="http://schemas.openxmlformats.org/markup-compatibility/2006">
          <mc:Choice Requires="x14">
            <control shapeId="10626" r:id="rId60" name="Check Box 386">
              <controlPr defaultSize="0" autoFill="0" autoLine="0" autoPict="0" altText="">
                <anchor moveWithCells="1">
                  <from>
                    <xdr:col>1</xdr:col>
                    <xdr:colOff>0</xdr:colOff>
                    <xdr:row>95</xdr:row>
                    <xdr:rowOff>0</xdr:rowOff>
                  </from>
                  <to>
                    <xdr:col>2</xdr:col>
                    <xdr:colOff>0</xdr:colOff>
                    <xdr:row>95</xdr:row>
                    <xdr:rowOff>213360</xdr:rowOff>
                  </to>
                </anchor>
              </controlPr>
            </control>
          </mc:Choice>
        </mc:AlternateContent>
        <mc:AlternateContent xmlns:mc="http://schemas.openxmlformats.org/markup-compatibility/2006">
          <mc:Choice Requires="x14">
            <control shapeId="10627" r:id="rId61" name="Check Box 387">
              <controlPr defaultSize="0" autoFill="0" autoLine="0" autoPict="0" altText="">
                <anchor moveWithCells="1">
                  <from>
                    <xdr:col>1</xdr:col>
                    <xdr:colOff>0</xdr:colOff>
                    <xdr:row>97</xdr:row>
                    <xdr:rowOff>0</xdr:rowOff>
                  </from>
                  <to>
                    <xdr:col>2</xdr:col>
                    <xdr:colOff>0</xdr:colOff>
                    <xdr:row>97</xdr:row>
                    <xdr:rowOff>213360</xdr:rowOff>
                  </to>
                </anchor>
              </controlPr>
            </control>
          </mc:Choice>
        </mc:AlternateContent>
        <mc:AlternateContent xmlns:mc="http://schemas.openxmlformats.org/markup-compatibility/2006">
          <mc:Choice Requires="x14">
            <control shapeId="10628" r:id="rId62" name="Check Box 388">
              <controlPr defaultSize="0" autoFill="0" autoLine="0" autoPict="0" altText="">
                <anchor moveWithCells="1">
                  <from>
                    <xdr:col>1</xdr:col>
                    <xdr:colOff>0</xdr:colOff>
                    <xdr:row>163</xdr:row>
                    <xdr:rowOff>0</xdr:rowOff>
                  </from>
                  <to>
                    <xdr:col>2</xdr:col>
                    <xdr:colOff>0</xdr:colOff>
                    <xdr:row>163</xdr:row>
                    <xdr:rowOff>213360</xdr:rowOff>
                  </to>
                </anchor>
              </controlPr>
            </control>
          </mc:Choice>
        </mc:AlternateContent>
        <mc:AlternateContent xmlns:mc="http://schemas.openxmlformats.org/markup-compatibility/2006">
          <mc:Choice Requires="x14">
            <control shapeId="10629" r:id="rId63" name="Check Box 389">
              <controlPr defaultSize="0" autoFill="0" autoLine="0" autoPict="0" altText="">
                <anchor moveWithCells="1">
                  <from>
                    <xdr:col>1</xdr:col>
                    <xdr:colOff>0</xdr:colOff>
                    <xdr:row>169</xdr:row>
                    <xdr:rowOff>0</xdr:rowOff>
                  </from>
                  <to>
                    <xdr:col>2</xdr:col>
                    <xdr:colOff>0</xdr:colOff>
                    <xdr:row>169</xdr:row>
                    <xdr:rowOff>213360</xdr:rowOff>
                  </to>
                </anchor>
              </controlPr>
            </control>
          </mc:Choice>
        </mc:AlternateContent>
        <mc:AlternateContent xmlns:mc="http://schemas.openxmlformats.org/markup-compatibility/2006">
          <mc:Choice Requires="x14">
            <control shapeId="10630" r:id="rId64" name="Check Box 390">
              <controlPr defaultSize="0" autoFill="0" autoLine="0" autoPict="0" altText="">
                <anchor moveWithCells="1">
                  <from>
                    <xdr:col>1</xdr:col>
                    <xdr:colOff>7620</xdr:colOff>
                    <xdr:row>172</xdr:row>
                    <xdr:rowOff>0</xdr:rowOff>
                  </from>
                  <to>
                    <xdr:col>2</xdr:col>
                    <xdr:colOff>7620</xdr:colOff>
                    <xdr:row>173</xdr:row>
                    <xdr:rowOff>0</xdr:rowOff>
                  </to>
                </anchor>
              </controlPr>
            </control>
          </mc:Choice>
        </mc:AlternateContent>
        <mc:AlternateContent xmlns:mc="http://schemas.openxmlformats.org/markup-compatibility/2006">
          <mc:Choice Requires="x14">
            <control shapeId="10631" r:id="rId65" name="Check Box 391">
              <controlPr defaultSize="0" autoFill="0" autoLine="0" autoPict="0" altText="">
                <anchor moveWithCells="1">
                  <from>
                    <xdr:col>1</xdr:col>
                    <xdr:colOff>0</xdr:colOff>
                    <xdr:row>175</xdr:row>
                    <xdr:rowOff>0</xdr:rowOff>
                  </from>
                  <to>
                    <xdr:col>2</xdr:col>
                    <xdr:colOff>0</xdr:colOff>
                    <xdr:row>176</xdr:row>
                    <xdr:rowOff>0</xdr:rowOff>
                  </to>
                </anchor>
              </controlPr>
            </control>
          </mc:Choice>
        </mc:AlternateContent>
        <mc:AlternateContent xmlns:mc="http://schemas.openxmlformats.org/markup-compatibility/2006">
          <mc:Choice Requires="x14">
            <control shapeId="10632" r:id="rId66" name="Check Box 392">
              <controlPr defaultSize="0" autoFill="0" autoLine="0" autoPict="0" altText="">
                <anchor moveWithCells="1">
                  <from>
                    <xdr:col>1</xdr:col>
                    <xdr:colOff>0</xdr:colOff>
                    <xdr:row>177</xdr:row>
                    <xdr:rowOff>0</xdr:rowOff>
                  </from>
                  <to>
                    <xdr:col>2</xdr:col>
                    <xdr:colOff>0</xdr:colOff>
                    <xdr:row>178</xdr:row>
                    <xdr:rowOff>0</xdr:rowOff>
                  </to>
                </anchor>
              </controlPr>
            </control>
          </mc:Choice>
        </mc:AlternateContent>
        <mc:AlternateContent xmlns:mc="http://schemas.openxmlformats.org/markup-compatibility/2006">
          <mc:Choice Requires="x14">
            <control shapeId="10633" r:id="rId67" name="Check Box 393">
              <controlPr defaultSize="0" autoFill="0" autoLine="0" autoPict="0" altText="">
                <anchor moveWithCells="1">
                  <from>
                    <xdr:col>1</xdr:col>
                    <xdr:colOff>0</xdr:colOff>
                    <xdr:row>166</xdr:row>
                    <xdr:rowOff>0</xdr:rowOff>
                  </from>
                  <to>
                    <xdr:col>2</xdr:col>
                    <xdr:colOff>0</xdr:colOff>
                    <xdr:row>166</xdr:row>
                    <xdr:rowOff>213360</xdr:rowOff>
                  </to>
                </anchor>
              </controlPr>
            </control>
          </mc:Choice>
        </mc:AlternateContent>
        <mc:AlternateContent xmlns:mc="http://schemas.openxmlformats.org/markup-compatibility/2006">
          <mc:Choice Requires="x14">
            <control shapeId="10650" r:id="rId68" name="Check Box 410">
              <controlPr defaultSize="0" autoFill="0" autoLine="0" autoPict="0" altText="">
                <anchor moveWithCells="1">
                  <from>
                    <xdr:col>1</xdr:col>
                    <xdr:colOff>0</xdr:colOff>
                    <xdr:row>126</xdr:row>
                    <xdr:rowOff>0</xdr:rowOff>
                  </from>
                  <to>
                    <xdr:col>2</xdr:col>
                    <xdr:colOff>0</xdr:colOff>
                    <xdr:row>127</xdr:row>
                    <xdr:rowOff>0</xdr:rowOff>
                  </to>
                </anchor>
              </controlPr>
            </control>
          </mc:Choice>
        </mc:AlternateContent>
        <mc:AlternateContent xmlns:mc="http://schemas.openxmlformats.org/markup-compatibility/2006">
          <mc:Choice Requires="x14">
            <control shapeId="10651" r:id="rId69" name="Check Box 411">
              <controlPr defaultSize="0" autoFill="0" autoLine="0" autoPict="0" altText="">
                <anchor moveWithCells="1">
                  <from>
                    <xdr:col>1</xdr:col>
                    <xdr:colOff>0</xdr:colOff>
                    <xdr:row>192</xdr:row>
                    <xdr:rowOff>0</xdr:rowOff>
                  </from>
                  <to>
                    <xdr:col>2</xdr:col>
                    <xdr:colOff>0</xdr:colOff>
                    <xdr:row>193</xdr:row>
                    <xdr:rowOff>0</xdr:rowOff>
                  </to>
                </anchor>
              </controlPr>
            </control>
          </mc:Choice>
        </mc:AlternateContent>
        <mc:AlternateContent xmlns:mc="http://schemas.openxmlformats.org/markup-compatibility/2006">
          <mc:Choice Requires="x14">
            <control shapeId="10652" r:id="rId70" name="Check Box 412">
              <controlPr defaultSize="0" autoFill="0" autoLine="0" autoPict="0" altText="">
                <anchor moveWithCells="1">
                  <from>
                    <xdr:col>1</xdr:col>
                    <xdr:colOff>0</xdr:colOff>
                    <xdr:row>18</xdr:row>
                    <xdr:rowOff>0</xdr:rowOff>
                  </from>
                  <to>
                    <xdr:col>2</xdr:col>
                    <xdr:colOff>0</xdr:colOff>
                    <xdr:row>18</xdr:row>
                    <xdr:rowOff>213360</xdr:rowOff>
                  </to>
                </anchor>
              </controlPr>
            </control>
          </mc:Choice>
        </mc:AlternateContent>
        <mc:AlternateContent xmlns:mc="http://schemas.openxmlformats.org/markup-compatibility/2006">
          <mc:Choice Requires="x14">
            <control shapeId="10653" r:id="rId71" name="Check Box 413">
              <controlPr defaultSize="0" autoFill="0" autoLine="0" autoPict="0" altText="">
                <anchor moveWithCells="1">
                  <from>
                    <xdr:col>4</xdr:col>
                    <xdr:colOff>0</xdr:colOff>
                    <xdr:row>44</xdr:row>
                    <xdr:rowOff>0</xdr:rowOff>
                  </from>
                  <to>
                    <xdr:col>5</xdr:col>
                    <xdr:colOff>0</xdr:colOff>
                    <xdr:row>45</xdr:row>
                    <xdr:rowOff>0</xdr:rowOff>
                  </to>
                </anchor>
              </controlPr>
            </control>
          </mc:Choice>
        </mc:AlternateContent>
        <mc:AlternateContent xmlns:mc="http://schemas.openxmlformats.org/markup-compatibility/2006">
          <mc:Choice Requires="x14">
            <control shapeId="10654" r:id="rId72" name="Check Box 414">
              <controlPr defaultSize="0" autoFill="0" autoLine="0" autoPict="0" altText="">
                <anchor moveWithCells="1">
                  <from>
                    <xdr:col>4</xdr:col>
                    <xdr:colOff>0</xdr:colOff>
                    <xdr:row>45</xdr:row>
                    <xdr:rowOff>0</xdr:rowOff>
                  </from>
                  <to>
                    <xdr:col>5</xdr:col>
                    <xdr:colOff>0</xdr:colOff>
                    <xdr:row>46</xdr:row>
                    <xdr:rowOff>0</xdr:rowOff>
                  </to>
                </anchor>
              </controlPr>
            </control>
          </mc:Choice>
        </mc:AlternateContent>
        <mc:AlternateContent xmlns:mc="http://schemas.openxmlformats.org/markup-compatibility/2006">
          <mc:Choice Requires="x14">
            <control shapeId="10655" r:id="rId73" name="Check Box 415">
              <controlPr defaultSize="0" autoFill="0" autoLine="0" autoPict="0" altText="">
                <anchor moveWithCells="1">
                  <from>
                    <xdr:col>4</xdr:col>
                    <xdr:colOff>0</xdr:colOff>
                    <xdr:row>65</xdr:row>
                    <xdr:rowOff>0</xdr:rowOff>
                  </from>
                  <to>
                    <xdr:col>5</xdr:col>
                    <xdr:colOff>0</xdr:colOff>
                    <xdr:row>66</xdr:row>
                    <xdr:rowOff>0</xdr:rowOff>
                  </to>
                </anchor>
              </controlPr>
            </control>
          </mc:Choice>
        </mc:AlternateContent>
        <mc:AlternateContent xmlns:mc="http://schemas.openxmlformats.org/markup-compatibility/2006">
          <mc:Choice Requires="x14">
            <control shapeId="10656" r:id="rId74" name="Check Box 416">
              <controlPr defaultSize="0" autoFill="0" autoLine="0" autoPict="0" altText="">
                <anchor moveWithCells="1">
                  <from>
                    <xdr:col>4</xdr:col>
                    <xdr:colOff>0</xdr:colOff>
                    <xdr:row>66</xdr:row>
                    <xdr:rowOff>0</xdr:rowOff>
                  </from>
                  <to>
                    <xdr:col>5</xdr:col>
                    <xdr:colOff>0</xdr:colOff>
                    <xdr:row>67</xdr:row>
                    <xdr:rowOff>0</xdr:rowOff>
                  </to>
                </anchor>
              </controlPr>
            </control>
          </mc:Choice>
        </mc:AlternateContent>
        <mc:AlternateContent xmlns:mc="http://schemas.openxmlformats.org/markup-compatibility/2006">
          <mc:Choice Requires="x14">
            <control shapeId="10657" r:id="rId75" name="Check Box 417">
              <controlPr defaultSize="0" autoFill="0" autoLine="0" autoPict="0" altText="">
                <anchor moveWithCells="1">
                  <from>
                    <xdr:col>4</xdr:col>
                    <xdr:colOff>0</xdr:colOff>
                    <xdr:row>160</xdr:row>
                    <xdr:rowOff>0</xdr:rowOff>
                  </from>
                  <to>
                    <xdr:col>5</xdr:col>
                    <xdr:colOff>0</xdr:colOff>
                    <xdr:row>161</xdr:row>
                    <xdr:rowOff>0</xdr:rowOff>
                  </to>
                </anchor>
              </controlPr>
            </control>
          </mc:Choice>
        </mc:AlternateContent>
        <mc:AlternateContent xmlns:mc="http://schemas.openxmlformats.org/markup-compatibility/2006">
          <mc:Choice Requires="x14">
            <control shapeId="10658" r:id="rId76" name="Check Box 418">
              <controlPr defaultSize="0" autoFill="0" autoLine="0" autoPict="0" altText="">
                <anchor moveWithCells="1">
                  <from>
                    <xdr:col>4</xdr:col>
                    <xdr:colOff>0</xdr:colOff>
                    <xdr:row>161</xdr:row>
                    <xdr:rowOff>0</xdr:rowOff>
                  </from>
                  <to>
                    <xdr:col>5</xdr:col>
                    <xdr:colOff>0</xdr:colOff>
                    <xdr:row>162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5F7CCB7A-9D52-4286-AAD6-ED2CEF652194}">
            <xm:f>NOT(Projektgrundlagen!$I$25)</xm:f>
            <x14:dxf>
              <font>
                <strike/>
                <color theme="0" tint="-0.14996795556505021"/>
              </font>
              <fill>
                <patternFill>
                  <bgColor theme="0"/>
                </patternFill>
              </fill>
            </x14:dxf>
          </x14:cfRule>
          <xm:sqref>B32:B51 H32:J51</xm:sqref>
        </x14:conditionalFormatting>
        <x14:conditionalFormatting xmlns:xm="http://schemas.microsoft.com/office/excel/2006/main">
          <x14:cfRule type="expression" priority="26" id="{4180619C-50CC-4187-A9FC-612FD2C2B78A}">
            <xm:f>NOT(Projektgrundlagen!$I$25)</xm:f>
            <x14:dxf>
              <font>
                <strike/>
                <color theme="0" tint="-0.14996795556505021"/>
              </font>
              <fill>
                <patternFill>
                  <bgColor theme="0"/>
                </patternFill>
              </fill>
            </x14:dxf>
          </x14:cfRule>
          <xm:sqref>B78:E84 H78:J84</xm:sqref>
        </x14:conditionalFormatting>
        <x14:conditionalFormatting xmlns:xm="http://schemas.microsoft.com/office/excel/2006/main">
          <x14:cfRule type="expression" priority="53" id="{692E8D61-5F6D-41EC-A68B-DC5661A26B40}">
            <xm:f>NOT(Projektgrundlagen!$I$25)</xm:f>
            <x14:dxf>
              <font>
                <strike/>
                <color theme="0" tint="-0.14996795556505021"/>
              </font>
              <fill>
                <patternFill>
                  <bgColor theme="0"/>
                </patternFill>
              </fill>
            </x14:dxf>
          </x14:cfRule>
          <xm:sqref>B88:E99 H88:J99</xm:sqref>
        </x14:conditionalFormatting>
        <x14:conditionalFormatting xmlns:xm="http://schemas.microsoft.com/office/excel/2006/main">
          <x14:cfRule type="expression" priority="60" id="{4CB0C5FA-D32C-4452-8AED-CAF98EE197A7}">
            <xm:f>NOT(Projektgrundlagen!$I$25)</xm:f>
            <x14:dxf>
              <font>
                <strike/>
                <color theme="0" tint="-0.14996795556505021"/>
              </font>
              <fill>
                <patternFill>
                  <bgColor theme="0"/>
                </patternFill>
              </fill>
            </x14:dxf>
          </x14:cfRule>
          <xm:sqref>B185:E190</xm:sqref>
        </x14:conditionalFormatting>
        <x14:conditionalFormatting xmlns:xm="http://schemas.microsoft.com/office/excel/2006/main">
          <x14:cfRule type="expression" priority="58" id="{A2A2C3C8-5A2D-41A8-B81F-4E886CC9D897}">
            <xm:f>NOT(Projektgrundlagen!$I$25)</xm:f>
            <x14:dxf>
              <font>
                <strike/>
                <color theme="0" tint="-0.14996795556505021"/>
              </font>
              <fill>
                <patternFill>
                  <bgColor theme="0"/>
                </patternFill>
              </fill>
            </x14:dxf>
          </x14:cfRule>
          <xm:sqref>B13:J15 B16:D16 J16 B19:E28 H19:J28 B52:E52 C73:E73 B103:E114 H103:J114 H119:J122 B119:B138 H124:J125 I126:J126 H127:J128 I129:J129 H130:J133 H135:J138 H185:J190</xm:sqref>
        </x14:conditionalFormatting>
        <x14:conditionalFormatting xmlns:xm="http://schemas.microsoft.com/office/excel/2006/main">
          <x14:cfRule type="expression" priority="226" id="{744E5E5F-2453-446B-9576-E4F31EEED6EB}">
            <xm:f>NOT(Projektgrundlagen!$I$25)</xm:f>
            <x14:dxf>
              <font>
                <strike/>
                <color theme="0" tint="-0.14996795556505021"/>
              </font>
              <fill>
                <patternFill>
                  <bgColor theme="0"/>
                </patternFill>
              </fill>
            </x14:dxf>
          </x14:cfRule>
          <xm:sqref>B53:J53</xm:sqref>
        </x14:conditionalFormatting>
        <x14:conditionalFormatting xmlns:xm="http://schemas.microsoft.com/office/excel/2006/main">
          <x14:cfRule type="expression" priority="222" id="{E0808D7D-8BF5-4EB3-BD00-314728ECC1CB}">
            <xm:f>NOT(Projektgrundlagen!$I$25)</xm:f>
            <x14:dxf>
              <font>
                <strike/>
                <color theme="0" tint="-0.14996795556505021"/>
              </font>
              <fill>
                <patternFill>
                  <bgColor theme="0"/>
                </patternFill>
              </fill>
            </x14:dxf>
          </x14:cfRule>
          <xm:sqref>B115:J115</xm:sqref>
        </x14:conditionalFormatting>
        <x14:conditionalFormatting xmlns:xm="http://schemas.microsoft.com/office/excel/2006/main">
          <x14:cfRule type="expression" priority="202" id="{C64D4A1F-9DCB-4FB4-8E42-B21B84AE150B}">
            <xm:f>NOT(Projektgrundlagen!$I$25)</xm:f>
            <x14:dxf>
              <font>
                <strike/>
                <color theme="0" tint="-0.14996795556505021"/>
              </font>
              <fill>
                <patternFill>
                  <bgColor theme="0"/>
                </patternFill>
              </fill>
            </x14:dxf>
          </x14:cfRule>
          <xm:sqref>C32:C44</xm:sqref>
        </x14:conditionalFormatting>
        <x14:conditionalFormatting xmlns:xm="http://schemas.microsoft.com/office/excel/2006/main">
          <x14:cfRule type="expression" priority="189" id="{E05CADFE-0657-4BA1-8120-B6963B353CA0}">
            <xm:f>NOT(Projektgrundlagen!$I$25)</xm:f>
            <x14:dxf>
              <font>
                <strike/>
                <color theme="0" tint="-0.14996795556505021"/>
              </font>
              <fill>
                <patternFill>
                  <bgColor theme="0"/>
                </patternFill>
              </fill>
            </x14:dxf>
          </x14:cfRule>
          <xm:sqref>C47:C51</xm:sqref>
        </x14:conditionalFormatting>
        <x14:conditionalFormatting xmlns:xm="http://schemas.microsoft.com/office/excel/2006/main">
          <x14:cfRule type="expression" priority="172" id="{7F47BCD7-3406-4659-A646-3150FBB7DE99}">
            <xm:f>NOT(Projektgrundlagen!$I$25)</xm:f>
            <x14:dxf>
              <font>
                <strike/>
                <color theme="0" tint="-0.14996795556505021"/>
              </font>
              <fill>
                <patternFill>
                  <bgColor theme="0"/>
                </patternFill>
              </fill>
            </x14:dxf>
          </x14:cfRule>
          <xm:sqref>C57:C65</xm:sqref>
        </x14:conditionalFormatting>
        <x14:conditionalFormatting xmlns:xm="http://schemas.microsoft.com/office/excel/2006/main">
          <x14:cfRule type="expression" priority="174" id="{4652B9C9-BD2F-49C2-B461-1B0C481DB508}">
            <xm:f>NOT(Projektgrundlagen!$I$25)</xm:f>
            <x14:dxf>
              <font>
                <strike/>
                <color theme="0" tint="-0.14996795556505021"/>
              </font>
              <fill>
                <patternFill>
                  <bgColor theme="0"/>
                </patternFill>
              </fill>
            </x14:dxf>
          </x14:cfRule>
          <xm:sqref>C68:C72</xm:sqref>
        </x14:conditionalFormatting>
        <x14:conditionalFormatting xmlns:xm="http://schemas.microsoft.com/office/excel/2006/main">
          <x14:cfRule type="expression" priority="105" id="{0D30B8B1-78D0-4F08-A014-49EB7CE27861}">
            <xm:f>NOT(Projektgrundlagen!$I$25)</xm:f>
            <x14:dxf>
              <font>
                <strike/>
                <color theme="0" tint="-0.14996795556505021"/>
              </font>
              <fill>
                <patternFill>
                  <bgColor theme="0"/>
                </patternFill>
              </fill>
            </x14:dxf>
          </x14:cfRule>
          <xm:sqref>C142:C160</xm:sqref>
        </x14:conditionalFormatting>
        <x14:conditionalFormatting xmlns:xm="http://schemas.microsoft.com/office/excel/2006/main">
          <x14:cfRule type="expression" priority="51" id="{AAF10856-802D-4EA1-B49A-A2BF0FD8C381}">
            <xm:f>NOT(Projektgrundlagen!$I$25)</xm:f>
            <x14:dxf>
              <font>
                <strike/>
                <color theme="0" tint="-0.14996795556505021"/>
              </font>
              <fill>
                <patternFill>
                  <bgColor theme="0"/>
                </patternFill>
              </fill>
            </x14:dxf>
          </x14:cfRule>
          <xm:sqref>C163:C165</xm:sqref>
        </x14:conditionalFormatting>
        <x14:conditionalFormatting xmlns:xm="http://schemas.microsoft.com/office/excel/2006/main">
          <x14:cfRule type="expression" priority="74" id="{14E96C9B-925E-4B83-9E0B-5067ED47DC73}">
            <xm:f>NOT(Projektgrundlagen!$I$25)</xm:f>
            <x14:dxf>
              <font>
                <strike/>
                <color theme="0" tint="-0.14996795556505021"/>
              </font>
              <fill>
                <patternFill>
                  <bgColor theme="0"/>
                </patternFill>
              </fill>
            </x14:dxf>
          </x14:cfRule>
          <xm:sqref>C119:E122</xm:sqref>
        </x14:conditionalFormatting>
        <x14:conditionalFormatting xmlns:xm="http://schemas.microsoft.com/office/excel/2006/main">
          <x14:cfRule type="expression" priority="71" id="{902EA34C-367D-4DE4-A16E-BBBB2E8E13D3}">
            <xm:f>NOT(Projektgrundlagen!$I$25)</xm:f>
            <x14:dxf>
              <font>
                <strike/>
                <color theme="0" tint="-0.14996795556505021"/>
              </font>
              <fill>
                <patternFill>
                  <bgColor theme="0"/>
                </patternFill>
              </fill>
            </x14:dxf>
          </x14:cfRule>
          <xm:sqref>C124:E133</xm:sqref>
        </x14:conditionalFormatting>
        <x14:conditionalFormatting xmlns:xm="http://schemas.microsoft.com/office/excel/2006/main">
          <x14:cfRule type="expression" priority="69" id="{133F5B47-4532-4741-96E7-BF5A1F195736}">
            <xm:f>NOT(Projektgrundlagen!$I$25)</xm:f>
            <x14:dxf>
              <font>
                <strike/>
                <color theme="0" tint="-0.14996795556505021"/>
              </font>
              <fill>
                <patternFill>
                  <bgColor theme="0"/>
                </patternFill>
              </fill>
            </x14:dxf>
          </x14:cfRule>
          <xm:sqref>C135:E138</xm:sqref>
        </x14:conditionalFormatting>
        <x14:conditionalFormatting xmlns:xm="http://schemas.microsoft.com/office/excel/2006/main">
          <x14:cfRule type="expression" priority="23" id="{6E642B6E-03BF-4985-BECA-0372192C5B51}">
            <xm:f>NOT(Projektgrundlagen!$I$25)</xm:f>
            <x14:dxf>
              <font>
                <strike/>
                <color theme="0" tint="-0.14996795556505021"/>
              </font>
              <fill>
                <patternFill>
                  <bgColor theme="0"/>
                </patternFill>
              </fill>
            </x14:dxf>
          </x14:cfRule>
          <xm:sqref>C166:E180</xm:sqref>
        </x14:conditionalFormatting>
        <x14:conditionalFormatting xmlns:xm="http://schemas.microsoft.com/office/excel/2006/main">
          <x14:cfRule type="expression" priority="18" id="{53B97AC5-738C-4B72-B2A6-0654BDF26076}">
            <xm:f>NOT(Projektgrundlagen!$I$25)</xm:f>
            <x14:dxf>
              <font>
                <strike/>
                <color theme="0" tint="-0.14996795556505021"/>
              </font>
              <fill>
                <patternFill>
                  <bgColor theme="0"/>
                </patternFill>
              </fill>
            </x14:dxf>
          </x14:cfRule>
          <xm:sqref>C193:E193 B193:B194</xm:sqref>
        </x14:conditionalFormatting>
        <x14:conditionalFormatting xmlns:xm="http://schemas.microsoft.com/office/excel/2006/main">
          <x14:cfRule type="expression" priority="178" id="{AC5D5880-FE65-475F-B564-5BFAA641DB9B}">
            <xm:f>NOT(Projektgrundlagen!$I$25)</xm:f>
            <x14:dxf>
              <font>
                <strike/>
                <color theme="0" tint="-0.14996795556505021"/>
              </font>
              <fill>
                <patternFill>
                  <bgColor theme="0"/>
                </patternFill>
              </fill>
            </x14:dxf>
          </x14:cfRule>
          <xm:sqref>C74:J74</xm:sqref>
        </x14:conditionalFormatting>
        <x14:conditionalFormatting xmlns:xm="http://schemas.microsoft.com/office/excel/2006/main">
          <x14:cfRule type="expression" priority="139" id="{CF8FCC73-C03D-4FE5-8362-76291D9549C7}">
            <xm:f>NOT(Projektgrundlagen!$I$25)</xm:f>
            <x14:dxf>
              <font>
                <strike/>
                <color theme="0" tint="-0.14996795556505021"/>
              </font>
              <fill>
                <patternFill>
                  <bgColor theme="0"/>
                </patternFill>
              </fill>
            </x14:dxf>
          </x14:cfRule>
          <xm:sqref>C123:J123</xm:sqref>
        </x14:conditionalFormatting>
        <x14:conditionalFormatting xmlns:xm="http://schemas.microsoft.com/office/excel/2006/main">
          <x14:cfRule type="expression" priority="133" id="{D7B1D6B2-A536-453B-A127-D367AA8BE121}">
            <xm:f>NOT(Projektgrundlagen!$I$25)</xm:f>
            <x14:dxf>
              <font>
                <strike/>
                <color theme="0" tint="-0.14996795556505021"/>
              </font>
              <fill>
                <patternFill>
                  <bgColor theme="0"/>
                </patternFill>
              </fill>
            </x14:dxf>
          </x14:cfRule>
          <xm:sqref>C134:J134</xm:sqref>
        </x14:conditionalFormatting>
        <x14:conditionalFormatting xmlns:xm="http://schemas.microsoft.com/office/excel/2006/main">
          <x14:cfRule type="expression" priority="156" id="{E48832C6-1B96-45A1-8AFE-E8CF913D7F56}">
            <xm:f>NOT(Projektgrundlagen!$I$25)</xm:f>
            <x14:dxf>
              <font>
                <strike/>
                <color theme="0" tint="-0.14996795556505021"/>
              </font>
              <fill>
                <patternFill>
                  <bgColor theme="0"/>
                </patternFill>
              </fill>
            </x14:dxf>
          </x14:cfRule>
          <xm:sqref>C181:J181</xm:sqref>
        </x14:conditionalFormatting>
        <x14:conditionalFormatting xmlns:xm="http://schemas.microsoft.com/office/excel/2006/main">
          <x14:cfRule type="expression" priority="19" id="{1F05FB33-6708-420D-9266-88F5B1D9F33A}">
            <xm:f>NOT(Projektgrundlagen!$I$25)</xm:f>
            <x14:dxf>
              <font>
                <strike/>
                <color theme="0" tint="-0.14996795556505021"/>
              </font>
              <fill>
                <patternFill>
                  <bgColor theme="0"/>
                </patternFill>
              </fill>
            </x14:dxf>
          </x14:cfRule>
          <xm:sqref>C194:J194</xm:sqref>
        </x14:conditionalFormatting>
        <x14:conditionalFormatting xmlns:xm="http://schemas.microsoft.com/office/excel/2006/main">
          <x14:cfRule type="expression" priority="13" id="{74C58E8A-0EE9-4C2B-9553-B116C654B58B}">
            <xm:f>NOT(Projektgrundlagen!$I$25)</xm:f>
            <x14:dxf>
              <font>
                <strike/>
                <color theme="0" tint="-0.14996795556505021"/>
              </font>
              <fill>
                <patternFill>
                  <bgColor theme="0"/>
                </patternFill>
              </fill>
            </x14:dxf>
          </x14:cfRule>
          <xm:sqref>D32:E51</xm:sqref>
        </x14:conditionalFormatting>
        <x14:conditionalFormatting xmlns:xm="http://schemas.microsoft.com/office/excel/2006/main">
          <x14:cfRule type="expression" priority="8" id="{2DFC4045-291C-4878-ACD7-470A8EFB85EA}">
            <xm:f>NOT(Projektgrundlagen!$I$25)</xm:f>
            <x14:dxf>
              <font>
                <strike/>
                <color theme="0" tint="-0.14996795556505021"/>
              </font>
              <fill>
                <patternFill>
                  <bgColor theme="0"/>
                </patternFill>
              </fill>
            </x14:dxf>
          </x14:cfRule>
          <xm:sqref>D57:E72</xm:sqref>
        </x14:conditionalFormatting>
        <x14:conditionalFormatting xmlns:xm="http://schemas.microsoft.com/office/excel/2006/main">
          <x14:cfRule type="expression" priority="3" id="{98ED598F-D6EE-4B59-B155-7FD98E2B2152}">
            <xm:f>NOT(Projektgrundlagen!$I$25)</xm:f>
            <x14:dxf>
              <font>
                <strike/>
                <color theme="0" tint="-0.14996795556505021"/>
              </font>
              <fill>
                <patternFill>
                  <bgColor theme="0"/>
                </patternFill>
              </fill>
            </x14:dxf>
          </x14:cfRule>
          <xm:sqref>D142:E165</xm:sqref>
        </x14:conditionalFormatting>
        <x14:conditionalFormatting xmlns:xm="http://schemas.microsoft.com/office/excel/2006/main">
          <x14:cfRule type="expression" priority="11" id="{1B5229FE-AEC7-41F7-A63F-EA8B736463EC}">
            <xm:f>NOT(Projektgrundlagen!$I$25)</xm:f>
            <x14:dxf>
              <font>
                <strike/>
                <color theme="0" tint="-0.14996795556505021"/>
              </font>
              <fill>
                <patternFill>
                  <bgColor theme="0"/>
                </patternFill>
              </fill>
            </x14:dxf>
          </x14:cfRule>
          <xm:sqref>F45:F46</xm:sqref>
        </x14:conditionalFormatting>
        <x14:conditionalFormatting xmlns:xm="http://schemas.microsoft.com/office/excel/2006/main">
          <x14:cfRule type="expression" priority="6" id="{F3C2BF57-1854-4A98-A73B-30E019A848A3}">
            <xm:f>NOT(Projektgrundlagen!$I$25)</xm:f>
            <x14:dxf>
              <font>
                <strike/>
                <color theme="0" tint="-0.14996795556505021"/>
              </font>
              <fill>
                <patternFill>
                  <bgColor theme="0"/>
                </patternFill>
              </fill>
            </x14:dxf>
          </x14:cfRule>
          <xm:sqref>F66:F67</xm:sqref>
        </x14:conditionalFormatting>
        <x14:conditionalFormatting xmlns:xm="http://schemas.microsoft.com/office/excel/2006/main">
          <x14:cfRule type="expression" priority="1" id="{73950C8F-C392-40BB-BBF7-96FA868E8725}">
            <xm:f>NOT(Projektgrundlagen!$I$25)</xm:f>
            <x14:dxf>
              <font>
                <strike/>
                <color theme="0" tint="-0.14996795556505021"/>
              </font>
              <fill>
                <patternFill>
                  <bgColor theme="0"/>
                </patternFill>
              </fill>
            </x14:dxf>
          </x14:cfRule>
          <xm:sqref>F161:F162</xm:sqref>
        </x14:conditionalFormatting>
        <x14:conditionalFormatting xmlns:xm="http://schemas.microsoft.com/office/excel/2006/main">
          <x14:cfRule type="expression" priority="7" id="{39CB3A93-DE60-43BF-8F07-1AE43AEB0D91}">
            <xm:f>NOT(Projektgrundlagen!$I$25)</xm:f>
            <x14:dxf>
              <font>
                <strike/>
                <color theme="0" tint="-0.14996795556505021"/>
              </font>
              <fill>
                <patternFill>
                  <bgColor theme="0"/>
                </patternFill>
              </fill>
            </x14:dxf>
          </x14:cfRule>
          <xm:sqref>H57:J72 B57:B74</xm:sqref>
        </x14:conditionalFormatting>
        <x14:conditionalFormatting xmlns:xm="http://schemas.microsoft.com/office/excel/2006/main">
          <x14:cfRule type="expression" priority="2" id="{8B69A474-AB31-4A47-A8CD-8ED1825E0561}">
            <xm:f>NOT(Projektgrundlagen!$I$25)</xm:f>
            <x14:dxf>
              <font>
                <strike/>
                <color theme="0" tint="-0.14996795556505021"/>
              </font>
              <fill>
                <patternFill>
                  <bgColor theme="0"/>
                </patternFill>
              </fill>
            </x14:dxf>
          </x14:cfRule>
          <xm:sqref>H142:J165 B142:B181</xm:sqref>
        </x14:conditionalFormatting>
        <x14:conditionalFormatting xmlns:xm="http://schemas.microsoft.com/office/excel/2006/main">
          <x14:cfRule type="expression" priority="22" id="{3BC5BC43-001F-4D05-BFF5-0BF05837028C}">
            <xm:f>NOT(Projektgrundlagen!$I$25)</xm:f>
            <x14:dxf>
              <font>
                <strike/>
                <color theme="0" tint="-0.14996795556505021"/>
              </font>
              <fill>
                <patternFill>
                  <bgColor theme="0"/>
                </patternFill>
              </fill>
            </x14:dxf>
          </x14:cfRule>
          <xm:sqref>H170:J174</xm:sqref>
        </x14:conditionalFormatting>
        <x14:conditionalFormatting xmlns:xm="http://schemas.microsoft.com/office/excel/2006/main">
          <x14:cfRule type="expression" priority="212" id="{89A90B4C-61D7-4AF8-8F08-FF982FC6709B}">
            <xm:f>NOT(Projektgrundlagen!$I$25)</xm:f>
            <x14:dxf>
              <font>
                <strike/>
                <color theme="0" tint="-0.14996795556505021"/>
              </font>
              <fill>
                <patternFill>
                  <bgColor theme="0"/>
                </patternFill>
              </fill>
            </x14:dxf>
          </x14:cfRule>
          <xm:sqref>I52:J52</xm:sqref>
        </x14:conditionalFormatting>
        <x14:conditionalFormatting xmlns:xm="http://schemas.microsoft.com/office/excel/2006/main">
          <x14:cfRule type="expression" priority="176" id="{76CD3CDD-4541-4A4F-B18A-D4F76B51B3BA}">
            <xm:f>NOT(Projektgrundlagen!$I$25)</xm:f>
            <x14:dxf>
              <font>
                <strike/>
                <color theme="0" tint="-0.14996795556505021"/>
              </font>
              <fill>
                <patternFill>
                  <bgColor theme="0"/>
                </patternFill>
              </fill>
            </x14:dxf>
          </x14:cfRule>
          <xm:sqref>I73:J73</xm:sqref>
        </x14:conditionalFormatting>
        <x14:conditionalFormatting xmlns:xm="http://schemas.microsoft.com/office/excel/2006/main">
          <x14:cfRule type="expression" priority="33" id="{8628014F-02DD-4890-A5CC-9EE09FE372DD}">
            <xm:f>NOT(Projektgrundlagen!$I$25)</xm:f>
            <x14:dxf>
              <font>
                <strike/>
                <color theme="0" tint="-0.14996795556505021"/>
              </font>
              <fill>
                <patternFill>
                  <bgColor theme="0"/>
                </patternFill>
              </fill>
            </x14:dxf>
          </x14:cfRule>
          <xm:sqref>I166:J166 H167:J168 I175:J175 H176:J179</xm:sqref>
        </x14:conditionalFormatting>
        <x14:conditionalFormatting xmlns:xm="http://schemas.microsoft.com/office/excel/2006/main">
          <x14:cfRule type="expression" priority="30" id="{70215C75-B256-45B4-AC34-A5FE59C85B2E}">
            <xm:f>NOT(Projektgrundlagen!$I$25)</xm:f>
            <x14:dxf>
              <font>
                <strike/>
                <color theme="0" tint="-0.14996795556505021"/>
              </font>
              <fill>
                <patternFill>
                  <bgColor theme="0"/>
                </patternFill>
              </fill>
            </x14:dxf>
          </x14:cfRule>
          <xm:sqref>I169:J169</xm:sqref>
        </x14:conditionalFormatting>
        <x14:conditionalFormatting xmlns:xm="http://schemas.microsoft.com/office/excel/2006/main">
          <x14:cfRule type="expression" priority="154" id="{75C03125-8B3A-41E2-AD07-E34C3C4B4F57}">
            <xm:f>NOT(Projektgrundlagen!$I$25)</xm:f>
            <x14:dxf>
              <font>
                <strike/>
                <color theme="0" tint="-0.14996795556505021"/>
              </font>
              <fill>
                <patternFill>
                  <bgColor theme="0"/>
                </patternFill>
              </fill>
            </x14:dxf>
          </x14:cfRule>
          <xm:sqref>I180:J180</xm:sqref>
        </x14:conditionalFormatting>
        <x14:conditionalFormatting xmlns:xm="http://schemas.microsoft.com/office/excel/2006/main">
          <x14:cfRule type="expression" priority="20" id="{FF3251E2-6487-49E4-8341-C7F2FEFBDC00}">
            <xm:f>NOT(Projektgrundlagen!$I$25)</xm:f>
            <x14:dxf>
              <font>
                <strike/>
                <color theme="0" tint="-0.14996795556505021"/>
              </font>
              <fill>
                <patternFill>
                  <bgColor theme="0"/>
                </patternFill>
              </fill>
            </x14:dxf>
          </x14:cfRule>
          <xm:sqref>I193:J193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tabColor theme="7" tint="0.59999389629810485"/>
    <pageSetUpPr fitToPage="1"/>
  </sheetPr>
  <dimension ref="A1:O206"/>
  <sheetViews>
    <sheetView showGridLines="0" showRuler="0" zoomScaleNormal="100" zoomScaleSheetLayoutView="110" workbookViewId="0">
      <pane ySplit="12" topLeftCell="A13" activePane="bottomLeft" state="frozen"/>
      <selection activeCell="F38" sqref="F38"/>
      <selection pane="bottomLeft" activeCell="F5" sqref="F5"/>
    </sheetView>
  </sheetViews>
  <sheetFormatPr baseColWidth="10" defaultColWidth="0" defaultRowHeight="16.8" zeroHeight="1"/>
  <cols>
    <col min="1" max="1" width="5.6640625" style="510" customWidth="1"/>
    <col min="2" max="2" width="3.33203125" style="91" customWidth="1"/>
    <col min="3" max="5" width="3.33203125" style="87" customWidth="1"/>
    <col min="6" max="6" width="51.6640625" style="87" customWidth="1"/>
    <col min="7" max="8" width="7.33203125" style="87" customWidth="1"/>
    <col min="9" max="9" width="12.33203125" style="87" customWidth="1"/>
    <col min="10" max="10" width="12.6640625" style="87" customWidth="1"/>
    <col min="11" max="11" width="2.6640625" style="87" customWidth="1"/>
    <col min="12" max="12" width="12.6640625" style="88" hidden="1" customWidth="1"/>
    <col min="13" max="13" width="12.6640625" style="155" hidden="1" customWidth="1"/>
    <col min="14" max="16384" width="12.6640625" style="87" hidden="1"/>
  </cols>
  <sheetData>
    <row r="1" spans="1:15"/>
    <row r="2" spans="1:15" s="1" customFormat="1" ht="16.5" customHeight="1">
      <c r="A2" s="468"/>
      <c r="B2" s="1515" t="str">
        <f>Projektgrundlagen!L20</f>
        <v xml:space="preserve">Objektplanung Gebäude </v>
      </c>
      <c r="C2" s="1515"/>
      <c r="D2" s="1515"/>
      <c r="E2" s="1515"/>
      <c r="F2" s="1516"/>
      <c r="G2" s="1635" t="str">
        <f>IF(Projektgrundlagen!F2="","",Projektgrundlagen!F2)</f>
        <v>VII.10.4</v>
      </c>
      <c r="H2" s="1599"/>
      <c r="I2" s="1599" t="s">
        <v>327</v>
      </c>
      <c r="J2" s="1600"/>
      <c r="K2" s="1699" t="s">
        <v>354</v>
      </c>
      <c r="L2" s="72" t="s">
        <v>59</v>
      </c>
      <c r="M2" s="154"/>
      <c r="O2" s="207" t="s">
        <v>169</v>
      </c>
    </row>
    <row r="3" spans="1:15" s="1" customFormat="1">
      <c r="A3" s="468"/>
      <c r="B3" s="1529" t="s">
        <v>472</v>
      </c>
      <c r="C3" s="1529"/>
      <c r="D3" s="1529"/>
      <c r="E3" s="1529"/>
      <c r="F3" s="1530"/>
      <c r="G3" s="1636" t="str">
        <f>IF(Projektgrundlagen!F3="","",Projektgrundlagen!F3)</f>
        <v>Vertrags-Nr.:</v>
      </c>
      <c r="H3" s="1637"/>
      <c r="I3" s="1632" t="str">
        <f>IF(Projektgrundlagen!G3="","",Projektgrundlagen!G3)</f>
        <v>000.792.717</v>
      </c>
      <c r="J3" s="1633"/>
      <c r="K3" s="1699"/>
      <c r="L3" s="85"/>
      <c r="M3" s="154"/>
      <c r="O3" s="1" t="str">
        <f ca="1">MID(CELL("dateiname",A2),FIND("]",CELL("dateiname",A2))+1,255)</f>
        <v>HB-C2 Grundlstg Bund</v>
      </c>
    </row>
    <row r="4" spans="1:15" s="1" customFormat="1" ht="7.5" customHeight="1">
      <c r="A4" s="468"/>
      <c r="B4" s="373"/>
      <c r="C4" s="373"/>
      <c r="D4" s="373"/>
      <c r="E4" s="373"/>
      <c r="F4" s="373"/>
      <c r="G4" s="146"/>
      <c r="H4" s="146"/>
      <c r="I4" s="189"/>
      <c r="J4" s="189"/>
      <c r="K4" s="1699"/>
      <c r="L4" s="85"/>
      <c r="M4" s="154"/>
    </row>
    <row r="5" spans="1:15" s="1" customFormat="1">
      <c r="A5" s="468"/>
      <c r="B5" s="1641" t="str">
        <f>IF(Projektgrundlagen!B5="","",Projektgrundlagen!B5)</f>
        <v>Maßnahmennr:</v>
      </c>
      <c r="C5" s="1642"/>
      <c r="D5" s="1642"/>
      <c r="E5" s="1642"/>
      <c r="F5" s="391" t="str">
        <f>IF(Projektgrundlagen!E5="","",Projektgrundlagen!E5)</f>
        <v>B14HA150700001</v>
      </c>
      <c r="G5" s="1638" t="str">
        <f>IF(Projektgrundlagen!F5="","",Projektgrundlagen!F5)</f>
        <v>Vergabe-Nr.:</v>
      </c>
      <c r="H5" s="1638"/>
      <c r="I5" s="1607" t="str">
        <f>IF(Projektgrundlagen!G5="","",Projektgrundlagen!G5)</f>
        <v>26-004187</v>
      </c>
      <c r="J5" s="1634"/>
      <c r="K5" s="1699"/>
      <c r="L5" s="85"/>
      <c r="M5" s="154"/>
    </row>
    <row r="6" spans="1:15" s="1" customFormat="1">
      <c r="A6" s="468"/>
      <c r="B6" s="1643" t="str">
        <f>IF(Projektgrundlagen!B6="","",Projektgrundlagen!B6)</f>
        <v>Maßnahme:</v>
      </c>
      <c r="C6" s="1644"/>
      <c r="D6" s="1644"/>
      <c r="E6" s="1644"/>
      <c r="F6" s="1647" t="str">
        <f>IF(Projektgrundlagen!E6="","",Projektgrundlagen!E6)</f>
        <v>Neubau ASG TUM Campus Taufkirchen / Ottobrunn</v>
      </c>
      <c r="G6" s="1647"/>
      <c r="H6" s="1647"/>
      <c r="I6" s="1647"/>
      <c r="J6" s="1648"/>
      <c r="K6" s="1699"/>
      <c r="L6" s="85"/>
      <c r="M6" s="154"/>
    </row>
    <row r="7" spans="1:15" s="1" customFormat="1">
      <c r="A7" s="468"/>
      <c r="B7" s="1645" t="str">
        <f>IF(Projektgrundlagen!B7="","",Projektgrundlagen!B7)</f>
        <v/>
      </c>
      <c r="C7" s="1646"/>
      <c r="D7" s="1646"/>
      <c r="E7" s="1646"/>
      <c r="F7" s="1649" t="str">
        <f>IF(Projektgrundlagen!E7="","",Projektgrundlagen!E7)</f>
        <v/>
      </c>
      <c r="G7" s="1649"/>
      <c r="H7" s="1649"/>
      <c r="I7" s="1649"/>
      <c r="J7" s="1650"/>
      <c r="K7" s="1699"/>
      <c r="L7" s="85"/>
      <c r="M7" s="154"/>
    </row>
    <row r="8" spans="1:15" s="1" customFormat="1">
      <c r="A8" s="468"/>
      <c r="B8" s="1618" t="str">
        <f>IF(Projektgrundlagen!B8="","",Projektgrundlagen!B8)</f>
        <v>Bieter:</v>
      </c>
      <c r="C8" s="1619"/>
      <c r="D8" s="1619"/>
      <c r="E8" s="1619"/>
      <c r="F8" s="1616" t="str">
        <f>IF(Projektgrundlagen!E8="","",Projektgrundlagen!E8)</f>
        <v/>
      </c>
      <c r="G8" s="1616"/>
      <c r="H8" s="1616"/>
      <c r="I8" s="1616"/>
      <c r="J8" s="1617"/>
      <c r="K8" s="1699"/>
      <c r="L8" s="85"/>
      <c r="M8" s="154"/>
    </row>
    <row r="9" spans="1:15" s="1" customFormat="1">
      <c r="A9" s="468"/>
      <c r="B9" s="569"/>
      <c r="C9" s="569"/>
      <c r="D9" s="570"/>
      <c r="E9" s="569"/>
      <c r="F9" s="569"/>
      <c r="G9" s="569"/>
      <c r="H9" s="569"/>
      <c r="I9" s="569"/>
      <c r="J9" s="569"/>
      <c r="L9" s="85"/>
      <c r="M9" s="154"/>
    </row>
    <row r="10" spans="1:15" ht="27" customHeight="1">
      <c r="B10" s="1697" t="s">
        <v>855</v>
      </c>
      <c r="C10" s="1697"/>
      <c r="D10" s="1697"/>
      <c r="E10" s="1697"/>
      <c r="F10" s="1697"/>
      <c r="G10" s="1697"/>
      <c r="H10" s="1698"/>
      <c r="I10" s="1080" t="s">
        <v>393</v>
      </c>
      <c r="J10" s="1081" t="s">
        <v>382</v>
      </c>
      <c r="M10" s="156"/>
    </row>
    <row r="11" spans="1:15" ht="27" customHeight="1">
      <c r="B11" s="862" t="s">
        <v>853</v>
      </c>
      <c r="C11" s="786"/>
      <c r="D11" s="786"/>
      <c r="E11" s="786"/>
      <c r="F11" s="786"/>
      <c r="G11" s="863"/>
      <c r="H11" s="864" t="str">
        <f>IF(Projektgrundlagen!I26,"","Grundleistungen Hochbau Bund sind nicht Teil dieser Honorarermittlung!")</f>
        <v>Grundleistungen Hochbau Bund sind nicht Teil dieser Honorarermittlung!</v>
      </c>
      <c r="I11" s="882" t="s">
        <v>286</v>
      </c>
      <c r="J11" s="883" t="s">
        <v>286</v>
      </c>
      <c r="M11" s="156"/>
    </row>
    <row r="12" spans="1:15" ht="7.5" customHeight="1">
      <c r="B12" s="857"/>
      <c r="C12" s="857"/>
      <c r="D12" s="858"/>
      <c r="E12" s="859"/>
      <c r="F12" s="859"/>
      <c r="G12" s="860"/>
      <c r="H12" s="860"/>
      <c r="I12" s="861"/>
      <c r="J12" s="861"/>
      <c r="M12" s="1065" t="s">
        <v>488</v>
      </c>
    </row>
    <row r="13" spans="1:15" ht="16.5" customHeight="1">
      <c r="A13" s="1071" t="str">
        <f>IF(COUNTIF($L$13:$L$15,TRUE)&gt;1,"è","")</f>
        <v/>
      </c>
      <c r="B13" s="242"/>
      <c r="C13" s="424"/>
      <c r="D13" s="1639" t="s">
        <v>234</v>
      </c>
      <c r="E13" s="1639"/>
      <c r="F13" s="1639"/>
      <c r="G13" s="1639"/>
      <c r="H13" s="1639"/>
      <c r="I13" s="1639"/>
      <c r="J13" s="1640"/>
      <c r="L13" s="88" t="b">
        <v>0</v>
      </c>
      <c r="M13" s="130" t="b">
        <f>IF(COUNTIF(L13:L15,TRUE)=1,TRUE,FALSE)</f>
        <v>0</v>
      </c>
      <c r="N13" s="155"/>
    </row>
    <row r="14" spans="1:15" ht="16.5" customHeight="1">
      <c r="A14" s="1071" t="str">
        <f>IF(COUNTIF($L$13:$L$15,TRUE)&gt;1,"è","")</f>
        <v/>
      </c>
      <c r="B14" s="169"/>
      <c r="C14" s="424"/>
      <c r="D14" s="1606" t="s">
        <v>489</v>
      </c>
      <c r="E14" s="1606"/>
      <c r="F14" s="1606"/>
      <c r="G14" s="1606"/>
      <c r="H14" s="1606"/>
      <c r="I14" s="1606"/>
      <c r="J14" s="1700"/>
      <c r="L14" s="88" t="b">
        <v>0</v>
      </c>
      <c r="N14" s="155"/>
    </row>
    <row r="15" spans="1:15" ht="16.5" customHeight="1">
      <c r="A15" s="1071" t="str">
        <f>IF(COUNTIF($L$13:$L$15,TRUE)&gt;1,"è","")</f>
        <v/>
      </c>
      <c r="B15" s="242"/>
      <c r="C15" s="424"/>
      <c r="D15" s="1701" t="s">
        <v>731</v>
      </c>
      <c r="E15" s="1701"/>
      <c r="F15" s="1701"/>
      <c r="G15" s="1701"/>
      <c r="H15" s="1701"/>
      <c r="I15" s="1701"/>
      <c r="J15" s="1702"/>
      <c r="L15" s="88" t="b">
        <v>0</v>
      </c>
    </row>
    <row r="16" spans="1:15" ht="16.5" customHeight="1">
      <c r="B16" s="263"/>
      <c r="C16" s="425"/>
      <c r="D16" s="1685" t="s">
        <v>730</v>
      </c>
      <c r="E16" s="1685"/>
      <c r="F16" s="1685"/>
      <c r="G16" s="1685"/>
      <c r="H16" s="1685"/>
      <c r="I16" s="1686"/>
      <c r="J16" s="348"/>
    </row>
    <row r="17" spans="1:14" ht="7.5" customHeight="1">
      <c r="B17" s="168"/>
      <c r="C17" s="168"/>
      <c r="D17" s="170"/>
      <c r="E17" s="171"/>
      <c r="F17" s="171"/>
      <c r="G17" s="63"/>
      <c r="H17" s="63"/>
      <c r="I17" s="172"/>
      <c r="J17" s="172"/>
    </row>
    <row r="18" spans="1:14" s="89" customFormat="1" ht="30" customHeight="1">
      <c r="A18" s="530"/>
      <c r="B18" s="1671" t="s">
        <v>424</v>
      </c>
      <c r="C18" s="1672"/>
      <c r="D18" s="1672"/>
      <c r="E18" s="1672"/>
      <c r="F18" s="1672"/>
      <c r="G18" s="1672"/>
      <c r="H18" s="1672"/>
      <c r="I18" s="271"/>
      <c r="J18" s="62"/>
      <c r="L18" s="90"/>
      <c r="M18" s="158"/>
    </row>
    <row r="19" spans="1:14" ht="17.399999999999999">
      <c r="B19" s="182"/>
      <c r="C19" s="1158" t="s">
        <v>243</v>
      </c>
      <c r="D19" s="1174"/>
      <c r="E19" s="1665" t="s">
        <v>803</v>
      </c>
      <c r="F19" s="1665"/>
      <c r="G19" s="1665"/>
      <c r="H19" s="402"/>
      <c r="I19" s="776">
        <v>0.75</v>
      </c>
      <c r="J19" s="415">
        <f>IF(L19,I19,0)</f>
        <v>0</v>
      </c>
      <c r="L19" s="88" t="b">
        <v>0</v>
      </c>
      <c r="N19" s="155"/>
    </row>
    <row r="20" spans="1:14" ht="16.5" customHeight="1">
      <c r="B20" s="181"/>
      <c r="C20" s="201"/>
      <c r="D20" s="680"/>
      <c r="E20" s="1664" t="s">
        <v>425</v>
      </c>
      <c r="F20" s="1664"/>
      <c r="G20" s="1664"/>
      <c r="H20" s="200"/>
      <c r="I20" s="775"/>
      <c r="J20" s="266"/>
      <c r="N20" s="155"/>
    </row>
    <row r="21" spans="1:14" ht="17.399999999999999">
      <c r="B21" s="182"/>
      <c r="C21" s="1158" t="s">
        <v>245</v>
      </c>
      <c r="D21" s="1163"/>
      <c r="E21" s="1665" t="s">
        <v>428</v>
      </c>
      <c r="F21" s="1665"/>
      <c r="G21" s="1665"/>
      <c r="H21" s="402"/>
      <c r="I21" s="776">
        <v>0.1</v>
      </c>
      <c r="J21" s="415">
        <f>IF(L21,I21,0)</f>
        <v>0</v>
      </c>
      <c r="L21" s="88" t="b">
        <v>0</v>
      </c>
      <c r="N21" s="155"/>
    </row>
    <row r="22" spans="1:14" ht="16.5" customHeight="1">
      <c r="B22" s="181"/>
      <c r="C22" s="201"/>
      <c r="D22" s="680"/>
      <c r="E22" s="1664"/>
      <c r="F22" s="1664"/>
      <c r="G22" s="1664"/>
      <c r="H22" s="200"/>
      <c r="I22" s="775"/>
      <c r="J22" s="266"/>
      <c r="N22" s="155"/>
    </row>
    <row r="23" spans="1:14" ht="17.399999999999999">
      <c r="B23" s="182"/>
      <c r="C23" s="1158" t="s">
        <v>246</v>
      </c>
      <c r="D23" s="1163"/>
      <c r="E23" s="1665" t="s">
        <v>693</v>
      </c>
      <c r="F23" s="1665"/>
      <c r="G23" s="1665"/>
      <c r="H23" s="402"/>
      <c r="I23" s="776">
        <v>0.75</v>
      </c>
      <c r="J23" s="415">
        <f>IF(L23,I23,0)</f>
        <v>0</v>
      </c>
      <c r="L23" s="88" t="b">
        <v>0</v>
      </c>
      <c r="N23" s="155"/>
    </row>
    <row r="24" spans="1:14" ht="16.5" customHeight="1">
      <c r="B24" s="181"/>
      <c r="C24" s="201"/>
      <c r="D24" s="680"/>
      <c r="E24" s="1664"/>
      <c r="F24" s="1664"/>
      <c r="G24" s="1664"/>
      <c r="H24" s="200"/>
      <c r="I24" s="775"/>
      <c r="J24" s="266"/>
      <c r="N24" s="155"/>
    </row>
    <row r="25" spans="1:14" ht="17.399999999999999">
      <c r="B25" s="182"/>
      <c r="C25" s="1158" t="s">
        <v>247</v>
      </c>
      <c r="D25" s="1163"/>
      <c r="E25" s="1665" t="s">
        <v>427</v>
      </c>
      <c r="F25" s="1665"/>
      <c r="G25" s="1665"/>
      <c r="H25" s="402"/>
      <c r="I25" s="776">
        <v>0.25</v>
      </c>
      <c r="J25" s="415">
        <f>IF(L25,I25,0)</f>
        <v>0</v>
      </c>
      <c r="L25" s="88" t="b">
        <v>0</v>
      </c>
      <c r="N25" s="155"/>
    </row>
    <row r="26" spans="1:14">
      <c r="B26" s="181"/>
      <c r="C26" s="201"/>
      <c r="D26" s="680"/>
      <c r="E26" s="1664" t="s">
        <v>426</v>
      </c>
      <c r="F26" s="1664"/>
      <c r="G26" s="1664"/>
      <c r="H26" s="200"/>
      <c r="I26" s="775"/>
      <c r="J26" s="266"/>
      <c r="N26" s="155"/>
    </row>
    <row r="27" spans="1:14" ht="17.399999999999999">
      <c r="B27" s="182"/>
      <c r="C27" s="1158" t="s">
        <v>248</v>
      </c>
      <c r="D27" s="1163"/>
      <c r="E27" s="1665" t="s">
        <v>429</v>
      </c>
      <c r="F27" s="1665"/>
      <c r="G27" s="1665"/>
      <c r="H27" s="402"/>
      <c r="I27" s="776">
        <v>0.15</v>
      </c>
      <c r="J27" s="415">
        <f>IF(L27,I27,0)</f>
        <v>0</v>
      </c>
      <c r="L27" s="88" t="b">
        <v>0</v>
      </c>
      <c r="N27" s="155"/>
    </row>
    <row r="28" spans="1:14" ht="16.5" customHeight="1" thickBot="1">
      <c r="B28" s="181"/>
      <c r="C28" s="201"/>
      <c r="D28" s="680"/>
      <c r="E28" s="1664"/>
      <c r="F28" s="1664"/>
      <c r="G28" s="1664"/>
      <c r="H28" s="200"/>
      <c r="I28" s="775"/>
      <c r="J28" s="266"/>
      <c r="N28" s="155"/>
    </row>
    <row r="29" spans="1:14" ht="22.5" customHeight="1" thickBot="1">
      <c r="B29" s="1678" t="s">
        <v>699</v>
      </c>
      <c r="C29" s="1679"/>
      <c r="D29" s="1679"/>
      <c r="E29" s="1679"/>
      <c r="F29" s="1679" t="s">
        <v>244</v>
      </c>
      <c r="G29" s="1679"/>
      <c r="H29" s="1679"/>
      <c r="I29" s="536">
        <f>IF(Projektgrundlagen!I26,SUM(I19:I28),0)</f>
        <v>0</v>
      </c>
      <c r="J29" s="537">
        <f>IF(Projektgrundlagen!I26,SUMIF(L19:L28,TRUE,J19:J28),0)</f>
        <v>0</v>
      </c>
    </row>
    <row r="30" spans="1:14" ht="7.5" customHeight="1">
      <c r="B30" s="888"/>
      <c r="C30" s="893"/>
      <c r="D30" s="895"/>
      <c r="E30" s="895"/>
      <c r="F30" s="902"/>
      <c r="G30" s="895"/>
      <c r="H30" s="175"/>
      <c r="I30" s="897"/>
      <c r="J30" s="167"/>
    </row>
    <row r="31" spans="1:14" s="89" customFormat="1" ht="30" customHeight="1">
      <c r="A31" s="530"/>
      <c r="B31" s="1671" t="s">
        <v>233</v>
      </c>
      <c r="C31" s="1672"/>
      <c r="D31" s="1672"/>
      <c r="E31" s="1672"/>
      <c r="F31" s="1672"/>
      <c r="G31" s="1672"/>
      <c r="H31" s="1672"/>
      <c r="I31" s="271"/>
      <c r="J31" s="62"/>
      <c r="L31" s="90"/>
      <c r="M31" s="158"/>
    </row>
    <row r="32" spans="1:14" ht="18" customHeight="1">
      <c r="B32" s="182"/>
      <c r="C32" s="1175" t="s">
        <v>243</v>
      </c>
      <c r="D32" s="1159"/>
      <c r="E32" s="1663" t="s">
        <v>541</v>
      </c>
      <c r="F32" s="1663"/>
      <c r="G32" s="1663"/>
      <c r="H32" s="203"/>
      <c r="I32" s="774">
        <v>0.5</v>
      </c>
      <c r="J32" s="415">
        <f>IF(L32,I32,0)</f>
        <v>0</v>
      </c>
      <c r="L32" s="88" t="b">
        <v>0</v>
      </c>
    </row>
    <row r="33" spans="2:14" ht="16.5" customHeight="1">
      <c r="B33" s="181"/>
      <c r="C33" s="201"/>
      <c r="D33" s="680"/>
      <c r="E33" s="1664" t="s">
        <v>542</v>
      </c>
      <c r="F33" s="1664"/>
      <c r="G33" s="1664"/>
      <c r="H33" s="200"/>
      <c r="I33" s="775"/>
      <c r="J33" s="266"/>
      <c r="N33" s="155"/>
    </row>
    <row r="34" spans="2:14" ht="17.399999999999999">
      <c r="B34" s="182"/>
      <c r="C34" s="1158" t="s">
        <v>245</v>
      </c>
      <c r="D34" s="1163"/>
      <c r="E34" s="1665" t="s">
        <v>592</v>
      </c>
      <c r="F34" s="1665"/>
      <c r="G34" s="1665"/>
      <c r="H34" s="402"/>
      <c r="I34" s="776">
        <v>0.1</v>
      </c>
      <c r="J34" s="415">
        <f>IF(L34,I34,0)</f>
        <v>0</v>
      </c>
      <c r="L34" s="88" t="b">
        <v>0</v>
      </c>
      <c r="N34" s="155"/>
    </row>
    <row r="35" spans="2:14" ht="16.5" customHeight="1">
      <c r="B35" s="181"/>
      <c r="C35" s="201"/>
      <c r="D35" s="680"/>
      <c r="E35" s="1664"/>
      <c r="F35" s="1664"/>
      <c r="G35" s="1664"/>
      <c r="H35" s="200"/>
      <c r="I35" s="775"/>
      <c r="J35" s="266"/>
      <c r="N35" s="155"/>
    </row>
    <row r="36" spans="2:14" ht="18" customHeight="1">
      <c r="B36" s="182"/>
      <c r="C36" s="1158" t="s">
        <v>246</v>
      </c>
      <c r="D36" s="1163"/>
      <c r="E36" s="1665" t="s">
        <v>701</v>
      </c>
      <c r="F36" s="1665"/>
      <c r="G36" s="1665"/>
      <c r="H36" s="402"/>
      <c r="I36" s="776">
        <f>IF(AND(Projektgrundlagen!$I$20,NOT(Projektgrundlagen!$I$19)),3.25,3)</f>
        <v>3</v>
      </c>
      <c r="J36" s="415">
        <f>IF(L36,I36,0)</f>
        <v>0</v>
      </c>
      <c r="L36" s="88" t="b">
        <v>0</v>
      </c>
      <c r="N36" s="155"/>
    </row>
    <row r="37" spans="2:14" ht="30" customHeight="1">
      <c r="B37" s="181"/>
      <c r="C37" s="201"/>
      <c r="D37" s="680"/>
      <c r="E37" s="1664" t="s">
        <v>700</v>
      </c>
      <c r="F37" s="1664"/>
      <c r="G37" s="1664"/>
      <c r="H37" s="200"/>
      <c r="I37" s="775"/>
      <c r="J37" s="266"/>
      <c r="N37" s="155"/>
    </row>
    <row r="38" spans="2:14" ht="17.399999999999999">
      <c r="B38" s="182"/>
      <c r="C38" s="1158" t="s">
        <v>247</v>
      </c>
      <c r="D38" s="1163"/>
      <c r="E38" s="1665" t="s">
        <v>703</v>
      </c>
      <c r="F38" s="1665"/>
      <c r="G38" s="1665"/>
      <c r="H38" s="402"/>
      <c r="I38" s="776">
        <v>0.85</v>
      </c>
      <c r="J38" s="415">
        <f>IF(L38,I38,0)</f>
        <v>0</v>
      </c>
      <c r="L38" s="88" t="b">
        <v>0</v>
      </c>
    </row>
    <row r="39" spans="2:14" ht="57.6" customHeight="1">
      <c r="B39" s="181"/>
      <c r="C39" s="201"/>
      <c r="D39" s="680"/>
      <c r="E39" s="1664" t="s">
        <v>702</v>
      </c>
      <c r="F39" s="1664"/>
      <c r="G39" s="1664"/>
      <c r="H39" s="200"/>
      <c r="I39" s="775"/>
      <c r="J39" s="266"/>
    </row>
    <row r="40" spans="2:14" ht="17.399999999999999">
      <c r="B40" s="182"/>
      <c r="C40" s="1158" t="s">
        <v>248</v>
      </c>
      <c r="D40" s="1174"/>
      <c r="E40" s="1665" t="s">
        <v>705</v>
      </c>
      <c r="F40" s="1665"/>
      <c r="G40" s="1665"/>
      <c r="H40" s="402"/>
      <c r="I40" s="776">
        <v>0.5</v>
      </c>
      <c r="J40" s="415">
        <f>IF(L40,I40,0)</f>
        <v>0</v>
      </c>
      <c r="L40" s="88" t="b">
        <v>0</v>
      </c>
    </row>
    <row r="41" spans="2:14" ht="30" customHeight="1">
      <c r="B41" s="181"/>
      <c r="C41" s="201"/>
      <c r="D41" s="680"/>
      <c r="E41" s="1664" t="s">
        <v>704</v>
      </c>
      <c r="F41" s="1664"/>
      <c r="G41" s="1664"/>
      <c r="H41" s="200"/>
      <c r="I41" s="775"/>
      <c r="J41" s="266"/>
      <c r="N41" s="155"/>
    </row>
    <row r="42" spans="2:14" ht="17.399999999999999">
      <c r="B42" s="182"/>
      <c r="C42" s="1158" t="s">
        <v>249</v>
      </c>
      <c r="D42" s="1163"/>
      <c r="E42" s="1665" t="s">
        <v>544</v>
      </c>
      <c r="F42" s="1665"/>
      <c r="G42" s="1665"/>
      <c r="H42" s="402"/>
      <c r="I42" s="776">
        <f>IF(AND(Projektgrundlagen!$I$20,NOT(Projektgrundlagen!$I$19)),0.25,0.3)</f>
        <v>0.3</v>
      </c>
      <c r="J42" s="415">
        <f>IF(L42,I42,0)</f>
        <v>0</v>
      </c>
      <c r="L42" s="88" t="b">
        <v>0</v>
      </c>
    </row>
    <row r="43" spans="2:14" ht="30" customHeight="1">
      <c r="B43" s="181"/>
      <c r="C43" s="201"/>
      <c r="D43" s="680"/>
      <c r="E43" s="1664" t="s">
        <v>543</v>
      </c>
      <c r="F43" s="1664"/>
      <c r="G43" s="1664"/>
      <c r="H43" s="200"/>
      <c r="I43" s="775"/>
      <c r="J43" s="266"/>
      <c r="N43" s="155"/>
    </row>
    <row r="44" spans="2:14" ht="17.399999999999999">
      <c r="B44" s="182"/>
      <c r="C44" s="1158" t="s">
        <v>250</v>
      </c>
      <c r="D44" s="1163"/>
      <c r="E44" s="1665" t="s">
        <v>593</v>
      </c>
      <c r="F44" s="1665"/>
      <c r="G44" s="1665"/>
      <c r="H44" s="402"/>
      <c r="I44" s="776">
        <f>IF(AND(Projektgrundlagen!$I$20,NOT(Projektgrundlagen!$I$19)),0.9,1)</f>
        <v>1</v>
      </c>
      <c r="J44" s="415">
        <f>IF(L44,I44,0)</f>
        <v>0</v>
      </c>
      <c r="L44" s="88" t="b">
        <v>0</v>
      </c>
    </row>
    <row r="45" spans="2:14" ht="43.5" customHeight="1">
      <c r="B45" s="181"/>
      <c r="C45" s="201"/>
      <c r="D45" s="680"/>
      <c r="E45" s="1664" t="s">
        <v>594</v>
      </c>
      <c r="F45" s="1664"/>
      <c r="G45" s="1664"/>
      <c r="H45" s="200"/>
      <c r="I45" s="775"/>
      <c r="J45" s="266"/>
      <c r="N45" s="155"/>
    </row>
    <row r="46" spans="2:14" ht="17.399999999999999">
      <c r="B46" s="182"/>
      <c r="C46" s="1158" t="s">
        <v>251</v>
      </c>
      <c r="D46" s="1163"/>
      <c r="E46" s="1665" t="s">
        <v>763</v>
      </c>
      <c r="F46" s="1665"/>
      <c r="G46" s="1665"/>
      <c r="H46" s="402"/>
      <c r="I46" s="776">
        <f>IF(AND(Projektgrundlagen!$I$20,NOT(Projektgrundlagen!$I$19)),0.25,0.5)</f>
        <v>0.5</v>
      </c>
      <c r="J46" s="415">
        <f>IF(L46,I46,0)</f>
        <v>0</v>
      </c>
      <c r="L46" s="88" t="b">
        <v>0</v>
      </c>
    </row>
    <row r="47" spans="2:14" ht="16.5" customHeight="1">
      <c r="B47" s="181"/>
      <c r="C47" s="201"/>
      <c r="D47" s="680"/>
      <c r="E47" s="1664" t="s">
        <v>762</v>
      </c>
      <c r="F47" s="1664"/>
      <c r="G47" s="1664"/>
      <c r="H47" s="200"/>
      <c r="I47" s="775"/>
      <c r="J47" s="266"/>
    </row>
    <row r="48" spans="2:14" ht="17.399999999999999">
      <c r="B48" s="96"/>
      <c r="C48" s="1158" t="s">
        <v>252</v>
      </c>
      <c r="D48" s="1163"/>
      <c r="E48" s="1665" t="s">
        <v>765</v>
      </c>
      <c r="F48" s="1665"/>
      <c r="G48" s="1665"/>
      <c r="H48" s="402"/>
      <c r="I48" s="776">
        <v>0.25</v>
      </c>
      <c r="J48" s="415">
        <f>IF(L48,I48,0)</f>
        <v>0</v>
      </c>
      <c r="L48" s="88" t="b">
        <v>0</v>
      </c>
    </row>
    <row r="49" spans="2:14" ht="16.5" customHeight="1">
      <c r="B49" s="181"/>
      <c r="C49" s="201"/>
      <c r="D49" s="680"/>
      <c r="E49" s="1664" t="s">
        <v>764</v>
      </c>
      <c r="F49" s="1664"/>
      <c r="G49" s="1664"/>
      <c r="H49" s="200"/>
      <c r="I49" s="775"/>
      <c r="J49" s="266"/>
    </row>
    <row r="50" spans="2:14" ht="16.5" customHeight="1">
      <c r="B50" s="202"/>
      <c r="C50" s="400"/>
      <c r="D50" s="681"/>
      <c r="E50" s="1138" t="s">
        <v>396</v>
      </c>
      <c r="F50" s="1138"/>
      <c r="G50" s="1138"/>
      <c r="H50" s="1138"/>
      <c r="I50" s="777"/>
      <c r="J50" s="414"/>
      <c r="N50" s="155"/>
    </row>
    <row r="51" spans="2:14">
      <c r="B51" s="411"/>
      <c r="C51" s="1167"/>
      <c r="D51" s="1177"/>
      <c r="E51" s="772" t="s">
        <v>815</v>
      </c>
      <c r="F51" s="772"/>
      <c r="G51" s="772"/>
      <c r="H51" s="772"/>
      <c r="I51" s="779"/>
      <c r="J51" s="415">
        <f>IF(L51,IF(AND($L$13,$M$13),I51+2,I51),0)</f>
        <v>0</v>
      </c>
      <c r="L51" s="88" t="b">
        <f>L13</f>
        <v>0</v>
      </c>
    </row>
    <row r="52" spans="2:14" ht="16.5" customHeight="1" thickBot="1">
      <c r="B52" s="202"/>
      <c r="C52" s="400"/>
      <c r="D52" s="682"/>
      <c r="E52" s="1666"/>
      <c r="F52" s="1666"/>
      <c r="G52" s="399"/>
      <c r="H52" s="399"/>
      <c r="I52" s="771"/>
      <c r="J52" s="266"/>
    </row>
    <row r="53" spans="2:14" ht="22.5" customHeight="1" thickBot="1">
      <c r="B53" s="1678" t="s">
        <v>706</v>
      </c>
      <c r="C53" s="1679"/>
      <c r="D53" s="1679"/>
      <c r="E53" s="1679"/>
      <c r="F53" s="1679"/>
      <c r="G53" s="1679"/>
      <c r="H53" s="1679"/>
      <c r="I53" s="536">
        <f>IF(Projektgrundlagen!I26,SUM(I32:I52),0)</f>
        <v>0</v>
      </c>
      <c r="J53" s="537">
        <f>IF(Projektgrundlagen!I26,SUMIF(L32:L52,TRUE,J32:J52),0)</f>
        <v>0</v>
      </c>
    </row>
    <row r="54" spans="2:14" ht="7.5" customHeight="1">
      <c r="B54" s="888"/>
      <c r="C54" s="893"/>
      <c r="D54" s="890"/>
      <c r="E54" s="890"/>
      <c r="F54" s="894"/>
      <c r="G54" s="895"/>
      <c r="H54" s="175"/>
      <c r="I54" s="896"/>
      <c r="J54" s="167"/>
    </row>
    <row r="55" spans="2:14" ht="30" customHeight="1">
      <c r="B55" s="1671" t="s">
        <v>188</v>
      </c>
      <c r="C55" s="1672"/>
      <c r="D55" s="1672"/>
      <c r="E55" s="1672"/>
      <c r="F55" s="1672"/>
      <c r="G55" s="1672"/>
      <c r="H55" s="1672"/>
      <c r="I55" s="533"/>
      <c r="J55" s="534"/>
    </row>
    <row r="56" spans="2:14" ht="17.399999999999999">
      <c r="B56" s="182"/>
      <c r="C56" s="1158" t="s">
        <v>243</v>
      </c>
      <c r="D56" s="1159"/>
      <c r="E56" s="1663" t="s">
        <v>549</v>
      </c>
      <c r="F56" s="1663"/>
      <c r="G56" s="1663"/>
      <c r="H56" s="402"/>
      <c r="I56" s="774">
        <v>11</v>
      </c>
      <c r="J56" s="415">
        <f>IF(L56,I56,0)</f>
        <v>0</v>
      </c>
      <c r="L56" s="88" t="b">
        <v>0</v>
      </c>
    </row>
    <row r="57" spans="2:14" ht="124.5" customHeight="1">
      <c r="B57" s="198"/>
      <c r="C57" s="400"/>
      <c r="D57" s="680"/>
      <c r="E57" s="1667" t="s">
        <v>767</v>
      </c>
      <c r="F57" s="1667"/>
      <c r="G57" s="1667"/>
      <c r="H57" s="399"/>
      <c r="I57" s="780"/>
      <c r="J57" s="414"/>
    </row>
    <row r="58" spans="2:14" ht="17.399999999999999">
      <c r="B58" s="182"/>
      <c r="C58" s="1158" t="s">
        <v>245</v>
      </c>
      <c r="D58" s="1163"/>
      <c r="E58" s="1665" t="s">
        <v>705</v>
      </c>
      <c r="F58" s="1665"/>
      <c r="G58" s="1665"/>
      <c r="H58" s="402"/>
      <c r="I58" s="776">
        <f>IF(AND(Projektgrundlagen!$I$20,NOT(Projektgrundlagen!$I$19)),1.5,1.15)</f>
        <v>1.1499999999999999</v>
      </c>
      <c r="J58" s="415">
        <f>IF(L58,I58,0)</f>
        <v>0</v>
      </c>
      <c r="L58" s="88" t="b">
        <v>0</v>
      </c>
    </row>
    <row r="59" spans="2:14" ht="30" customHeight="1">
      <c r="B59" s="198"/>
      <c r="C59" s="400"/>
      <c r="D59" s="680"/>
      <c r="E59" s="1667" t="s">
        <v>704</v>
      </c>
      <c r="F59" s="1667"/>
      <c r="G59" s="1667"/>
      <c r="H59" s="399"/>
      <c r="I59" s="780"/>
      <c r="J59" s="414"/>
    </row>
    <row r="60" spans="2:14" ht="17.399999999999999">
      <c r="B60" s="182"/>
      <c r="C60" s="1158" t="s">
        <v>246</v>
      </c>
      <c r="D60" s="1163"/>
      <c r="E60" s="1665" t="s">
        <v>708</v>
      </c>
      <c r="F60" s="1665"/>
      <c r="G60" s="1665"/>
      <c r="H60" s="402"/>
      <c r="I60" s="776">
        <f>IF(AND(Projektgrundlagen!$I$20,NOT(Projektgrundlagen!$I$19)),0.5,0.4)</f>
        <v>0.4</v>
      </c>
      <c r="J60" s="415">
        <f>IF(L60,I60,0)</f>
        <v>0</v>
      </c>
      <c r="L60" s="88" t="b">
        <v>0</v>
      </c>
    </row>
    <row r="61" spans="2:14" ht="30" customHeight="1">
      <c r="B61" s="198"/>
      <c r="C61" s="400"/>
      <c r="D61" s="680"/>
      <c r="E61" s="1667" t="s">
        <v>707</v>
      </c>
      <c r="F61" s="1667"/>
      <c r="G61" s="1667"/>
      <c r="H61" s="399"/>
      <c r="I61" s="780"/>
      <c r="J61" s="414"/>
    </row>
    <row r="62" spans="2:14" ht="17.399999999999999">
      <c r="B62" s="182"/>
      <c r="C62" s="1158" t="s">
        <v>247</v>
      </c>
      <c r="D62" s="1163"/>
      <c r="E62" s="1665" t="s">
        <v>550</v>
      </c>
      <c r="F62" s="1665"/>
      <c r="G62" s="1665"/>
      <c r="H62" s="402"/>
      <c r="I62" s="776">
        <f>IF(AND(Projektgrundlagen!$I$20,NOT(Projektgrundlagen!$I$19)),0.25,0.2)</f>
        <v>0.2</v>
      </c>
      <c r="J62" s="415">
        <f>IF(L62,I62,0)</f>
        <v>0</v>
      </c>
      <c r="L62" s="88" t="b">
        <v>0</v>
      </c>
    </row>
    <row r="63" spans="2:14">
      <c r="B63" s="181"/>
      <c r="C63" s="201"/>
      <c r="D63" s="680"/>
      <c r="E63" s="1664"/>
      <c r="F63" s="1664"/>
      <c r="G63" s="1664"/>
      <c r="H63" s="200"/>
      <c r="I63" s="775"/>
      <c r="J63" s="266"/>
    </row>
    <row r="64" spans="2:14" ht="17.399999999999999">
      <c r="B64" s="182"/>
      <c r="C64" s="1158" t="s">
        <v>248</v>
      </c>
      <c r="D64" s="1163"/>
      <c r="E64" s="1665" t="s">
        <v>709</v>
      </c>
      <c r="F64" s="1665"/>
      <c r="G64" s="1665"/>
      <c r="H64" s="402"/>
      <c r="I64" s="776">
        <v>1.25</v>
      </c>
      <c r="J64" s="415">
        <f>IF(L64,I64,0)</f>
        <v>0</v>
      </c>
      <c r="L64" s="88" t="b">
        <v>0</v>
      </c>
    </row>
    <row r="65" spans="2:14" ht="57" customHeight="1">
      <c r="B65" s="181"/>
      <c r="C65" s="201"/>
      <c r="D65" s="680"/>
      <c r="E65" s="1664" t="s">
        <v>595</v>
      </c>
      <c r="F65" s="1664"/>
      <c r="G65" s="1664"/>
      <c r="H65" s="200"/>
      <c r="I65" s="775"/>
      <c r="J65" s="266"/>
    </row>
    <row r="66" spans="2:14" ht="17.399999999999999">
      <c r="B66" s="182"/>
      <c r="C66" s="1158" t="s">
        <v>249</v>
      </c>
      <c r="D66" s="1163"/>
      <c r="E66" s="1665" t="s">
        <v>552</v>
      </c>
      <c r="F66" s="1665"/>
      <c r="G66" s="1665"/>
      <c r="H66" s="402"/>
      <c r="I66" s="776">
        <f>IF(AND(Projektgrundlagen!$I$20,NOT(Projektgrundlagen!$I$19)),0.2,0.35)</f>
        <v>0.35</v>
      </c>
      <c r="J66" s="415">
        <f>IF(L66,I66,0)</f>
        <v>0</v>
      </c>
      <c r="L66" s="88" t="b">
        <v>0</v>
      </c>
    </row>
    <row r="67" spans="2:14" ht="16.5" customHeight="1">
      <c r="B67" s="198"/>
      <c r="C67" s="400"/>
      <c r="D67" s="681"/>
      <c r="E67" s="1667"/>
      <c r="F67" s="1667"/>
      <c r="G67" s="1667"/>
      <c r="H67" s="399"/>
      <c r="I67" s="780"/>
      <c r="J67" s="414"/>
    </row>
    <row r="68" spans="2:14" ht="17.399999999999999">
      <c r="B68" s="182"/>
      <c r="C68" s="1158" t="s">
        <v>250</v>
      </c>
      <c r="D68" s="1174"/>
      <c r="E68" s="1665" t="s">
        <v>710</v>
      </c>
      <c r="F68" s="1665"/>
      <c r="G68" s="1665"/>
      <c r="H68" s="402"/>
      <c r="I68" s="776">
        <f>IF(AND(Projektgrundlagen!$I$20,NOT(Projektgrundlagen!$I$19)),0.3,0.65)</f>
        <v>0.65</v>
      </c>
      <c r="J68" s="415">
        <f>IF(L68,I68,0)</f>
        <v>0</v>
      </c>
      <c r="L68" s="88" t="b">
        <v>0</v>
      </c>
    </row>
    <row r="69" spans="2:14" ht="30" customHeight="1">
      <c r="B69" s="181"/>
      <c r="C69" s="201"/>
      <c r="D69" s="680"/>
      <c r="E69" s="1664" t="s">
        <v>793</v>
      </c>
      <c r="F69" s="1664"/>
      <c r="G69" s="1664"/>
      <c r="H69" s="200"/>
      <c r="I69" s="775"/>
      <c r="J69" s="266"/>
    </row>
    <row r="70" spans="2:14">
      <c r="B70" s="202"/>
      <c r="C70" s="201"/>
      <c r="D70" s="680"/>
      <c r="E70" s="1681" t="s">
        <v>794</v>
      </c>
      <c r="F70" s="1681"/>
      <c r="G70" s="1681"/>
      <c r="H70" s="200"/>
      <c r="I70" s="775"/>
      <c r="J70" s="266"/>
    </row>
    <row r="71" spans="2:14" ht="16.5" customHeight="1">
      <c r="B71" s="199"/>
      <c r="C71" s="400"/>
      <c r="D71" s="681"/>
      <c r="E71" s="1666" t="s">
        <v>396</v>
      </c>
      <c r="F71" s="1666"/>
      <c r="G71" s="399"/>
      <c r="H71" s="399"/>
      <c r="I71" s="780"/>
      <c r="J71" s="414"/>
      <c r="N71" s="155"/>
    </row>
    <row r="72" spans="2:14">
      <c r="B72" s="411"/>
      <c r="C72" s="1167"/>
      <c r="D72" s="1168"/>
      <c r="E72" s="772" t="s">
        <v>816</v>
      </c>
      <c r="F72" s="772"/>
      <c r="G72" s="772"/>
      <c r="H72" s="772"/>
      <c r="I72" s="781"/>
      <c r="J72" s="415">
        <f>IF(L72,IF(AND($L$14,$M$13),I72+7,I72),0)</f>
        <v>0</v>
      </c>
      <c r="L72" s="88" t="b">
        <f>L14</f>
        <v>0</v>
      </c>
    </row>
    <row r="73" spans="2:14" ht="16.5" customHeight="1" thickBot="1">
      <c r="B73" s="202"/>
      <c r="C73" s="400"/>
      <c r="D73" s="770"/>
      <c r="E73" s="1666"/>
      <c r="F73" s="1666"/>
      <c r="G73" s="399"/>
      <c r="H73" s="399"/>
      <c r="I73" s="1169"/>
      <c r="J73" s="1170"/>
    </row>
    <row r="74" spans="2:14" ht="22.5" customHeight="1" thickBot="1">
      <c r="B74" s="1678" t="s">
        <v>799</v>
      </c>
      <c r="C74" s="1679"/>
      <c r="D74" s="1679"/>
      <c r="E74" s="1679"/>
      <c r="F74" s="1679"/>
      <c r="G74" s="1679"/>
      <c r="H74" s="1680"/>
      <c r="I74" s="536">
        <f>IF(Projektgrundlagen!I26,SUM(I56:I69),0)</f>
        <v>0</v>
      </c>
      <c r="J74" s="537">
        <f>IF(Projektgrundlagen!I26,SUMIF(L56:L73,TRUE,J56:J73),0)</f>
        <v>0</v>
      </c>
    </row>
    <row r="75" spans="2:14" ht="7.5" customHeight="1">
      <c r="B75" s="888"/>
      <c r="C75" s="893"/>
      <c r="D75" s="895"/>
      <c r="E75" s="895"/>
      <c r="F75" s="895"/>
      <c r="G75" s="895"/>
      <c r="H75" s="175"/>
      <c r="I75" s="897"/>
      <c r="J75" s="167"/>
    </row>
    <row r="76" spans="2:14" ht="30" customHeight="1">
      <c r="B76" s="1671" t="s">
        <v>189</v>
      </c>
      <c r="C76" s="1672"/>
      <c r="D76" s="1672"/>
      <c r="E76" s="1672"/>
      <c r="F76" s="1672"/>
      <c r="G76" s="1672"/>
      <c r="H76" s="1672"/>
      <c r="I76" s="533"/>
      <c r="J76" s="534"/>
    </row>
    <row r="77" spans="2:14" ht="17.399999999999999">
      <c r="B77" s="182"/>
      <c r="C77" s="1175" t="s">
        <v>243</v>
      </c>
      <c r="D77" s="1159"/>
      <c r="E77" s="1663" t="s">
        <v>553</v>
      </c>
      <c r="F77" s="1663"/>
      <c r="G77" s="1663"/>
      <c r="H77" s="203"/>
      <c r="I77" s="774">
        <f>IF(AND(Projektgrundlagen!$I$20,NOT(Projektgrundlagen!$I$19)),1.8,2.5)</f>
        <v>2.5</v>
      </c>
      <c r="J77" s="416">
        <f>IF(L77,I77,0)</f>
        <v>0</v>
      </c>
      <c r="L77" s="88" t="b">
        <v>0</v>
      </c>
    </row>
    <row r="78" spans="2:14" ht="57" customHeight="1">
      <c r="B78" s="181"/>
      <c r="C78" s="201"/>
      <c r="D78" s="680"/>
      <c r="E78" s="1664" t="s">
        <v>796</v>
      </c>
      <c r="F78" s="1664"/>
      <c r="G78" s="1664"/>
      <c r="H78" s="200"/>
      <c r="I78" s="775"/>
      <c r="J78" s="266"/>
    </row>
    <row r="79" spans="2:14">
      <c r="B79" s="202"/>
      <c r="C79" s="201"/>
      <c r="D79" s="680"/>
      <c r="E79" s="1681" t="s">
        <v>795</v>
      </c>
      <c r="F79" s="1681"/>
      <c r="G79" s="1681"/>
      <c r="H79" s="200"/>
      <c r="I79" s="775"/>
      <c r="J79" s="266"/>
    </row>
    <row r="80" spans="2:14" ht="17.399999999999999">
      <c r="B80" s="182"/>
      <c r="C80" s="1158" t="s">
        <v>245</v>
      </c>
      <c r="D80" s="1163"/>
      <c r="E80" s="1665" t="s">
        <v>714</v>
      </c>
      <c r="F80" s="1665"/>
      <c r="G80" s="1665"/>
      <c r="H80" s="402"/>
      <c r="I80" s="776">
        <f>IF(AND(Projektgrundlagen!$I$20,NOT(Projektgrundlagen!$I$19)),0.1,0.25)</f>
        <v>0.25</v>
      </c>
      <c r="J80" s="415">
        <f>IF(L80,I80,0)</f>
        <v>0</v>
      </c>
      <c r="L80" s="88" t="b">
        <v>0</v>
      </c>
    </row>
    <row r="81" spans="1:14">
      <c r="B81" s="181"/>
      <c r="C81" s="201"/>
      <c r="D81" s="680"/>
      <c r="E81" s="1664" t="s">
        <v>713</v>
      </c>
      <c r="F81" s="1664"/>
      <c r="G81" s="1664"/>
      <c r="H81" s="200"/>
      <c r="I81" s="775"/>
      <c r="J81" s="266"/>
    </row>
    <row r="82" spans="1:14" ht="17.399999999999999">
      <c r="B82" s="182"/>
      <c r="C82" s="1158" t="s">
        <v>246</v>
      </c>
      <c r="D82" s="1163"/>
      <c r="E82" s="1665" t="s">
        <v>712</v>
      </c>
      <c r="F82" s="1665"/>
      <c r="G82" s="1665"/>
      <c r="H82" s="402"/>
      <c r="I82" s="776">
        <f>IF(AND(Projektgrundlagen!$I$20,NOT(Projektgrundlagen!$I$19)),0.1,0.25)</f>
        <v>0.25</v>
      </c>
      <c r="J82" s="415">
        <f>IF(L82,I82,0)</f>
        <v>0</v>
      </c>
      <c r="L82" s="88" t="b">
        <v>0</v>
      </c>
    </row>
    <row r="83" spans="1:14" ht="17.399999999999999" thickBot="1">
      <c r="B83" s="198"/>
      <c r="C83" s="400"/>
      <c r="D83" s="681"/>
      <c r="E83" s="1667" t="s">
        <v>711</v>
      </c>
      <c r="F83" s="1667"/>
      <c r="G83" s="1667"/>
      <c r="H83" s="399"/>
      <c r="I83" s="780"/>
      <c r="J83" s="414"/>
    </row>
    <row r="84" spans="1:14" s="155" customFormat="1" ht="22.5" customHeight="1" thickBot="1">
      <c r="A84" s="510"/>
      <c r="B84" s="1678" t="s">
        <v>726</v>
      </c>
      <c r="C84" s="1679"/>
      <c r="D84" s="1679"/>
      <c r="E84" s="1679"/>
      <c r="F84" s="1679"/>
      <c r="G84" s="1679"/>
      <c r="H84" s="1680"/>
      <c r="I84" s="536">
        <f>IF(Projektgrundlagen!I26,SUM(I77:I83),0)</f>
        <v>0</v>
      </c>
      <c r="J84" s="537">
        <f>IF(Projektgrundlagen!I26,SUMIF(L77:L83,TRUE,J77:J83),0)</f>
        <v>0</v>
      </c>
      <c r="K84" s="87"/>
      <c r="L84" s="88"/>
      <c r="N84" s="87"/>
    </row>
    <row r="85" spans="1:14" s="155" customFormat="1" ht="7.5" customHeight="1">
      <c r="A85" s="510"/>
      <c r="B85" s="241"/>
      <c r="C85" s="184"/>
      <c r="D85" s="417"/>
      <c r="E85" s="183"/>
      <c r="F85" s="183"/>
      <c r="G85" s="183"/>
      <c r="H85" s="186"/>
      <c r="I85" s="270"/>
      <c r="J85" s="167"/>
      <c r="K85" s="87"/>
      <c r="L85" s="88"/>
      <c r="N85" s="87"/>
    </row>
    <row r="86" spans="1:14" ht="17.399999999999999">
      <c r="B86" s="185"/>
      <c r="C86" s="1114"/>
      <c r="D86" s="950"/>
      <c r="E86" s="1703" t="s">
        <v>830</v>
      </c>
      <c r="F86" s="1703"/>
      <c r="G86" s="1703"/>
      <c r="H86" s="402"/>
      <c r="I86" s="781"/>
      <c r="J86" s="1115"/>
      <c r="L86" s="91" t="b">
        <f>IF('A anrechb Kosten'!$G$20="",FALSE,TRUE)</f>
        <v>1</v>
      </c>
    </row>
    <row r="87" spans="1:14" ht="17.399999999999999" thickBot="1">
      <c r="B87" s="181"/>
      <c r="C87" s="201"/>
      <c r="D87" s="680"/>
      <c r="E87" s="1704" t="s">
        <v>832</v>
      </c>
      <c r="F87" s="1704"/>
      <c r="G87" s="1704"/>
      <c r="H87" s="200"/>
      <c r="I87" s="775"/>
      <c r="J87" s="266"/>
    </row>
    <row r="88" spans="1:14" s="155" customFormat="1" ht="22.2" customHeight="1" thickBot="1">
      <c r="A88" s="510"/>
      <c r="B88" s="1678" t="s">
        <v>727</v>
      </c>
      <c r="C88" s="1679"/>
      <c r="D88" s="1679"/>
      <c r="E88" s="1679"/>
      <c r="F88" s="1679"/>
      <c r="G88" s="1679"/>
      <c r="H88" s="1680"/>
      <c r="I88" s="536">
        <f>I84+I74+I53+I29</f>
        <v>0</v>
      </c>
      <c r="J88" s="543">
        <f>J84+J74+J53+J29</f>
        <v>0</v>
      </c>
      <c r="K88" s="87"/>
      <c r="L88" s="88"/>
      <c r="N88" s="87"/>
    </row>
    <row r="89" spans="1:14" s="155" customFormat="1">
      <c r="A89" s="510"/>
      <c r="B89" s="888"/>
      <c r="C89" s="893"/>
      <c r="D89" s="898"/>
      <c r="E89" s="898"/>
      <c r="F89" s="898"/>
      <c r="G89" s="898"/>
      <c r="H89" s="899"/>
      <c r="I89" s="897"/>
      <c r="J89" s="167"/>
      <c r="K89" s="87"/>
      <c r="L89" s="88"/>
      <c r="N89" s="87"/>
    </row>
    <row r="90" spans="1:14" s="155" customFormat="1" ht="30" customHeight="1">
      <c r="A90" s="510"/>
      <c r="B90" s="1671" t="s">
        <v>152</v>
      </c>
      <c r="C90" s="1672"/>
      <c r="D90" s="1672"/>
      <c r="E90" s="1672"/>
      <c r="F90" s="1672"/>
      <c r="G90" s="1672"/>
      <c r="H90" s="1672"/>
      <c r="I90" s="539"/>
      <c r="J90" s="540"/>
      <c r="K90" s="87"/>
      <c r="L90" s="88"/>
      <c r="N90" s="87"/>
    </row>
    <row r="91" spans="1:14" s="155" customFormat="1" ht="17.399999999999999">
      <c r="A91" s="510"/>
      <c r="B91" s="182"/>
      <c r="C91" s="1158" t="s">
        <v>243</v>
      </c>
      <c r="D91" s="1159"/>
      <c r="E91" s="1663" t="s">
        <v>716</v>
      </c>
      <c r="F91" s="1663"/>
      <c r="G91" s="1663"/>
      <c r="H91" s="402"/>
      <c r="I91" s="774">
        <f>IF(AND(Projektgrundlagen!$I$20,NOT(Projektgrundlagen!$I$19)),13.75,10)</f>
        <v>10</v>
      </c>
      <c r="J91" s="415">
        <f>IF(L91,I91,0)</f>
        <v>0</v>
      </c>
      <c r="K91" s="87"/>
      <c r="L91" s="88" t="b">
        <v>0</v>
      </c>
      <c r="N91" s="87"/>
    </row>
    <row r="92" spans="1:14" ht="43.5" customHeight="1">
      <c r="B92" s="198"/>
      <c r="C92" s="400"/>
      <c r="D92" s="681"/>
      <c r="E92" s="1667" t="s">
        <v>715</v>
      </c>
      <c r="F92" s="1667"/>
      <c r="G92" s="1667"/>
      <c r="H92" s="399"/>
      <c r="I92" s="780"/>
      <c r="J92" s="414"/>
    </row>
    <row r="93" spans="1:14" ht="17.399999999999999">
      <c r="B93" s="182"/>
      <c r="C93" s="1158" t="s">
        <v>245</v>
      </c>
      <c r="D93" s="1174"/>
      <c r="E93" s="1665" t="s">
        <v>718</v>
      </c>
      <c r="F93" s="1665"/>
      <c r="G93" s="1665"/>
      <c r="H93" s="402"/>
      <c r="I93" s="776">
        <f>IF(AND(Projektgrundlagen!$I$20,NOT(Projektgrundlagen!$I$19)),13,9.5)</f>
        <v>9.5</v>
      </c>
      <c r="J93" s="415">
        <f>IF(L93,I93,0)</f>
        <v>0</v>
      </c>
      <c r="L93" s="88" t="b">
        <v>0</v>
      </c>
    </row>
    <row r="94" spans="1:14" ht="43.5" customHeight="1">
      <c r="B94" s="198"/>
      <c r="C94" s="400"/>
      <c r="D94" s="681"/>
      <c r="E94" s="1667" t="s">
        <v>717</v>
      </c>
      <c r="F94" s="1667"/>
      <c r="G94" s="1667"/>
      <c r="H94" s="399"/>
      <c r="I94" s="780"/>
      <c r="J94" s="414"/>
    </row>
    <row r="95" spans="1:14" ht="17.399999999999999">
      <c r="B95" s="182"/>
      <c r="C95" s="1158" t="s">
        <v>246</v>
      </c>
      <c r="D95" s="1174"/>
      <c r="E95" s="1665" t="s">
        <v>705</v>
      </c>
      <c r="F95" s="1665"/>
      <c r="G95" s="1665"/>
      <c r="H95" s="402"/>
      <c r="I95" s="776">
        <f>IF(AND(Projektgrundlagen!$I$20,NOT(Projektgrundlagen!$I$19)),1.25,3)</f>
        <v>3</v>
      </c>
      <c r="J95" s="415">
        <f>IF(L95,I95,0)</f>
        <v>0</v>
      </c>
      <c r="L95" s="88" t="b">
        <v>0</v>
      </c>
    </row>
    <row r="96" spans="1:14" ht="30" customHeight="1">
      <c r="B96" s="198"/>
      <c r="C96" s="400"/>
      <c r="D96" s="681"/>
      <c r="E96" s="1667" t="s">
        <v>719</v>
      </c>
      <c r="F96" s="1667"/>
      <c r="G96" s="1667"/>
      <c r="H96" s="399"/>
      <c r="I96" s="780"/>
      <c r="J96" s="414"/>
    </row>
    <row r="97" spans="1:13" ht="17.399999999999999">
      <c r="B97" s="182"/>
      <c r="C97" s="1158" t="s">
        <v>247</v>
      </c>
      <c r="D97" s="1174"/>
      <c r="E97" s="1665" t="s">
        <v>552</v>
      </c>
      <c r="F97" s="1665"/>
      <c r="G97" s="1665"/>
      <c r="H97" s="402"/>
      <c r="I97" s="776">
        <f>IF(AND(Projektgrundlagen!$I$20,NOT(Projektgrundlagen!$I$19)),0.5,0.85)</f>
        <v>0.85</v>
      </c>
      <c r="J97" s="415">
        <f>IF(L97,I97,0)</f>
        <v>0</v>
      </c>
      <c r="L97" s="88" t="b">
        <v>0</v>
      </c>
    </row>
    <row r="98" spans="1:13" ht="16.5" customHeight="1">
      <c r="B98" s="198"/>
      <c r="C98" s="201"/>
      <c r="D98" s="680"/>
      <c r="E98" s="1667"/>
      <c r="F98" s="1667"/>
      <c r="G98" s="1667"/>
      <c r="H98" s="200"/>
      <c r="I98" s="775"/>
      <c r="J98" s="414"/>
    </row>
    <row r="99" spans="1:13" ht="17.399999999999999">
      <c r="B99" s="182"/>
      <c r="C99" s="1158" t="s">
        <v>248</v>
      </c>
      <c r="D99" s="1163"/>
      <c r="E99" s="1665" t="s">
        <v>822</v>
      </c>
      <c r="F99" s="1665"/>
      <c r="G99" s="1665"/>
      <c r="H99" s="402"/>
      <c r="I99" s="776">
        <f>IF(AND(Projektgrundlagen!$I$20,NOT(Projektgrundlagen!$I$19)),1,0.4)</f>
        <v>0.4</v>
      </c>
      <c r="J99" s="415">
        <f>IF(L99,I99,0)</f>
        <v>0</v>
      </c>
      <c r="L99" s="88" t="b">
        <v>0</v>
      </c>
    </row>
    <row r="100" spans="1:13">
      <c r="B100" s="198"/>
      <c r="C100" s="400"/>
      <c r="D100" s="681"/>
      <c r="E100" s="1667" t="s">
        <v>720</v>
      </c>
      <c r="F100" s="1667"/>
      <c r="G100" s="1667"/>
      <c r="H100" s="399"/>
      <c r="I100" s="780"/>
      <c r="J100" s="414"/>
    </row>
    <row r="101" spans="1:13" ht="17.399999999999999">
      <c r="B101" s="182"/>
      <c r="C101" s="1158" t="s">
        <v>249</v>
      </c>
      <c r="D101" s="1174"/>
      <c r="E101" s="1665" t="s">
        <v>721</v>
      </c>
      <c r="F101" s="1665"/>
      <c r="G101" s="1665"/>
      <c r="H101" s="402"/>
      <c r="I101" s="776">
        <f>IF(AND(Projektgrundlagen!$I$20,NOT(Projektgrundlagen!$I$19)),0.5,1.25)</f>
        <v>1.25</v>
      </c>
      <c r="J101" s="415">
        <f>IF(L101,I101,0)</f>
        <v>0</v>
      </c>
      <c r="L101" s="88" t="b">
        <v>0</v>
      </c>
    </row>
    <row r="102" spans="1:13" ht="30" customHeight="1">
      <c r="B102" s="198"/>
      <c r="C102" s="201"/>
      <c r="D102" s="680"/>
      <c r="E102" s="1664" t="s">
        <v>554</v>
      </c>
      <c r="F102" s="1664"/>
      <c r="G102" s="1664"/>
      <c r="H102" s="200"/>
      <c r="I102" s="775"/>
      <c r="J102" s="266"/>
    </row>
    <row r="103" spans="1:13" ht="17.399999999999999">
      <c r="B103" s="185"/>
      <c r="C103" s="1167"/>
      <c r="D103" s="1163"/>
      <c r="E103" s="1705" t="s">
        <v>830</v>
      </c>
      <c r="F103" s="1705"/>
      <c r="G103" s="1705"/>
      <c r="H103" s="402"/>
      <c r="I103" s="781"/>
      <c r="J103" s="1116"/>
      <c r="L103" s="91"/>
    </row>
    <row r="104" spans="1:13" ht="17.399999999999999" thickBot="1">
      <c r="B104" s="181"/>
      <c r="C104" s="201"/>
      <c r="D104" s="680"/>
      <c r="E104" s="1704" t="s">
        <v>835</v>
      </c>
      <c r="F104" s="1704"/>
      <c r="G104" s="1704"/>
      <c r="H104" s="200"/>
      <c r="I104" s="775"/>
      <c r="J104" s="266"/>
    </row>
    <row r="105" spans="1:13" ht="22.5" customHeight="1" thickBot="1">
      <c r="B105" s="1678" t="s">
        <v>728</v>
      </c>
      <c r="C105" s="1679"/>
      <c r="D105" s="1679"/>
      <c r="E105" s="1679"/>
      <c r="F105" s="1679"/>
      <c r="G105" s="1679"/>
      <c r="H105" s="1680"/>
      <c r="I105" s="536">
        <f>IF(Projektgrundlagen!I26,SUM(I91:I102),0)</f>
        <v>0</v>
      </c>
      <c r="J105" s="537">
        <f>IF(Projektgrundlagen!I26,SUMIF(L91:L102,TRUE,J91:J102),0)</f>
        <v>0</v>
      </c>
    </row>
    <row r="106" spans="1:13">
      <c r="B106" s="888"/>
      <c r="C106" s="893"/>
      <c r="D106" s="898"/>
      <c r="E106" s="898"/>
      <c r="F106" s="898"/>
      <c r="G106" s="898"/>
      <c r="H106" s="899"/>
      <c r="I106" s="896"/>
      <c r="J106" s="167"/>
    </row>
    <row r="107" spans="1:13" s="92" customFormat="1" ht="30" customHeight="1">
      <c r="A107" s="532"/>
      <c r="B107" s="1671" t="s">
        <v>190</v>
      </c>
      <c r="C107" s="1672"/>
      <c r="D107" s="1672"/>
      <c r="E107" s="1672"/>
      <c r="F107" s="1672"/>
      <c r="G107" s="1672"/>
      <c r="H107" s="1672"/>
      <c r="I107" s="541"/>
      <c r="J107" s="542"/>
      <c r="L107" s="93"/>
      <c r="M107" s="159"/>
    </row>
    <row r="108" spans="1:13" ht="17.399999999999999">
      <c r="B108" s="182"/>
      <c r="C108" s="1158" t="s">
        <v>243</v>
      </c>
      <c r="D108" s="1159"/>
      <c r="E108" s="1663" t="s">
        <v>556</v>
      </c>
      <c r="F108" s="1663"/>
      <c r="G108" s="1663"/>
      <c r="H108" s="402"/>
      <c r="I108" s="774">
        <f>IF(AND(Projektgrundlagen!$I$20,NOT(Projektgrundlagen!$I$19)),0.1,0.2)</f>
        <v>0.2</v>
      </c>
      <c r="J108" s="415">
        <f>IF(L108,I108,0)</f>
        <v>0</v>
      </c>
      <c r="L108" s="88" t="b">
        <v>0</v>
      </c>
    </row>
    <row r="109" spans="1:13" ht="16.5" customHeight="1">
      <c r="B109" s="198"/>
      <c r="C109" s="400"/>
      <c r="D109" s="681"/>
      <c r="E109" s="1667"/>
      <c r="F109" s="1667"/>
      <c r="G109" s="1667"/>
      <c r="H109" s="399"/>
      <c r="I109" s="780"/>
      <c r="J109" s="414"/>
    </row>
    <row r="110" spans="1:13" ht="17.399999999999999">
      <c r="B110" s="182"/>
      <c r="C110" s="1158" t="s">
        <v>245</v>
      </c>
      <c r="D110" s="1174"/>
      <c r="E110" s="1665" t="s">
        <v>597</v>
      </c>
      <c r="F110" s="1665"/>
      <c r="G110" s="1665"/>
      <c r="H110" s="402"/>
      <c r="I110" s="776">
        <f>IF(AND(Projektgrundlagen!$I$20,NOT(Projektgrundlagen!$I$19)),5.5,7.6)</f>
        <v>7.6</v>
      </c>
      <c r="J110" s="415">
        <f>IF(L110,I110,0)</f>
        <v>0</v>
      </c>
      <c r="L110" s="88" t="b">
        <v>0</v>
      </c>
    </row>
    <row r="111" spans="1:13" ht="84" customHeight="1">
      <c r="B111" s="198"/>
      <c r="C111" s="400"/>
      <c r="D111" s="681"/>
      <c r="E111" s="1667" t="s">
        <v>596</v>
      </c>
      <c r="F111" s="1667"/>
      <c r="G111" s="1667"/>
      <c r="H111" s="399"/>
      <c r="I111" s="780"/>
      <c r="J111" s="414"/>
    </row>
    <row r="112" spans="1:13" ht="17.399999999999999">
      <c r="B112" s="182"/>
      <c r="C112" s="1158" t="s">
        <v>246</v>
      </c>
      <c r="D112" s="1174"/>
      <c r="E112" s="1665" t="s">
        <v>557</v>
      </c>
      <c r="F112" s="1665"/>
      <c r="G112" s="1665"/>
      <c r="H112" s="402"/>
      <c r="I112" s="776">
        <f>IF(AND(Projektgrundlagen!$I$20,NOT(Projektgrundlagen!$I$19)),0.25,0.35)</f>
        <v>0.35</v>
      </c>
      <c r="J112" s="415">
        <f>IF(L112,I112,0)</f>
        <v>0</v>
      </c>
      <c r="L112" s="88" t="b">
        <v>0</v>
      </c>
    </row>
    <row r="113" spans="1:14" ht="57" customHeight="1">
      <c r="B113" s="198"/>
      <c r="C113" s="400"/>
      <c r="D113" s="681"/>
      <c r="E113" s="1667" t="s">
        <v>558</v>
      </c>
      <c r="F113" s="1667"/>
      <c r="G113" s="1667"/>
      <c r="H113" s="399"/>
      <c r="I113" s="780"/>
      <c r="J113" s="414"/>
    </row>
    <row r="114" spans="1:14" ht="17.399999999999999">
      <c r="B114" s="182"/>
      <c r="C114" s="1158" t="s">
        <v>247</v>
      </c>
      <c r="D114" s="1174"/>
      <c r="E114" s="1665" t="s">
        <v>673</v>
      </c>
      <c r="F114" s="1665"/>
      <c r="G114" s="1665"/>
      <c r="H114" s="402"/>
      <c r="I114" s="776">
        <f>IF(AND(Projektgrundlagen!$I$20,NOT(Projektgrundlagen!$I$19)),0.8,1.5)</f>
        <v>1.5</v>
      </c>
      <c r="J114" s="415">
        <f>IF(L114,I114,0)</f>
        <v>0</v>
      </c>
      <c r="L114" s="88" t="b">
        <v>0</v>
      </c>
    </row>
    <row r="115" spans="1:14">
      <c r="B115" s="198"/>
      <c r="C115" s="400"/>
      <c r="D115" s="681"/>
      <c r="E115" s="1667" t="s">
        <v>674</v>
      </c>
      <c r="F115" s="1667"/>
      <c r="G115" s="1667"/>
      <c r="H115" s="399"/>
      <c r="I115" s="780"/>
      <c r="J115" s="414"/>
    </row>
    <row r="116" spans="1:14" ht="17.399999999999999">
      <c r="B116" s="182"/>
      <c r="C116" s="1158" t="s">
        <v>248</v>
      </c>
      <c r="D116" s="1174"/>
      <c r="E116" s="1665" t="s">
        <v>775</v>
      </c>
      <c r="F116" s="1665"/>
      <c r="G116" s="1665"/>
      <c r="H116" s="402"/>
      <c r="I116" s="776">
        <f>IF(AND(Projektgrundlagen!$I$20,NOT(Projektgrundlagen!$I$19)),0.2,0.25)</f>
        <v>0.25</v>
      </c>
      <c r="J116" s="415">
        <f>IF(L116,I116,0)</f>
        <v>0</v>
      </c>
      <c r="L116" s="88" t="b">
        <v>0</v>
      </c>
    </row>
    <row r="117" spans="1:14" ht="43.5" customHeight="1">
      <c r="B117" s="198"/>
      <c r="C117" s="400"/>
      <c r="D117" s="681"/>
      <c r="E117" s="1667" t="s">
        <v>774</v>
      </c>
      <c r="F117" s="1667"/>
      <c r="G117" s="1667"/>
      <c r="H117" s="399"/>
      <c r="I117" s="780"/>
      <c r="J117" s="414"/>
    </row>
    <row r="118" spans="1:14" ht="17.399999999999999">
      <c r="B118" s="185"/>
      <c r="C118" s="1158" t="s">
        <v>249</v>
      </c>
      <c r="D118" s="1174"/>
      <c r="E118" s="1665" t="s">
        <v>806</v>
      </c>
      <c r="F118" s="1665"/>
      <c r="G118" s="1665"/>
      <c r="H118" s="402"/>
      <c r="I118" s="776">
        <f>IF(AND(Projektgrundlagen!$I$20,NOT(Projektgrundlagen!$I$19)),0.15,0.1)</f>
        <v>0.1</v>
      </c>
      <c r="J118" s="415">
        <f>IF(L118,I118-(IF(AND(Projektgrundlagen!$I$20,NOT(Projektgrundlagen!$I$19)),0.15,0.1)),0)</f>
        <v>0</v>
      </c>
      <c r="L118" s="91" t="b">
        <v>0</v>
      </c>
    </row>
    <row r="119" spans="1:14" ht="16.5" customHeight="1">
      <c r="B119" s="181"/>
      <c r="C119" s="201"/>
      <c r="D119" s="680"/>
      <c r="E119" s="1664"/>
      <c r="F119" s="1664"/>
      <c r="G119" s="1664"/>
      <c r="H119" s="200"/>
      <c r="I119" s="775"/>
      <c r="J119" s="266"/>
    </row>
    <row r="120" spans="1:14" ht="16.5" customHeight="1" thickBot="1">
      <c r="B120" s="199"/>
      <c r="C120" s="400"/>
      <c r="D120" s="768"/>
      <c r="E120" s="1138" t="s">
        <v>734</v>
      </c>
      <c r="F120" s="1138"/>
      <c r="G120" s="399"/>
      <c r="H120" s="399"/>
      <c r="I120" s="771"/>
      <c r="J120" s="414"/>
    </row>
    <row r="121" spans="1:14" ht="22.5" customHeight="1" thickBot="1">
      <c r="B121" s="1684" t="s">
        <v>757</v>
      </c>
      <c r="C121" s="1679"/>
      <c r="D121" s="1679"/>
      <c r="E121" s="1679"/>
      <c r="F121" s="1679"/>
      <c r="G121" s="1679"/>
      <c r="H121" s="1680"/>
      <c r="I121" s="536">
        <f>IF(Projektgrundlagen!I26,SUM(I108:I120),0)</f>
        <v>0</v>
      </c>
      <c r="J121" s="537">
        <f>IF(Projektgrundlagen!I26,SUMIF(L108:L120,TRUE,J108:J120),0)</f>
        <v>0</v>
      </c>
    </row>
    <row r="122" spans="1:14" ht="7.5" customHeight="1">
      <c r="B122" s="888"/>
      <c r="C122" s="893"/>
      <c r="D122" s="898"/>
      <c r="E122" s="898"/>
      <c r="F122" s="898"/>
      <c r="G122" s="898"/>
      <c r="H122" s="899"/>
      <c r="I122" s="897"/>
      <c r="J122" s="167"/>
    </row>
    <row r="123" spans="1:14" ht="30" customHeight="1">
      <c r="B123" s="1671" t="s">
        <v>191</v>
      </c>
      <c r="C123" s="1672"/>
      <c r="D123" s="1672"/>
      <c r="E123" s="1672"/>
      <c r="F123" s="1672"/>
      <c r="G123" s="1672"/>
      <c r="H123" s="1672"/>
      <c r="I123" s="539"/>
      <c r="J123" s="540"/>
    </row>
    <row r="124" spans="1:14" ht="17.399999999999999">
      <c r="B124" s="182"/>
      <c r="C124" s="1158" t="s">
        <v>243</v>
      </c>
      <c r="D124" s="1174"/>
      <c r="E124" s="1665" t="s">
        <v>598</v>
      </c>
      <c r="F124" s="1665"/>
      <c r="G124" s="1665"/>
      <c r="H124" s="402"/>
      <c r="I124" s="776">
        <f>IF(AND(Projektgrundlagen!$I$20,NOT(Projektgrundlagen!$I$19)),0.2,0.25)</f>
        <v>0.25</v>
      </c>
      <c r="J124" s="415">
        <f>IF(L124,I124,0)</f>
        <v>0</v>
      </c>
      <c r="L124" s="88" t="b">
        <v>0</v>
      </c>
    </row>
    <row r="125" spans="1:14" s="155" customFormat="1" ht="16.5" customHeight="1">
      <c r="A125" s="510"/>
      <c r="B125" s="181"/>
      <c r="C125" s="201"/>
      <c r="D125" s="680"/>
      <c r="E125" s="1664"/>
      <c r="F125" s="1664"/>
      <c r="G125" s="1664"/>
      <c r="H125" s="200"/>
      <c r="I125" s="775"/>
      <c r="J125" s="266"/>
      <c r="K125" s="87"/>
      <c r="L125" s="88"/>
      <c r="N125" s="87"/>
    </row>
    <row r="126" spans="1:14" ht="17.399999999999999">
      <c r="B126" s="185"/>
      <c r="C126" s="1158" t="s">
        <v>245</v>
      </c>
      <c r="D126" s="1163"/>
      <c r="E126" s="1665" t="s">
        <v>807</v>
      </c>
      <c r="F126" s="1665"/>
      <c r="G126" s="1665"/>
      <c r="H126" s="402"/>
      <c r="I126" s="776">
        <v>0.1</v>
      </c>
      <c r="J126" s="415">
        <f>IF(L126,I126-0.1,0)</f>
        <v>0</v>
      </c>
      <c r="L126" s="91" t="b">
        <v>0</v>
      </c>
    </row>
    <row r="127" spans="1:14" ht="16.5" customHeight="1">
      <c r="B127" s="181"/>
      <c r="C127" s="201"/>
      <c r="D127" s="680"/>
      <c r="E127" s="1664"/>
      <c r="F127" s="1664"/>
      <c r="G127" s="1664"/>
      <c r="H127" s="200"/>
      <c r="I127" s="775"/>
      <c r="J127" s="266"/>
    </row>
    <row r="128" spans="1:14" ht="16.5" customHeight="1">
      <c r="B128" s="199"/>
      <c r="C128" s="400"/>
      <c r="D128" s="681"/>
      <c r="E128" s="1666" t="s">
        <v>735</v>
      </c>
      <c r="F128" s="1666"/>
      <c r="G128" s="399"/>
      <c r="H128" s="399"/>
      <c r="I128" s="780"/>
      <c r="J128" s="414"/>
    </row>
    <row r="129" spans="1:14" s="155" customFormat="1" ht="17.399999999999999">
      <c r="A129" s="510"/>
      <c r="B129" s="182"/>
      <c r="C129" s="1158" t="s">
        <v>246</v>
      </c>
      <c r="D129" s="1174"/>
      <c r="E129" s="1665" t="s">
        <v>599</v>
      </c>
      <c r="F129" s="1665"/>
      <c r="G129" s="1665"/>
      <c r="H129" s="402"/>
      <c r="I129" s="776">
        <v>2</v>
      </c>
      <c r="J129" s="415">
        <f>IF(L129,I129-1,0)</f>
        <v>0</v>
      </c>
      <c r="K129" s="87"/>
      <c r="L129" s="88" t="b">
        <v>0</v>
      </c>
      <c r="N129" s="87"/>
    </row>
    <row r="130" spans="1:14" s="155" customFormat="1" ht="57" customHeight="1">
      <c r="A130" s="510"/>
      <c r="B130" s="181"/>
      <c r="C130" s="201"/>
      <c r="D130" s="680"/>
      <c r="E130" s="1664" t="s">
        <v>817</v>
      </c>
      <c r="F130" s="1664"/>
      <c r="G130" s="1664"/>
      <c r="H130" s="200"/>
      <c r="I130" s="775"/>
      <c r="J130" s="266"/>
      <c r="K130" s="87"/>
      <c r="L130" s="88"/>
      <c r="N130" s="87"/>
    </row>
    <row r="131" spans="1:14" ht="30" customHeight="1">
      <c r="A131" s="94"/>
      <c r="B131" s="202"/>
      <c r="C131" s="201"/>
      <c r="D131" s="680"/>
      <c r="E131" s="1689" t="s">
        <v>395</v>
      </c>
      <c r="F131" s="1689"/>
      <c r="G131" s="1689"/>
      <c r="H131" s="1690"/>
      <c r="I131" s="778"/>
      <c r="J131" s="426"/>
    </row>
    <row r="132" spans="1:14" s="155" customFormat="1" ht="17.399999999999999">
      <c r="A132" s="510"/>
      <c r="B132" s="182"/>
      <c r="C132" s="1158" t="s">
        <v>247</v>
      </c>
      <c r="D132" s="1163"/>
      <c r="E132" s="1665" t="s">
        <v>809</v>
      </c>
      <c r="F132" s="1665"/>
      <c r="G132" s="1665"/>
      <c r="H132" s="402"/>
      <c r="I132" s="776">
        <f>IF(AND(Projektgrundlagen!$I$20,NOT(Projektgrundlagen!$I$19)),0.1,0.25)</f>
        <v>0.25</v>
      </c>
      <c r="J132" s="415">
        <f>IF(L132,I132-0.05,0)</f>
        <v>0</v>
      </c>
      <c r="K132" s="87"/>
      <c r="L132" s="88" t="b">
        <v>0</v>
      </c>
      <c r="N132" s="87"/>
    </row>
    <row r="133" spans="1:14" s="155" customFormat="1" ht="16.5" customHeight="1">
      <c r="A133" s="510"/>
      <c r="B133" s="181"/>
      <c r="C133" s="201"/>
      <c r="D133" s="680"/>
      <c r="E133" s="1664"/>
      <c r="F133" s="1664"/>
      <c r="G133" s="1664"/>
      <c r="H133" s="200"/>
      <c r="I133" s="775"/>
      <c r="J133" s="266"/>
      <c r="K133" s="87"/>
      <c r="L133" s="88"/>
      <c r="N133" s="87"/>
    </row>
    <row r="134" spans="1:14" ht="16.5" customHeight="1">
      <c r="B134" s="199"/>
      <c r="C134" s="400"/>
      <c r="D134" s="681"/>
      <c r="E134" s="1138" t="s">
        <v>677</v>
      </c>
      <c r="F134" s="1138"/>
      <c r="G134" s="399"/>
      <c r="H134" s="399"/>
      <c r="I134" s="780"/>
      <c r="J134" s="414"/>
    </row>
    <row r="135" spans="1:14" s="155" customFormat="1" ht="17.399999999999999">
      <c r="A135" s="510"/>
      <c r="B135" s="182"/>
      <c r="C135" s="1158" t="s">
        <v>248</v>
      </c>
      <c r="D135" s="1174"/>
      <c r="E135" s="1665" t="s">
        <v>722</v>
      </c>
      <c r="F135" s="1665"/>
      <c r="G135" s="1665"/>
      <c r="H135" s="402"/>
      <c r="I135" s="776">
        <f>IF(AND(Projektgrundlagen!$I$20,NOT(Projektgrundlagen!$I$19)),0.25,0.8)</f>
        <v>0.8</v>
      </c>
      <c r="J135" s="415">
        <f>IF(L135,I135,0)</f>
        <v>0</v>
      </c>
      <c r="K135" s="87"/>
      <c r="L135" s="88" t="b">
        <v>0</v>
      </c>
      <c r="N135" s="87"/>
    </row>
    <row r="136" spans="1:14" s="155" customFormat="1">
      <c r="A136" s="510"/>
      <c r="B136" s="198"/>
      <c r="C136" s="400"/>
      <c r="D136" s="680"/>
      <c r="E136" s="1667" t="s">
        <v>723</v>
      </c>
      <c r="F136" s="1667"/>
      <c r="G136" s="1667"/>
      <c r="H136" s="399"/>
      <c r="I136" s="780"/>
      <c r="J136" s="414"/>
      <c r="K136" s="87"/>
      <c r="L136" s="88"/>
      <c r="N136" s="87"/>
    </row>
    <row r="137" spans="1:14" s="155" customFormat="1" ht="17.399999999999999">
      <c r="A137" s="510"/>
      <c r="B137" s="185"/>
      <c r="C137" s="1158" t="s">
        <v>249</v>
      </c>
      <c r="D137" s="1163"/>
      <c r="E137" s="1665" t="s">
        <v>810</v>
      </c>
      <c r="F137" s="1665"/>
      <c r="G137" s="1665"/>
      <c r="H137" s="402"/>
      <c r="I137" s="776">
        <v>0.1</v>
      </c>
      <c r="J137" s="415">
        <f>IF(L137,I137-0.1,0)</f>
        <v>0</v>
      </c>
      <c r="K137" s="87"/>
      <c r="L137" s="91" t="b">
        <v>0</v>
      </c>
      <c r="N137" s="87"/>
    </row>
    <row r="138" spans="1:14" s="155" customFormat="1" ht="16.5" customHeight="1">
      <c r="A138" s="510"/>
      <c r="B138" s="181"/>
      <c r="C138" s="201"/>
      <c r="D138" s="680"/>
      <c r="E138" s="1664"/>
      <c r="F138" s="1664"/>
      <c r="G138" s="1664"/>
      <c r="H138" s="200"/>
      <c r="I138" s="775"/>
      <c r="J138" s="266"/>
      <c r="K138" s="87"/>
      <c r="L138" s="88"/>
      <c r="N138" s="87"/>
    </row>
    <row r="139" spans="1:14" ht="16.5" customHeight="1">
      <c r="B139" s="199"/>
      <c r="C139" s="400"/>
      <c r="D139" s="681"/>
      <c r="E139" s="1138" t="s">
        <v>735</v>
      </c>
      <c r="F139" s="1138"/>
      <c r="G139" s="399"/>
      <c r="H139" s="399"/>
      <c r="I139" s="780"/>
      <c r="J139" s="414"/>
    </row>
    <row r="140" spans="1:14" s="155" customFormat="1" ht="17.399999999999999">
      <c r="A140" s="510"/>
      <c r="B140" s="182"/>
      <c r="C140" s="1158" t="s">
        <v>250</v>
      </c>
      <c r="D140" s="1174"/>
      <c r="E140" s="1665" t="s">
        <v>777</v>
      </c>
      <c r="F140" s="1665"/>
      <c r="G140" s="1665"/>
      <c r="H140" s="402"/>
      <c r="I140" s="776">
        <f>IF(AND(Projektgrundlagen!$I$20,NOT(Projektgrundlagen!$I$19)),0.1,0.25)</f>
        <v>0.25</v>
      </c>
      <c r="J140" s="415">
        <f>IF(L140,I140,0)</f>
        <v>0</v>
      </c>
      <c r="K140" s="87"/>
      <c r="L140" s="88" t="b">
        <v>0</v>
      </c>
      <c r="N140" s="87"/>
    </row>
    <row r="141" spans="1:14" s="155" customFormat="1" ht="43.5" customHeight="1">
      <c r="A141" s="510"/>
      <c r="B141" s="198"/>
      <c r="C141" s="400"/>
      <c r="D141" s="681"/>
      <c r="E141" s="1667" t="s">
        <v>776</v>
      </c>
      <c r="F141" s="1667"/>
      <c r="G141" s="1667"/>
      <c r="H141" s="399"/>
      <c r="I141" s="780"/>
      <c r="J141" s="414"/>
      <c r="K141" s="87"/>
      <c r="L141" s="88"/>
      <c r="N141" s="87"/>
    </row>
    <row r="142" spans="1:14" s="155" customFormat="1" ht="17.399999999999999">
      <c r="A142" s="510"/>
      <c r="B142" s="182"/>
      <c r="C142" s="1158" t="s">
        <v>251</v>
      </c>
      <c r="D142" s="1174"/>
      <c r="E142" s="1665" t="s">
        <v>562</v>
      </c>
      <c r="F142" s="1665"/>
      <c r="G142" s="1665"/>
      <c r="H142" s="402"/>
      <c r="I142" s="776">
        <f>IF(AND(Projektgrundlagen!$I$20,NOT(Projektgrundlagen!$I$19)),0.15,0.25)</f>
        <v>0.25</v>
      </c>
      <c r="J142" s="415">
        <f>IF(L142,I142,0)</f>
        <v>0</v>
      </c>
      <c r="K142" s="87"/>
      <c r="L142" s="88" t="b">
        <v>0</v>
      </c>
      <c r="N142" s="87"/>
    </row>
    <row r="143" spans="1:14" s="155" customFormat="1" ht="16.5" customHeight="1" thickBot="1">
      <c r="A143" s="510"/>
      <c r="B143" s="198"/>
      <c r="C143" s="400"/>
      <c r="D143" s="768"/>
      <c r="E143" s="1682"/>
      <c r="F143" s="1682"/>
      <c r="G143" s="1682"/>
      <c r="H143" s="399"/>
      <c r="I143" s="771"/>
      <c r="J143" s="414"/>
      <c r="K143" s="87"/>
      <c r="L143" s="88"/>
      <c r="N143" s="87"/>
    </row>
    <row r="144" spans="1:14" s="155" customFormat="1" ht="22.5" customHeight="1" thickBot="1">
      <c r="A144" s="510"/>
      <c r="B144" s="1684" t="s">
        <v>756</v>
      </c>
      <c r="C144" s="1679"/>
      <c r="D144" s="1679"/>
      <c r="E144" s="1679"/>
      <c r="F144" s="1679"/>
      <c r="G144" s="1679"/>
      <c r="H144" s="1680"/>
      <c r="I144" s="536">
        <f>IF(Projektgrundlagen!I26,SUM(I124:I143),0)</f>
        <v>0</v>
      </c>
      <c r="J144" s="537">
        <f>IF(Projektgrundlagen!I26,SUMIF(L124:L143,TRUE,J124:J143),0)</f>
        <v>0</v>
      </c>
      <c r="K144" s="87"/>
      <c r="L144" s="88"/>
      <c r="N144" s="87"/>
    </row>
    <row r="145" spans="1:14" s="155" customFormat="1" ht="7.5" customHeight="1">
      <c r="A145" s="510"/>
      <c r="B145" s="241"/>
      <c r="C145" s="184"/>
      <c r="D145" s="183"/>
      <c r="E145" s="183"/>
      <c r="F145" s="183"/>
      <c r="G145" s="183"/>
      <c r="H145" s="186"/>
      <c r="I145" s="270"/>
      <c r="J145" s="167"/>
      <c r="K145" s="87"/>
      <c r="L145" s="88"/>
      <c r="N145" s="87"/>
    </row>
    <row r="146" spans="1:14" ht="17.399999999999999">
      <c r="B146" s="185"/>
      <c r="C146" s="1114"/>
      <c r="D146" s="950"/>
      <c r="E146" s="1703" t="s">
        <v>830</v>
      </c>
      <c r="F146" s="1703"/>
      <c r="G146" s="1703"/>
      <c r="H146" s="402"/>
      <c r="I146" s="781"/>
      <c r="J146" s="1115"/>
      <c r="L146" s="91"/>
    </row>
    <row r="147" spans="1:14" ht="17.399999999999999" thickBot="1">
      <c r="B147" s="181"/>
      <c r="C147" s="201"/>
      <c r="D147" s="680"/>
      <c r="E147" s="1704" t="s">
        <v>836</v>
      </c>
      <c r="F147" s="1704"/>
      <c r="G147" s="1704"/>
      <c r="H147" s="200"/>
      <c r="I147" s="775"/>
      <c r="J147" s="266"/>
    </row>
    <row r="148" spans="1:14" s="155" customFormat="1" ht="22.5" customHeight="1" thickBot="1">
      <c r="A148" s="510"/>
      <c r="B148" s="1684" t="s">
        <v>755</v>
      </c>
      <c r="C148" s="1679"/>
      <c r="D148" s="1679"/>
      <c r="E148" s="1679"/>
      <c r="F148" s="1679"/>
      <c r="G148" s="1679"/>
      <c r="H148" s="1680"/>
      <c r="I148" s="536">
        <f>I144+I121</f>
        <v>0</v>
      </c>
      <c r="J148" s="537">
        <f>J144+J121</f>
        <v>0</v>
      </c>
      <c r="K148" s="87"/>
      <c r="L148" s="88"/>
      <c r="N148" s="87"/>
    </row>
    <row r="149" spans="1:14" s="155" customFormat="1">
      <c r="A149" s="510"/>
      <c r="B149" s="888"/>
      <c r="C149" s="893"/>
      <c r="D149" s="898"/>
      <c r="E149" s="898"/>
      <c r="F149" s="898"/>
      <c r="G149" s="898"/>
      <c r="H149" s="899"/>
      <c r="I149" s="897"/>
      <c r="J149" s="167"/>
      <c r="K149" s="87"/>
      <c r="L149" s="88"/>
      <c r="N149" s="87"/>
    </row>
    <row r="150" spans="1:14" s="155" customFormat="1" ht="30" customHeight="1">
      <c r="A150" s="510"/>
      <c r="B150" s="1671" t="s">
        <v>563</v>
      </c>
      <c r="C150" s="1672"/>
      <c r="D150" s="1672"/>
      <c r="E150" s="1672"/>
      <c r="F150" s="1672"/>
      <c r="G150" s="1672"/>
      <c r="H150" s="1672"/>
      <c r="I150" s="533"/>
      <c r="J150" s="534"/>
      <c r="K150" s="87"/>
      <c r="L150" s="88"/>
      <c r="N150" s="87"/>
    </row>
    <row r="151" spans="1:14" s="155" customFormat="1" ht="17.399999999999999">
      <c r="A151" s="510"/>
      <c r="B151" s="182"/>
      <c r="C151" s="1158" t="s">
        <v>243</v>
      </c>
      <c r="D151" s="1159"/>
      <c r="E151" s="1663" t="s">
        <v>779</v>
      </c>
      <c r="F151" s="1663"/>
      <c r="G151" s="1663"/>
      <c r="H151" s="402"/>
      <c r="I151" s="774">
        <v>18</v>
      </c>
      <c r="J151" s="415">
        <f>IF(L151,I151,0)</f>
        <v>0</v>
      </c>
      <c r="K151" s="87"/>
      <c r="L151" s="88" t="b">
        <v>0</v>
      </c>
      <c r="N151" s="87"/>
    </row>
    <row r="152" spans="1:14" s="155" customFormat="1" ht="57" customHeight="1">
      <c r="A152" s="510"/>
      <c r="B152" s="198"/>
      <c r="C152" s="400"/>
      <c r="D152" s="681"/>
      <c r="E152" s="1667" t="s">
        <v>778</v>
      </c>
      <c r="F152" s="1667"/>
      <c r="G152" s="1667"/>
      <c r="H152" s="399"/>
      <c r="I152" s="780"/>
      <c r="J152" s="414"/>
      <c r="K152" s="87"/>
      <c r="L152" s="88"/>
      <c r="N152" s="87"/>
    </row>
    <row r="153" spans="1:14" s="155" customFormat="1" ht="17.399999999999999">
      <c r="A153" s="510"/>
      <c r="B153" s="182"/>
      <c r="C153" s="1158" t="s">
        <v>245</v>
      </c>
      <c r="D153" s="1174"/>
      <c r="E153" s="1665" t="s">
        <v>572</v>
      </c>
      <c r="F153" s="1665"/>
      <c r="G153" s="1665"/>
      <c r="H153" s="402"/>
      <c r="I153" s="776">
        <v>0.1</v>
      </c>
      <c r="J153" s="415">
        <f>IF(L153,I153,0)</f>
        <v>0</v>
      </c>
      <c r="K153" s="87"/>
      <c r="L153" s="88" t="b">
        <v>0</v>
      </c>
      <c r="N153" s="87"/>
    </row>
    <row r="154" spans="1:14" s="155" customFormat="1" ht="30" customHeight="1">
      <c r="A154" s="510"/>
      <c r="B154" s="198"/>
      <c r="C154" s="400"/>
      <c r="D154" s="681"/>
      <c r="E154" s="1667" t="s">
        <v>573</v>
      </c>
      <c r="F154" s="1667"/>
      <c r="G154" s="1667"/>
      <c r="H154" s="399"/>
      <c r="I154" s="780"/>
      <c r="J154" s="414"/>
      <c r="K154" s="87"/>
      <c r="L154" s="88"/>
      <c r="N154" s="87"/>
    </row>
    <row r="155" spans="1:14" s="155" customFormat="1" ht="17.399999999999999">
      <c r="A155" s="510"/>
      <c r="B155" s="182"/>
      <c r="C155" s="1158" t="s">
        <v>246</v>
      </c>
      <c r="D155" s="1174"/>
      <c r="E155" s="1665" t="s">
        <v>574</v>
      </c>
      <c r="F155" s="1665"/>
      <c r="G155" s="1665"/>
      <c r="H155" s="402"/>
      <c r="I155" s="776">
        <f>IF(AND(Projektgrundlagen!$I$20,NOT(Projektgrundlagen!$I$19)),1.25,1.5)</f>
        <v>1.5</v>
      </c>
      <c r="J155" s="415">
        <f>IF(L155,I155,0)</f>
        <v>0</v>
      </c>
      <c r="K155" s="87"/>
      <c r="L155" s="88" t="b">
        <v>0</v>
      </c>
      <c r="N155" s="87"/>
    </row>
    <row r="156" spans="1:14" s="155" customFormat="1" ht="16.5" customHeight="1">
      <c r="A156" s="510"/>
      <c r="B156" s="198"/>
      <c r="C156" s="400"/>
      <c r="D156" s="681"/>
      <c r="E156" s="1667"/>
      <c r="F156" s="1667"/>
      <c r="G156" s="1667"/>
      <c r="H156" s="399"/>
      <c r="I156" s="780"/>
      <c r="J156" s="414"/>
      <c r="K156" s="87"/>
      <c r="L156" s="88"/>
      <c r="N156" s="87"/>
    </row>
    <row r="157" spans="1:14" s="155" customFormat="1" ht="17.399999999999999">
      <c r="A157" s="510"/>
      <c r="B157" s="182"/>
      <c r="C157" s="1158" t="s">
        <v>247</v>
      </c>
      <c r="D157" s="1174"/>
      <c r="E157" s="1665" t="s">
        <v>335</v>
      </c>
      <c r="F157" s="1665"/>
      <c r="G157" s="1665"/>
      <c r="H157" s="402"/>
      <c r="I157" s="776">
        <f>IF(AND(Projektgrundlagen!$I$20,NOT(Projektgrundlagen!$I$19)),1.25,1.6)</f>
        <v>1.6</v>
      </c>
      <c r="J157" s="415">
        <f>IF(L157,I157,0)</f>
        <v>0</v>
      </c>
      <c r="K157" s="87"/>
      <c r="L157" s="88" t="b">
        <v>0</v>
      </c>
      <c r="N157" s="87"/>
    </row>
    <row r="158" spans="1:14" s="155" customFormat="1" ht="16.5" customHeight="1">
      <c r="A158" s="510"/>
      <c r="B158" s="198"/>
      <c r="C158" s="400"/>
      <c r="D158" s="681"/>
      <c r="E158" s="1667" t="s">
        <v>575</v>
      </c>
      <c r="F158" s="1667"/>
      <c r="G158" s="1667"/>
      <c r="H158" s="399"/>
      <c r="I158" s="780"/>
      <c r="J158" s="414"/>
      <c r="K158" s="87"/>
      <c r="L158" s="88"/>
      <c r="N158" s="87"/>
    </row>
    <row r="159" spans="1:14" s="155" customFormat="1" ht="17.399999999999999">
      <c r="A159" s="510"/>
      <c r="B159" s="182"/>
      <c r="C159" s="1158" t="s">
        <v>248</v>
      </c>
      <c r="D159" s="1163"/>
      <c r="E159" s="1665" t="s">
        <v>687</v>
      </c>
      <c r="F159" s="1665"/>
      <c r="G159" s="1665"/>
      <c r="H159" s="402"/>
      <c r="I159" s="776">
        <v>0.75</v>
      </c>
      <c r="J159" s="415">
        <f>IF(L159,I159,0)</f>
        <v>0</v>
      </c>
      <c r="K159" s="87"/>
      <c r="L159" s="88" t="b">
        <v>0</v>
      </c>
      <c r="N159" s="87"/>
    </row>
    <row r="160" spans="1:14" s="155" customFormat="1">
      <c r="A160" s="510"/>
      <c r="B160" s="181"/>
      <c r="C160" s="201"/>
      <c r="D160" s="680"/>
      <c r="E160" s="1664" t="s">
        <v>686</v>
      </c>
      <c r="F160" s="1664"/>
      <c r="G160" s="1664"/>
      <c r="H160" s="200"/>
      <c r="I160" s="775"/>
      <c r="J160" s="266"/>
      <c r="K160" s="87"/>
      <c r="L160" s="88"/>
      <c r="N160" s="87"/>
    </row>
    <row r="161" spans="1:14" s="155" customFormat="1" ht="17.399999999999999">
      <c r="A161" s="510"/>
      <c r="B161" s="182"/>
      <c r="C161" s="1158" t="s">
        <v>249</v>
      </c>
      <c r="D161" s="1163"/>
      <c r="E161" s="1665" t="s">
        <v>576</v>
      </c>
      <c r="F161" s="1665"/>
      <c r="G161" s="1665"/>
      <c r="H161" s="402"/>
      <c r="I161" s="776">
        <v>1</v>
      </c>
      <c r="J161" s="415">
        <f>IF(L161,I161,0)</f>
        <v>0</v>
      </c>
      <c r="K161" s="87"/>
      <c r="L161" s="88" t="b">
        <v>0</v>
      </c>
      <c r="N161" s="87"/>
    </row>
    <row r="162" spans="1:14" s="155" customFormat="1" ht="16.5" customHeight="1">
      <c r="A162" s="510"/>
      <c r="B162" s="198"/>
      <c r="C162" s="400"/>
      <c r="D162" s="681"/>
      <c r="E162" s="1667" t="s">
        <v>688</v>
      </c>
      <c r="F162" s="1667"/>
      <c r="G162" s="1667"/>
      <c r="H162" s="399"/>
      <c r="I162" s="780"/>
      <c r="J162" s="414"/>
      <c r="K162" s="87"/>
      <c r="L162" s="88"/>
      <c r="N162" s="87"/>
    </row>
    <row r="163" spans="1:14" s="155" customFormat="1" ht="17.399999999999999">
      <c r="A163" s="510"/>
      <c r="B163" s="182"/>
      <c r="C163" s="1158" t="s">
        <v>250</v>
      </c>
      <c r="D163" s="1163"/>
      <c r="E163" s="1665" t="s">
        <v>577</v>
      </c>
      <c r="F163" s="1665"/>
      <c r="G163" s="1665"/>
      <c r="H163" s="402"/>
      <c r="I163" s="776">
        <v>3.75</v>
      </c>
      <c r="J163" s="415">
        <f>IF(L163,I163,0)</f>
        <v>0</v>
      </c>
      <c r="K163" s="87"/>
      <c r="L163" s="88" t="b">
        <v>0</v>
      </c>
      <c r="N163" s="87"/>
    </row>
    <row r="164" spans="1:14" s="155" customFormat="1" ht="43.5" customHeight="1">
      <c r="A164" s="510"/>
      <c r="B164" s="181"/>
      <c r="C164" s="201"/>
      <c r="D164" s="680"/>
      <c r="E164" s="1664" t="s">
        <v>578</v>
      </c>
      <c r="F164" s="1664"/>
      <c r="G164" s="1664"/>
      <c r="H164" s="200"/>
      <c r="I164" s="775"/>
      <c r="J164" s="266"/>
      <c r="K164" s="87"/>
      <c r="L164" s="88"/>
      <c r="N164" s="87"/>
    </row>
    <row r="165" spans="1:14" s="155" customFormat="1" ht="17.399999999999999">
      <c r="A165" s="510"/>
      <c r="B165" s="182"/>
      <c r="C165" s="1158" t="s">
        <v>251</v>
      </c>
      <c r="D165" s="1163"/>
      <c r="E165" s="1665" t="s">
        <v>579</v>
      </c>
      <c r="F165" s="1665"/>
      <c r="G165" s="1665"/>
      <c r="H165" s="402"/>
      <c r="I165" s="776">
        <f>IF(AND(Projektgrundlagen!$I$20,NOT(Projektgrundlagen!$I$19)),1,0.25)</f>
        <v>0.25</v>
      </c>
      <c r="J165" s="415">
        <f>IF(L165,I165,0)</f>
        <v>0</v>
      </c>
      <c r="K165" s="87"/>
      <c r="L165" s="88" t="b">
        <v>0</v>
      </c>
      <c r="N165" s="87"/>
    </row>
    <row r="166" spans="1:14" s="155" customFormat="1" ht="16.5" customHeight="1">
      <c r="A166" s="510"/>
      <c r="B166" s="181"/>
      <c r="C166" s="201"/>
      <c r="D166" s="680"/>
      <c r="E166" s="1664" t="s">
        <v>580</v>
      </c>
      <c r="F166" s="1664"/>
      <c r="G166" s="1664"/>
      <c r="H166" s="200"/>
      <c r="I166" s="775"/>
      <c r="J166" s="266"/>
      <c r="K166" s="87"/>
      <c r="L166" s="88"/>
      <c r="N166" s="87"/>
    </row>
    <row r="167" spans="1:14" s="155" customFormat="1" ht="17.399999999999999">
      <c r="A167" s="510"/>
      <c r="B167" s="182"/>
      <c r="C167" s="1158" t="s">
        <v>252</v>
      </c>
      <c r="D167" s="1163"/>
      <c r="E167" s="1665" t="s">
        <v>780</v>
      </c>
      <c r="F167" s="1665"/>
      <c r="G167" s="1665"/>
      <c r="H167" s="402"/>
      <c r="I167" s="776">
        <f>IF(AND(Projektgrundlagen!$I$20,NOT(Projektgrundlagen!$I$19)),0.7,0.85)</f>
        <v>0.85</v>
      </c>
      <c r="J167" s="415">
        <f>IF(L167,I167,0)</f>
        <v>0</v>
      </c>
      <c r="K167" s="87"/>
      <c r="L167" s="88" t="b">
        <v>0</v>
      </c>
      <c r="N167" s="87"/>
    </row>
    <row r="168" spans="1:14" s="155" customFormat="1" ht="57" customHeight="1">
      <c r="A168" s="510"/>
      <c r="B168" s="181"/>
      <c r="C168" s="201"/>
      <c r="D168" s="680"/>
      <c r="E168" s="1664" t="s">
        <v>582</v>
      </c>
      <c r="F168" s="1664"/>
      <c r="G168" s="1664"/>
      <c r="H168" s="200"/>
      <c r="I168" s="775"/>
      <c r="J168" s="266"/>
      <c r="K168" s="87"/>
      <c r="L168" s="88"/>
      <c r="N168" s="87"/>
    </row>
    <row r="169" spans="1:14" s="155" customFormat="1" ht="17.399999999999999">
      <c r="A169" s="510"/>
      <c r="B169" s="182"/>
      <c r="C169" s="1158" t="s">
        <v>253</v>
      </c>
      <c r="D169" s="1163"/>
      <c r="E169" s="1665" t="s">
        <v>583</v>
      </c>
      <c r="F169" s="1665"/>
      <c r="G169" s="1665"/>
      <c r="H169" s="402"/>
      <c r="I169" s="776">
        <v>1</v>
      </c>
      <c r="J169" s="415">
        <f>IF(L169,I169,0)</f>
        <v>0</v>
      </c>
      <c r="K169" s="87"/>
      <c r="L169" s="88" t="b">
        <v>0</v>
      </c>
      <c r="N169" s="87"/>
    </row>
    <row r="170" spans="1:14" s="155" customFormat="1" ht="30" customHeight="1">
      <c r="A170" s="510"/>
      <c r="B170" s="198"/>
      <c r="C170" s="400"/>
      <c r="D170" s="680"/>
      <c r="E170" s="1664" t="s">
        <v>600</v>
      </c>
      <c r="F170" s="1664"/>
      <c r="G170" s="1664"/>
      <c r="H170" s="200"/>
      <c r="I170" s="775"/>
      <c r="J170" s="414"/>
      <c r="K170" s="87"/>
      <c r="L170" s="88"/>
      <c r="N170" s="87"/>
    </row>
    <row r="171" spans="1:14" s="155" customFormat="1" ht="17.399999999999999">
      <c r="A171" s="510"/>
      <c r="B171" s="182"/>
      <c r="C171" s="1158" t="s">
        <v>254</v>
      </c>
      <c r="D171" s="1163"/>
      <c r="E171" s="1665" t="s">
        <v>725</v>
      </c>
      <c r="F171" s="1665"/>
      <c r="G171" s="1665"/>
      <c r="H171" s="402"/>
      <c r="I171" s="776">
        <v>1.5</v>
      </c>
      <c r="J171" s="415">
        <f>IF(L171,I171-0.5,0)</f>
        <v>0</v>
      </c>
      <c r="K171" s="87"/>
      <c r="L171" s="88" t="b">
        <v>0</v>
      </c>
      <c r="N171" s="87"/>
    </row>
    <row r="172" spans="1:14" s="155" customFormat="1" ht="138" customHeight="1">
      <c r="A172" s="510"/>
      <c r="B172" s="181"/>
      <c r="C172" s="201"/>
      <c r="D172" s="680"/>
      <c r="E172" s="1664" t="s">
        <v>818</v>
      </c>
      <c r="F172" s="1664"/>
      <c r="G172" s="1664"/>
      <c r="H172" s="200"/>
      <c r="I172" s="775"/>
      <c r="J172" s="266"/>
      <c r="K172" s="87"/>
      <c r="L172" s="88"/>
      <c r="N172" s="87"/>
    </row>
    <row r="173" spans="1:14">
      <c r="B173" s="199"/>
      <c r="C173" s="400"/>
      <c r="D173" s="681"/>
      <c r="E173" s="1138" t="s">
        <v>689</v>
      </c>
      <c r="F173" s="1138"/>
      <c r="G173" s="1138"/>
      <c r="H173" s="1138"/>
      <c r="I173" s="780"/>
      <c r="J173" s="414"/>
    </row>
    <row r="174" spans="1:14" s="155" customFormat="1" ht="17.399999999999999">
      <c r="A174" s="510"/>
      <c r="B174" s="182"/>
      <c r="C174" s="1175" t="s">
        <v>565</v>
      </c>
      <c r="D174" s="1174"/>
      <c r="E174" s="1665" t="s">
        <v>812</v>
      </c>
      <c r="F174" s="1665"/>
      <c r="G174" s="1665"/>
      <c r="H174" s="203"/>
      <c r="I174" s="783">
        <v>0.1</v>
      </c>
      <c r="J174" s="416">
        <f>IF(L174,I174-0.05,0)</f>
        <v>0</v>
      </c>
      <c r="K174" s="87"/>
      <c r="L174" s="88" t="b">
        <v>0</v>
      </c>
      <c r="N174" s="87"/>
    </row>
    <row r="175" spans="1:14" s="155" customFormat="1">
      <c r="A175" s="510"/>
      <c r="B175" s="181"/>
      <c r="C175" s="201"/>
      <c r="D175" s="680"/>
      <c r="E175" s="1664"/>
      <c r="F175" s="1664"/>
      <c r="G175" s="1664"/>
      <c r="H175" s="200"/>
      <c r="I175" s="775"/>
      <c r="J175" s="266"/>
      <c r="K175" s="87"/>
      <c r="L175" s="88"/>
      <c r="N175" s="87"/>
    </row>
    <row r="176" spans="1:14">
      <c r="B176" s="199"/>
      <c r="C176" s="400"/>
      <c r="D176" s="681"/>
      <c r="E176" s="1138" t="s">
        <v>736</v>
      </c>
      <c r="F176" s="1138"/>
      <c r="G176" s="1138"/>
      <c r="H176" s="1138"/>
      <c r="I176" s="780"/>
      <c r="J176" s="414"/>
    </row>
    <row r="177" spans="1:14" s="155" customFormat="1" ht="17.399999999999999">
      <c r="A177" s="510"/>
      <c r="B177" s="182"/>
      <c r="C177" s="1158" t="s">
        <v>566</v>
      </c>
      <c r="D177" s="1163"/>
      <c r="E177" s="1665" t="s">
        <v>585</v>
      </c>
      <c r="F177" s="1665"/>
      <c r="G177" s="1665"/>
      <c r="H177" s="402"/>
      <c r="I177" s="776">
        <v>0.25</v>
      </c>
      <c r="J177" s="415">
        <f>IF(L177,I177,0)</f>
        <v>0</v>
      </c>
      <c r="K177" s="87"/>
      <c r="L177" s="88" t="b">
        <v>0</v>
      </c>
      <c r="N177" s="87"/>
    </row>
    <row r="178" spans="1:14" s="155" customFormat="1" ht="57" customHeight="1">
      <c r="A178" s="510"/>
      <c r="B178" s="181"/>
      <c r="C178" s="201"/>
      <c r="D178" s="680"/>
      <c r="E178" s="1664" t="s">
        <v>798</v>
      </c>
      <c r="F178" s="1664"/>
      <c r="G178" s="1664"/>
      <c r="H178" s="200"/>
      <c r="I178" s="775"/>
      <c r="J178" s="266"/>
      <c r="K178" s="87"/>
      <c r="L178" s="88"/>
      <c r="N178" s="87"/>
    </row>
    <row r="179" spans="1:14">
      <c r="B179" s="202"/>
      <c r="C179" s="201"/>
      <c r="D179" s="680"/>
      <c r="E179" s="1696" t="s">
        <v>797</v>
      </c>
      <c r="F179" s="1696"/>
      <c r="G179" s="1696"/>
      <c r="H179" s="200"/>
      <c r="I179" s="775"/>
      <c r="J179" s="266"/>
    </row>
    <row r="180" spans="1:14" s="155" customFormat="1" ht="17.399999999999999">
      <c r="A180" s="510"/>
      <c r="B180" s="182"/>
      <c r="C180" s="1176" t="s">
        <v>567</v>
      </c>
      <c r="D180" s="1163"/>
      <c r="E180" s="1665" t="s">
        <v>782</v>
      </c>
      <c r="F180" s="1665"/>
      <c r="G180" s="1665"/>
      <c r="H180" s="402"/>
      <c r="I180" s="776">
        <v>0.25</v>
      </c>
      <c r="J180" s="415">
        <f>IF(L180,I180-0.1,0)</f>
        <v>0</v>
      </c>
      <c r="K180" s="87"/>
      <c r="L180" s="88" t="b">
        <v>0</v>
      </c>
      <c r="N180" s="87"/>
    </row>
    <row r="181" spans="1:14" s="155" customFormat="1" ht="30" customHeight="1">
      <c r="A181" s="510"/>
      <c r="B181" s="181"/>
      <c r="C181" s="201"/>
      <c r="D181" s="680"/>
      <c r="E181" s="1664" t="s">
        <v>781</v>
      </c>
      <c r="F181" s="1664"/>
      <c r="G181" s="1664"/>
      <c r="H181" s="200"/>
      <c r="I181" s="775"/>
      <c r="J181" s="266"/>
      <c r="K181" s="87"/>
      <c r="L181" s="88"/>
      <c r="N181" s="87"/>
    </row>
    <row r="182" spans="1:14" ht="16.5" customHeight="1">
      <c r="B182" s="199"/>
      <c r="C182" s="400"/>
      <c r="D182" s="681"/>
      <c r="E182" s="1138" t="s">
        <v>691</v>
      </c>
      <c r="F182" s="1138"/>
      <c r="G182" s="1138"/>
      <c r="H182" s="1138"/>
      <c r="I182" s="780"/>
      <c r="J182" s="414"/>
    </row>
    <row r="183" spans="1:14" s="155" customFormat="1" ht="17.399999999999999">
      <c r="A183" s="510"/>
      <c r="B183" s="182"/>
      <c r="C183" s="1175" t="s">
        <v>568</v>
      </c>
      <c r="D183" s="1163"/>
      <c r="E183" s="1665" t="s">
        <v>587</v>
      </c>
      <c r="F183" s="1665"/>
      <c r="G183" s="1665"/>
      <c r="H183" s="203"/>
      <c r="I183" s="783">
        <v>0.1</v>
      </c>
      <c r="J183" s="416">
        <f>IF(L183,I183,0)</f>
        <v>0</v>
      </c>
      <c r="K183" s="87"/>
      <c r="L183" s="88" t="b">
        <v>0</v>
      </c>
      <c r="N183" s="87"/>
    </row>
    <row r="184" spans="1:14" s="155" customFormat="1" ht="16.5" customHeight="1">
      <c r="A184" s="510"/>
      <c r="B184" s="181"/>
      <c r="C184" s="201"/>
      <c r="D184" s="680"/>
      <c r="E184" s="1664"/>
      <c r="F184" s="1664"/>
      <c r="G184" s="1664"/>
      <c r="H184" s="200"/>
      <c r="I184" s="775"/>
      <c r="J184" s="266"/>
      <c r="K184" s="87"/>
      <c r="L184" s="88"/>
      <c r="N184" s="87"/>
    </row>
    <row r="185" spans="1:14" s="155" customFormat="1" ht="17.399999999999999">
      <c r="A185" s="510"/>
      <c r="B185" s="182"/>
      <c r="C185" s="1176" t="s">
        <v>569</v>
      </c>
      <c r="D185" s="1163"/>
      <c r="E185" s="1665" t="s">
        <v>588</v>
      </c>
      <c r="F185" s="1665"/>
      <c r="G185" s="1665"/>
      <c r="H185" s="402"/>
      <c r="I185" s="776">
        <v>1</v>
      </c>
      <c r="J185" s="415">
        <f>IF(L185,I185,0)</f>
        <v>0</v>
      </c>
      <c r="K185" s="87"/>
      <c r="L185" s="88" t="b">
        <v>0</v>
      </c>
      <c r="N185" s="87"/>
    </row>
    <row r="186" spans="1:14" s="155" customFormat="1" ht="16.5" customHeight="1">
      <c r="A186" s="510"/>
      <c r="B186" s="198"/>
      <c r="C186" s="201"/>
      <c r="D186" s="680"/>
      <c r="E186" s="1664"/>
      <c r="F186" s="1664"/>
      <c r="G186" s="1664"/>
      <c r="H186" s="200"/>
      <c r="I186" s="775"/>
      <c r="J186" s="266"/>
      <c r="K186" s="87"/>
      <c r="L186" s="88"/>
      <c r="N186" s="87"/>
    </row>
    <row r="187" spans="1:14" ht="16.5" customHeight="1">
      <c r="B187" s="411"/>
      <c r="C187" s="1167"/>
      <c r="D187" s="1177"/>
      <c r="E187" s="772" t="s">
        <v>819</v>
      </c>
      <c r="F187" s="772"/>
      <c r="G187" s="772"/>
      <c r="H187" s="772"/>
      <c r="I187" s="782"/>
      <c r="J187" s="415">
        <f>IF(L187,IF($L$15,I187+J16,I187),0)</f>
        <v>0</v>
      </c>
      <c r="L187" s="88" t="b">
        <f>L15</f>
        <v>0</v>
      </c>
    </row>
    <row r="188" spans="1:14" ht="16.5" customHeight="1">
      <c r="B188" s="202"/>
      <c r="C188" s="201"/>
      <c r="D188" s="1117"/>
      <c r="E188" s="1695"/>
      <c r="F188" s="1695"/>
      <c r="G188" s="200"/>
      <c r="H188" s="200"/>
      <c r="I188" s="775"/>
      <c r="J188" s="266"/>
    </row>
    <row r="189" spans="1:14" ht="17.399999999999999">
      <c r="B189" s="185"/>
      <c r="C189" s="1167"/>
      <c r="D189" s="1163"/>
      <c r="E189" s="1705" t="s">
        <v>830</v>
      </c>
      <c r="F189" s="1705"/>
      <c r="G189" s="1705"/>
      <c r="H189" s="402"/>
      <c r="I189" s="781"/>
      <c r="J189" s="1116"/>
      <c r="L189" s="91"/>
    </row>
    <row r="190" spans="1:14" ht="17.399999999999999" thickBot="1">
      <c r="B190" s="181"/>
      <c r="C190" s="201"/>
      <c r="D190" s="680"/>
      <c r="E190" s="1704" t="s">
        <v>834</v>
      </c>
      <c r="F190" s="1704"/>
      <c r="G190" s="1704"/>
      <c r="H190" s="200"/>
      <c r="I190" s="775"/>
      <c r="J190" s="266"/>
    </row>
    <row r="191" spans="1:14" s="155" customFormat="1" ht="22.5" customHeight="1" thickBot="1">
      <c r="A191" s="510"/>
      <c r="B191" s="1678" t="s">
        <v>724</v>
      </c>
      <c r="C191" s="1679"/>
      <c r="D191" s="1679"/>
      <c r="E191" s="1679"/>
      <c r="F191" s="1679"/>
      <c r="G191" s="1679"/>
      <c r="H191" s="1680"/>
      <c r="I191" s="536">
        <f>IF(Projektgrundlagen!I26,SUM(I151:I188),0)</f>
        <v>0</v>
      </c>
      <c r="J191" s="537">
        <f>IF(Projektgrundlagen!I26,SUMIF(L151:L188,TRUE,J151:J188),0)</f>
        <v>0</v>
      </c>
      <c r="K191" s="87"/>
      <c r="L191" s="88"/>
      <c r="N191" s="87"/>
    </row>
    <row r="192" spans="1:14" s="155" customFormat="1">
      <c r="A192" s="510"/>
      <c r="B192" s="888"/>
      <c r="C192" s="893"/>
      <c r="D192" s="898"/>
      <c r="E192" s="898"/>
      <c r="F192" s="899"/>
      <c r="G192" s="900"/>
      <c r="H192" s="899"/>
      <c r="I192" s="897"/>
      <c r="J192" s="167"/>
      <c r="K192" s="87"/>
      <c r="L192" s="88"/>
      <c r="N192" s="87"/>
    </row>
    <row r="193" spans="1:14" s="155" customFormat="1" ht="30" customHeight="1">
      <c r="A193" s="510"/>
      <c r="B193" s="1671" t="s">
        <v>155</v>
      </c>
      <c r="C193" s="1672"/>
      <c r="D193" s="1672"/>
      <c r="E193" s="1672"/>
      <c r="F193" s="1672"/>
      <c r="G193" s="1672"/>
      <c r="H193" s="1672"/>
      <c r="I193" s="533"/>
      <c r="J193" s="534"/>
      <c r="K193" s="87"/>
      <c r="L193" s="88"/>
      <c r="N193" s="87"/>
    </row>
    <row r="194" spans="1:14" s="155" customFormat="1" ht="17.399999999999999">
      <c r="A194" s="510"/>
      <c r="B194" s="182"/>
      <c r="C194" s="1171" t="s">
        <v>243</v>
      </c>
      <c r="D194" s="1159"/>
      <c r="E194" s="1663" t="s">
        <v>182</v>
      </c>
      <c r="F194" s="1663"/>
      <c r="G194" s="1663"/>
      <c r="H194" s="401"/>
      <c r="I194" s="774">
        <v>1</v>
      </c>
      <c r="J194" s="413">
        <f>IF(L194,I194,0)</f>
        <v>0</v>
      </c>
      <c r="K194" s="87"/>
      <c r="L194" s="88" t="b">
        <v>0</v>
      </c>
      <c r="N194" s="87"/>
    </row>
    <row r="195" spans="1:14" s="155" customFormat="1" ht="43.5" customHeight="1">
      <c r="A195" s="510"/>
      <c r="B195" s="198"/>
      <c r="C195" s="400"/>
      <c r="D195" s="681"/>
      <c r="E195" s="1667" t="s">
        <v>183</v>
      </c>
      <c r="F195" s="1667"/>
      <c r="G195" s="1667"/>
      <c r="H195" s="399"/>
      <c r="I195" s="780"/>
      <c r="J195" s="414"/>
      <c r="K195" s="87"/>
      <c r="L195" s="88"/>
      <c r="N195" s="87"/>
    </row>
    <row r="196" spans="1:14" s="155" customFormat="1" ht="17.399999999999999">
      <c r="A196" s="510"/>
      <c r="B196" s="182"/>
      <c r="C196" s="1158" t="s">
        <v>245</v>
      </c>
      <c r="D196" s="1174"/>
      <c r="E196" s="1665" t="s">
        <v>334</v>
      </c>
      <c r="F196" s="1665"/>
      <c r="G196" s="1665"/>
      <c r="H196" s="402"/>
      <c r="I196" s="776">
        <v>0.8</v>
      </c>
      <c r="J196" s="415">
        <f>IF(L196,I196,0)</f>
        <v>0</v>
      </c>
      <c r="K196" s="87"/>
      <c r="L196" s="88" t="b">
        <v>0</v>
      </c>
      <c r="N196" s="87"/>
    </row>
    <row r="197" spans="1:14" s="155" customFormat="1" ht="30" customHeight="1">
      <c r="A197" s="510"/>
      <c r="B197" s="198"/>
      <c r="C197" s="400"/>
      <c r="D197" s="681"/>
      <c r="E197" s="1667" t="s">
        <v>331</v>
      </c>
      <c r="F197" s="1667"/>
      <c r="G197" s="1667"/>
      <c r="H197" s="399"/>
      <c r="I197" s="780"/>
      <c r="J197" s="414"/>
      <c r="K197" s="87"/>
      <c r="L197" s="88"/>
      <c r="N197" s="87"/>
    </row>
    <row r="198" spans="1:14" s="155" customFormat="1" ht="17.399999999999999">
      <c r="A198" s="510"/>
      <c r="B198" s="182"/>
      <c r="C198" s="1158" t="s">
        <v>246</v>
      </c>
      <c r="D198" s="1163"/>
      <c r="E198" s="1665" t="s">
        <v>60</v>
      </c>
      <c r="F198" s="1665"/>
      <c r="G198" s="1665"/>
      <c r="H198" s="402"/>
      <c r="I198" s="776">
        <v>0.2</v>
      </c>
      <c r="J198" s="415">
        <f>IF(L198,I198,0)</f>
        <v>0</v>
      </c>
      <c r="K198" s="87"/>
      <c r="L198" s="88" t="b">
        <v>0</v>
      </c>
      <c r="N198" s="87"/>
    </row>
    <row r="199" spans="1:14" s="155" customFormat="1" ht="16.5" customHeight="1">
      <c r="A199" s="510"/>
      <c r="B199" s="198"/>
      <c r="C199" s="201"/>
      <c r="D199" s="680"/>
      <c r="E199" s="1664"/>
      <c r="F199" s="1664"/>
      <c r="G199" s="1664"/>
      <c r="H199" s="200"/>
      <c r="I199" s="775"/>
      <c r="J199" s="266"/>
      <c r="K199" s="87"/>
      <c r="L199" s="88"/>
      <c r="N199" s="87"/>
    </row>
    <row r="200" spans="1:14" ht="17.399999999999999">
      <c r="B200" s="185"/>
      <c r="C200" s="1167"/>
      <c r="D200" s="1163"/>
      <c r="E200" s="1705" t="s">
        <v>830</v>
      </c>
      <c r="F200" s="1705"/>
      <c r="G200" s="1705"/>
      <c r="H200" s="402"/>
      <c r="I200" s="781"/>
      <c r="J200" s="1116"/>
      <c r="L200" s="91"/>
    </row>
    <row r="201" spans="1:14" ht="17.399999999999999" thickBot="1">
      <c r="B201" s="181"/>
      <c r="C201" s="201"/>
      <c r="D201" s="680"/>
      <c r="E201" s="1704" t="s">
        <v>833</v>
      </c>
      <c r="F201" s="1704"/>
      <c r="G201" s="1704"/>
      <c r="H201" s="200"/>
      <c r="I201" s="775"/>
      <c r="J201" s="266"/>
    </row>
    <row r="202" spans="1:14" s="155" customFormat="1" ht="22.5" customHeight="1" thickBot="1">
      <c r="A202" s="510"/>
      <c r="B202" s="1678" t="s">
        <v>729</v>
      </c>
      <c r="C202" s="1679"/>
      <c r="D202" s="1679"/>
      <c r="E202" s="1679"/>
      <c r="F202" s="1679"/>
      <c r="G202" s="1679"/>
      <c r="H202" s="1680"/>
      <c r="I202" s="536">
        <f>IF(Projektgrundlagen!I26,SUM(I194:I199),0)</f>
        <v>0</v>
      </c>
      <c r="J202" s="537">
        <f>IF(Projektgrundlagen!I26,SUMIF(L194:L199,TRUE,J194:J199),0)</f>
        <v>0</v>
      </c>
      <c r="K202" s="87"/>
      <c r="L202" s="88"/>
      <c r="N202" s="87"/>
    </row>
    <row r="203" spans="1:14" s="155" customFormat="1" ht="17.399999999999999" thickBot="1">
      <c r="A203" s="510"/>
      <c r="B203" s="87"/>
      <c r="C203" s="87"/>
      <c r="D203" s="87"/>
      <c r="E203" s="87"/>
      <c r="F203" s="87"/>
      <c r="G203" s="87"/>
      <c r="H203" s="87"/>
      <c r="I203" s="87"/>
      <c r="J203" s="87"/>
      <c r="K203" s="87"/>
      <c r="L203" s="88"/>
      <c r="N203" s="87"/>
    </row>
    <row r="204" spans="1:14" ht="30" customHeight="1" thickBot="1">
      <c r="B204" s="1692" t="s">
        <v>732</v>
      </c>
      <c r="C204" s="1693"/>
      <c r="D204" s="1693"/>
      <c r="E204" s="1693"/>
      <c r="F204" s="1693"/>
      <c r="G204" s="1693"/>
      <c r="H204" s="1694"/>
      <c r="I204" s="749">
        <f>SUM(I29,I53,I74,I84,I105,I121,I144,I191,I202)</f>
        <v>0</v>
      </c>
      <c r="J204" s="750">
        <f>SUM(J29,J53,J74,J84,J105,J121,J144,J191,J202)</f>
        <v>0</v>
      </c>
    </row>
    <row r="205" spans="1:14" ht="12.75" customHeight="1"/>
    <row r="206" spans="1:14"/>
  </sheetData>
  <sheetProtection sheet="1" formatRows="0"/>
  <mergeCells count="187">
    <mergeCell ref="E171:G171"/>
    <mergeCell ref="E172:G172"/>
    <mergeCell ref="E189:G189"/>
    <mergeCell ref="E190:G190"/>
    <mergeCell ref="E200:G200"/>
    <mergeCell ref="E201:G201"/>
    <mergeCell ref="E194:G194"/>
    <mergeCell ref="E195:G195"/>
    <mergeCell ref="E196:G196"/>
    <mergeCell ref="E197:G197"/>
    <mergeCell ref="E198:G198"/>
    <mergeCell ref="E199:G199"/>
    <mergeCell ref="E185:G185"/>
    <mergeCell ref="E186:G186"/>
    <mergeCell ref="E183:G183"/>
    <mergeCell ref="E184:G184"/>
    <mergeCell ref="E180:G180"/>
    <mergeCell ref="E181:G181"/>
    <mergeCell ref="E174:G174"/>
    <mergeCell ref="E175:G175"/>
    <mergeCell ref="E177:G177"/>
    <mergeCell ref="E178:G178"/>
    <mergeCell ref="E140:G140"/>
    <mergeCell ref="E141:G141"/>
    <mergeCell ref="E142:G142"/>
    <mergeCell ref="E143:G143"/>
    <mergeCell ref="B150:H150"/>
    <mergeCell ref="B144:H144"/>
    <mergeCell ref="E159:G159"/>
    <mergeCell ref="E160:G160"/>
    <mergeCell ref="E161:G161"/>
    <mergeCell ref="E151:G151"/>
    <mergeCell ref="E152:G152"/>
    <mergeCell ref="E153:G153"/>
    <mergeCell ref="E154:G154"/>
    <mergeCell ref="E155:G155"/>
    <mergeCell ref="E156:G156"/>
    <mergeCell ref="E157:G157"/>
    <mergeCell ref="E158:G158"/>
    <mergeCell ref="E162:G162"/>
    <mergeCell ref="E163:G163"/>
    <mergeCell ref="E164:G164"/>
    <mergeCell ref="E165:G165"/>
    <mergeCell ref="E166:G166"/>
    <mergeCell ref="E167:G167"/>
    <mergeCell ref="E168:G168"/>
    <mergeCell ref="E146:G146"/>
    <mergeCell ref="E147:G147"/>
    <mergeCell ref="E135:G135"/>
    <mergeCell ref="E136:G136"/>
    <mergeCell ref="E137:G137"/>
    <mergeCell ref="E138:G138"/>
    <mergeCell ref="E129:G129"/>
    <mergeCell ref="E130:G130"/>
    <mergeCell ref="E132:G132"/>
    <mergeCell ref="E133:G133"/>
    <mergeCell ref="E113:G113"/>
    <mergeCell ref="E114:G114"/>
    <mergeCell ref="E115:G115"/>
    <mergeCell ref="E116:G116"/>
    <mergeCell ref="E117:G117"/>
    <mergeCell ref="E118:G118"/>
    <mergeCell ref="E119:G119"/>
    <mergeCell ref="E128:F128"/>
    <mergeCell ref="B123:H123"/>
    <mergeCell ref="E131:H131"/>
    <mergeCell ref="E124:G124"/>
    <mergeCell ref="E125:G125"/>
    <mergeCell ref="E126:G126"/>
    <mergeCell ref="E127:G127"/>
    <mergeCell ref="E108:G108"/>
    <mergeCell ref="E99:G99"/>
    <mergeCell ref="E100:G100"/>
    <mergeCell ref="E101:G101"/>
    <mergeCell ref="E102:G102"/>
    <mergeCell ref="E109:G109"/>
    <mergeCell ref="E110:G110"/>
    <mergeCell ref="E111:G111"/>
    <mergeCell ref="E112:G112"/>
    <mergeCell ref="E103:G103"/>
    <mergeCell ref="E104:G104"/>
    <mergeCell ref="E98:G98"/>
    <mergeCell ref="E92:G92"/>
    <mergeCell ref="E57:G57"/>
    <mergeCell ref="E58:G58"/>
    <mergeCell ref="E59:G59"/>
    <mergeCell ref="E60:G60"/>
    <mergeCell ref="E61:G61"/>
    <mergeCell ref="E62:G62"/>
    <mergeCell ref="E86:G86"/>
    <mergeCell ref="E87:G87"/>
    <mergeCell ref="E47:G47"/>
    <mergeCell ref="E64:G64"/>
    <mergeCell ref="E80:G80"/>
    <mergeCell ref="E81:G81"/>
    <mergeCell ref="E71:F71"/>
    <mergeCell ref="E49:G49"/>
    <mergeCell ref="E70:G70"/>
    <mergeCell ref="E79:G79"/>
    <mergeCell ref="E97:G97"/>
    <mergeCell ref="B10:H10"/>
    <mergeCell ref="K2:K8"/>
    <mergeCell ref="B202:H202"/>
    <mergeCell ref="B148:H148"/>
    <mergeCell ref="B121:H121"/>
    <mergeCell ref="B105:H105"/>
    <mergeCell ref="B88:H88"/>
    <mergeCell ref="B84:H84"/>
    <mergeCell ref="B74:H74"/>
    <mergeCell ref="B53:H53"/>
    <mergeCell ref="D16:I16"/>
    <mergeCell ref="D13:J13"/>
    <mergeCell ref="D14:J14"/>
    <mergeCell ref="D15:J15"/>
    <mergeCell ref="B107:H107"/>
    <mergeCell ref="B31:H31"/>
    <mergeCell ref="E36:G36"/>
    <mergeCell ref="E37:G37"/>
    <mergeCell ref="E38:G38"/>
    <mergeCell ref="E39:G39"/>
    <mergeCell ref="E41:G41"/>
    <mergeCell ref="E46:G46"/>
    <mergeCell ref="E34:G34"/>
    <mergeCell ref="E35:G35"/>
    <mergeCell ref="B7:E7"/>
    <mergeCell ref="F7:J7"/>
    <mergeCell ref="I2:J2"/>
    <mergeCell ref="I3:J3"/>
    <mergeCell ref="B8:E8"/>
    <mergeCell ref="F8:J8"/>
    <mergeCell ref="B5:E5"/>
    <mergeCell ref="G5:H5"/>
    <mergeCell ref="I5:J5"/>
    <mergeCell ref="B6:E6"/>
    <mergeCell ref="F6:J6"/>
    <mergeCell ref="G3:H3"/>
    <mergeCell ref="G2:H2"/>
    <mergeCell ref="B2:F2"/>
    <mergeCell ref="B3:F3"/>
    <mergeCell ref="E21:G21"/>
    <mergeCell ref="E44:G44"/>
    <mergeCell ref="E45:G45"/>
    <mergeCell ref="B55:H55"/>
    <mergeCell ref="E52:F52"/>
    <mergeCell ref="E63:G63"/>
    <mergeCell ref="E48:G48"/>
    <mergeCell ref="B18:H18"/>
    <mergeCell ref="E32:G32"/>
    <mergeCell ref="E33:G33"/>
    <mergeCell ref="E19:G19"/>
    <mergeCell ref="E20:G20"/>
    <mergeCell ref="B29:H29"/>
    <mergeCell ref="E22:G22"/>
    <mergeCell ref="E27:G27"/>
    <mergeCell ref="E28:G28"/>
    <mergeCell ref="E25:G25"/>
    <mergeCell ref="E26:G26"/>
    <mergeCell ref="E23:G23"/>
    <mergeCell ref="E24:G24"/>
    <mergeCell ref="E40:G40"/>
    <mergeCell ref="E42:G42"/>
    <mergeCell ref="E43:G43"/>
    <mergeCell ref="E56:G56"/>
    <mergeCell ref="B204:H204"/>
    <mergeCell ref="E73:F73"/>
    <mergeCell ref="B90:H90"/>
    <mergeCell ref="E65:G65"/>
    <mergeCell ref="E66:G66"/>
    <mergeCell ref="E67:G67"/>
    <mergeCell ref="E68:G68"/>
    <mergeCell ref="E69:G69"/>
    <mergeCell ref="E77:G77"/>
    <mergeCell ref="E78:G78"/>
    <mergeCell ref="E82:G82"/>
    <mergeCell ref="E83:G83"/>
    <mergeCell ref="B193:H193"/>
    <mergeCell ref="B191:H191"/>
    <mergeCell ref="E188:F188"/>
    <mergeCell ref="B76:H76"/>
    <mergeCell ref="E91:G91"/>
    <mergeCell ref="E179:G179"/>
    <mergeCell ref="E93:G93"/>
    <mergeCell ref="E94:G94"/>
    <mergeCell ref="E95:G95"/>
    <mergeCell ref="E96:G96"/>
    <mergeCell ref="E169:G169"/>
    <mergeCell ref="E170:G170"/>
  </mergeCells>
  <conditionalFormatting sqref="B13:B14">
    <cfRule type="expression" dxfId="2359" priority="87">
      <formula>AND(L13,NOT($M$13))</formula>
    </cfRule>
  </conditionalFormatting>
  <conditionalFormatting sqref="E86:G87">
    <cfRule type="expression" dxfId="2335" priority="34">
      <formula>$L$86</formula>
    </cfRule>
  </conditionalFormatting>
  <conditionalFormatting sqref="E103:G104">
    <cfRule type="expression" dxfId="2334" priority="27">
      <formula>$L$86</formula>
    </cfRule>
  </conditionalFormatting>
  <conditionalFormatting sqref="E146:G147">
    <cfRule type="expression" dxfId="2333" priority="20">
      <formula>$L$86</formula>
    </cfRule>
  </conditionalFormatting>
  <conditionalFormatting sqref="E189:G190">
    <cfRule type="expression" dxfId="2332" priority="13">
      <formula>$L$86</formula>
    </cfRule>
  </conditionalFormatting>
  <conditionalFormatting sqref="E200:G201">
    <cfRule type="expression" dxfId="2331" priority="6">
      <formula>$L$86</formula>
    </cfRule>
  </conditionalFormatting>
  <conditionalFormatting sqref="J16">
    <cfRule type="expression" dxfId="2319" priority="253">
      <formula>OR(L15=FALSE,J16&lt;0,J16&gt;9)</formula>
    </cfRule>
    <cfRule type="expression" dxfId="2318" priority="254">
      <formula>AND(L15,J16="")</formula>
    </cfRule>
  </conditionalFormatting>
  <pageMargins left="0.39370078740157483" right="0.19685039370078741" top="0.39370078740157483" bottom="0.47244094488188981" header="0.31496062992125984" footer="0.31496062992125984"/>
  <pageSetup paperSize="9" scale="88" fitToHeight="0" orientation="portrait" r:id="rId1"/>
  <headerFooter scaleWithDoc="0">
    <oddFooter>&amp;L&amp;8©  VHF Bayern - Stand Februar 2023&amp;R&amp;P</oddFooter>
  </headerFooter>
  <rowBreaks count="9" manualBreakCount="9">
    <brk id="30" max="10" man="1"/>
    <brk id="54" max="10" man="1"/>
    <brk id="75" max="10" man="1"/>
    <brk id="89" max="10" man="1"/>
    <brk id="106" max="10" man="1"/>
    <brk id="122" max="10" man="1"/>
    <brk id="149" max="10" man="1"/>
    <brk id="173" max="10" man="1"/>
    <brk id="192"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9941" r:id="rId4" name="Check Box 5">
              <controlPr defaultSize="0" autoFill="0" autoLine="0" autoPict="0" altText="">
                <anchor moveWithCells="1">
                  <from>
                    <xdr:col>1</xdr:col>
                    <xdr:colOff>0</xdr:colOff>
                    <xdr:row>31</xdr:row>
                    <xdr:rowOff>0</xdr:rowOff>
                  </from>
                  <to>
                    <xdr:col>2</xdr:col>
                    <xdr:colOff>0</xdr:colOff>
                    <xdr:row>31</xdr:row>
                    <xdr:rowOff>213360</xdr:rowOff>
                  </to>
                </anchor>
              </controlPr>
            </control>
          </mc:Choice>
        </mc:AlternateContent>
        <mc:AlternateContent xmlns:mc="http://schemas.openxmlformats.org/markup-compatibility/2006">
          <mc:Choice Requires="x14">
            <control shapeId="39942" r:id="rId5" name="Check Box 6">
              <controlPr defaultSize="0" autoFill="0" autoLine="0" autoPict="0" altText="">
                <anchor moveWithCells="1">
                  <from>
                    <xdr:col>1</xdr:col>
                    <xdr:colOff>0</xdr:colOff>
                    <xdr:row>33</xdr:row>
                    <xdr:rowOff>0</xdr:rowOff>
                  </from>
                  <to>
                    <xdr:col>2</xdr:col>
                    <xdr:colOff>0</xdr:colOff>
                    <xdr:row>33</xdr:row>
                    <xdr:rowOff>213360</xdr:rowOff>
                  </to>
                </anchor>
              </controlPr>
            </control>
          </mc:Choice>
        </mc:AlternateContent>
        <mc:AlternateContent xmlns:mc="http://schemas.openxmlformats.org/markup-compatibility/2006">
          <mc:Choice Requires="x14">
            <control shapeId="39943" r:id="rId6" name="Check Box 7">
              <controlPr defaultSize="0" autoFill="0" autoLine="0" autoPict="0" altText="">
                <anchor moveWithCells="1">
                  <from>
                    <xdr:col>1</xdr:col>
                    <xdr:colOff>0</xdr:colOff>
                    <xdr:row>35</xdr:row>
                    <xdr:rowOff>0</xdr:rowOff>
                  </from>
                  <to>
                    <xdr:col>2</xdr:col>
                    <xdr:colOff>0</xdr:colOff>
                    <xdr:row>35</xdr:row>
                    <xdr:rowOff>213360</xdr:rowOff>
                  </to>
                </anchor>
              </controlPr>
            </control>
          </mc:Choice>
        </mc:AlternateContent>
        <mc:AlternateContent xmlns:mc="http://schemas.openxmlformats.org/markup-compatibility/2006">
          <mc:Choice Requires="x14">
            <control shapeId="39944" r:id="rId7" name="Check Box 8">
              <controlPr defaultSize="0" autoFill="0" autoLine="0" autoPict="0" altText="">
                <anchor moveWithCells="1">
                  <from>
                    <xdr:col>1</xdr:col>
                    <xdr:colOff>0</xdr:colOff>
                    <xdr:row>37</xdr:row>
                    <xdr:rowOff>0</xdr:rowOff>
                  </from>
                  <to>
                    <xdr:col>2</xdr:col>
                    <xdr:colOff>0</xdr:colOff>
                    <xdr:row>37</xdr:row>
                    <xdr:rowOff>213360</xdr:rowOff>
                  </to>
                </anchor>
              </controlPr>
            </control>
          </mc:Choice>
        </mc:AlternateContent>
        <mc:AlternateContent xmlns:mc="http://schemas.openxmlformats.org/markup-compatibility/2006">
          <mc:Choice Requires="x14">
            <control shapeId="39945" r:id="rId8" name="Check Box 9">
              <controlPr defaultSize="0" autoFill="0" autoLine="0" autoPict="0" altText="">
                <anchor moveWithCells="1">
                  <from>
                    <xdr:col>1</xdr:col>
                    <xdr:colOff>0</xdr:colOff>
                    <xdr:row>39</xdr:row>
                    <xdr:rowOff>0</xdr:rowOff>
                  </from>
                  <to>
                    <xdr:col>2</xdr:col>
                    <xdr:colOff>0</xdr:colOff>
                    <xdr:row>39</xdr:row>
                    <xdr:rowOff>213360</xdr:rowOff>
                  </to>
                </anchor>
              </controlPr>
            </control>
          </mc:Choice>
        </mc:AlternateContent>
        <mc:AlternateContent xmlns:mc="http://schemas.openxmlformats.org/markup-compatibility/2006">
          <mc:Choice Requires="x14">
            <control shapeId="39946" r:id="rId9" name="Check Box 10">
              <controlPr defaultSize="0" autoFill="0" autoLine="0" autoPict="0" altText="">
                <anchor moveWithCells="1">
                  <from>
                    <xdr:col>1</xdr:col>
                    <xdr:colOff>0</xdr:colOff>
                    <xdr:row>41</xdr:row>
                    <xdr:rowOff>0</xdr:rowOff>
                  </from>
                  <to>
                    <xdr:col>2</xdr:col>
                    <xdr:colOff>0</xdr:colOff>
                    <xdr:row>41</xdr:row>
                    <xdr:rowOff>213360</xdr:rowOff>
                  </to>
                </anchor>
              </controlPr>
            </control>
          </mc:Choice>
        </mc:AlternateContent>
        <mc:AlternateContent xmlns:mc="http://schemas.openxmlformats.org/markup-compatibility/2006">
          <mc:Choice Requires="x14">
            <control shapeId="39947" r:id="rId10" name="Check Box 11">
              <controlPr defaultSize="0" autoFill="0" autoLine="0" autoPict="0" altText="">
                <anchor moveWithCells="1">
                  <from>
                    <xdr:col>1</xdr:col>
                    <xdr:colOff>0</xdr:colOff>
                    <xdr:row>43</xdr:row>
                    <xdr:rowOff>0</xdr:rowOff>
                  </from>
                  <to>
                    <xdr:col>2</xdr:col>
                    <xdr:colOff>0</xdr:colOff>
                    <xdr:row>43</xdr:row>
                    <xdr:rowOff>213360</xdr:rowOff>
                  </to>
                </anchor>
              </controlPr>
            </control>
          </mc:Choice>
        </mc:AlternateContent>
        <mc:AlternateContent xmlns:mc="http://schemas.openxmlformats.org/markup-compatibility/2006">
          <mc:Choice Requires="x14">
            <control shapeId="39948" r:id="rId11" name="Check Box 12">
              <controlPr defaultSize="0" autoFill="0" autoLine="0" autoPict="0" altText="3 Fahrstreifen">
                <anchor moveWithCells="1">
                  <from>
                    <xdr:col>1</xdr:col>
                    <xdr:colOff>0</xdr:colOff>
                    <xdr:row>45</xdr:row>
                    <xdr:rowOff>0</xdr:rowOff>
                  </from>
                  <to>
                    <xdr:col>2</xdr:col>
                    <xdr:colOff>0</xdr:colOff>
                    <xdr:row>45</xdr:row>
                    <xdr:rowOff>213360</xdr:rowOff>
                  </to>
                </anchor>
              </controlPr>
            </control>
          </mc:Choice>
        </mc:AlternateContent>
        <mc:AlternateContent xmlns:mc="http://schemas.openxmlformats.org/markup-compatibility/2006">
          <mc:Choice Requires="x14">
            <control shapeId="39949" r:id="rId12" name="Check Box 13">
              <controlPr defaultSize="0" autoFill="0" autoLine="0" autoPict="0" altText="">
                <anchor moveWithCells="1">
                  <from>
                    <xdr:col>1</xdr:col>
                    <xdr:colOff>0</xdr:colOff>
                    <xdr:row>47</xdr:row>
                    <xdr:rowOff>0</xdr:rowOff>
                  </from>
                  <to>
                    <xdr:col>2</xdr:col>
                    <xdr:colOff>0</xdr:colOff>
                    <xdr:row>47</xdr:row>
                    <xdr:rowOff>213360</xdr:rowOff>
                  </to>
                </anchor>
              </controlPr>
            </control>
          </mc:Choice>
        </mc:AlternateContent>
        <mc:AlternateContent xmlns:mc="http://schemas.openxmlformats.org/markup-compatibility/2006">
          <mc:Choice Requires="x14">
            <control shapeId="39952" r:id="rId13" name="Check Box 16">
              <controlPr defaultSize="0" autoFill="0" autoLine="0" autoPict="0" altText="">
                <anchor moveWithCells="1">
                  <from>
                    <xdr:col>1</xdr:col>
                    <xdr:colOff>0</xdr:colOff>
                    <xdr:row>57</xdr:row>
                    <xdr:rowOff>0</xdr:rowOff>
                  </from>
                  <to>
                    <xdr:col>2</xdr:col>
                    <xdr:colOff>0</xdr:colOff>
                    <xdr:row>57</xdr:row>
                    <xdr:rowOff>213360</xdr:rowOff>
                  </to>
                </anchor>
              </controlPr>
            </control>
          </mc:Choice>
        </mc:AlternateContent>
        <mc:AlternateContent xmlns:mc="http://schemas.openxmlformats.org/markup-compatibility/2006">
          <mc:Choice Requires="x14">
            <control shapeId="39953" r:id="rId14" name="Check Box 17">
              <controlPr defaultSize="0" autoFill="0" autoLine="0" autoPict="0" altText="">
                <anchor moveWithCells="1">
                  <from>
                    <xdr:col>1</xdr:col>
                    <xdr:colOff>0</xdr:colOff>
                    <xdr:row>59</xdr:row>
                    <xdr:rowOff>0</xdr:rowOff>
                  </from>
                  <to>
                    <xdr:col>2</xdr:col>
                    <xdr:colOff>0</xdr:colOff>
                    <xdr:row>59</xdr:row>
                    <xdr:rowOff>213360</xdr:rowOff>
                  </to>
                </anchor>
              </controlPr>
            </control>
          </mc:Choice>
        </mc:AlternateContent>
        <mc:AlternateContent xmlns:mc="http://schemas.openxmlformats.org/markup-compatibility/2006">
          <mc:Choice Requires="x14">
            <control shapeId="39954" r:id="rId15" name="Check Box 18">
              <controlPr defaultSize="0" autoFill="0" autoLine="0" autoPict="0" altText="">
                <anchor moveWithCells="1">
                  <from>
                    <xdr:col>1</xdr:col>
                    <xdr:colOff>0</xdr:colOff>
                    <xdr:row>61</xdr:row>
                    <xdr:rowOff>0</xdr:rowOff>
                  </from>
                  <to>
                    <xdr:col>2</xdr:col>
                    <xdr:colOff>0</xdr:colOff>
                    <xdr:row>61</xdr:row>
                    <xdr:rowOff>213360</xdr:rowOff>
                  </to>
                </anchor>
              </controlPr>
            </control>
          </mc:Choice>
        </mc:AlternateContent>
        <mc:AlternateContent xmlns:mc="http://schemas.openxmlformats.org/markup-compatibility/2006">
          <mc:Choice Requires="x14">
            <control shapeId="39957" r:id="rId16" name="Check Box 21">
              <controlPr defaultSize="0" autoFill="0" autoLine="0" autoPict="0" altText="3 Fahrstreifen">
                <anchor moveWithCells="1">
                  <from>
                    <xdr:col>1</xdr:col>
                    <xdr:colOff>0</xdr:colOff>
                    <xdr:row>67</xdr:row>
                    <xdr:rowOff>0</xdr:rowOff>
                  </from>
                  <to>
                    <xdr:col>2</xdr:col>
                    <xdr:colOff>0</xdr:colOff>
                    <xdr:row>67</xdr:row>
                    <xdr:rowOff>213360</xdr:rowOff>
                  </to>
                </anchor>
              </controlPr>
            </control>
          </mc:Choice>
        </mc:AlternateContent>
        <mc:AlternateContent xmlns:mc="http://schemas.openxmlformats.org/markup-compatibility/2006">
          <mc:Choice Requires="x14">
            <control shapeId="39958" r:id="rId17" name="Check Box 22">
              <controlPr defaultSize="0" autoFill="0" autoLine="0" autoPict="0" altText="">
                <anchor moveWithCells="1">
                  <from>
                    <xdr:col>1</xdr:col>
                    <xdr:colOff>0</xdr:colOff>
                    <xdr:row>79</xdr:row>
                    <xdr:rowOff>0</xdr:rowOff>
                  </from>
                  <to>
                    <xdr:col>2</xdr:col>
                    <xdr:colOff>0</xdr:colOff>
                    <xdr:row>79</xdr:row>
                    <xdr:rowOff>213360</xdr:rowOff>
                  </to>
                </anchor>
              </controlPr>
            </control>
          </mc:Choice>
        </mc:AlternateContent>
        <mc:AlternateContent xmlns:mc="http://schemas.openxmlformats.org/markup-compatibility/2006">
          <mc:Choice Requires="x14">
            <control shapeId="39960" r:id="rId18" name="Check Box 24">
              <controlPr defaultSize="0" autoFill="0" autoLine="0" autoPict="0" altText="3 Fahrstreifen">
                <anchor moveWithCells="1">
                  <from>
                    <xdr:col>1</xdr:col>
                    <xdr:colOff>0</xdr:colOff>
                    <xdr:row>81</xdr:row>
                    <xdr:rowOff>0</xdr:rowOff>
                  </from>
                  <to>
                    <xdr:col>2</xdr:col>
                    <xdr:colOff>0</xdr:colOff>
                    <xdr:row>81</xdr:row>
                    <xdr:rowOff>213360</xdr:rowOff>
                  </to>
                </anchor>
              </controlPr>
            </control>
          </mc:Choice>
        </mc:AlternateContent>
        <mc:AlternateContent xmlns:mc="http://schemas.openxmlformats.org/markup-compatibility/2006">
          <mc:Choice Requires="x14">
            <control shapeId="39963" r:id="rId19" name="Check Box 27">
              <controlPr defaultSize="0" autoFill="0" autoLine="0" autoPict="0" altText="">
                <anchor moveWithCells="1">
                  <from>
                    <xdr:col>1</xdr:col>
                    <xdr:colOff>0</xdr:colOff>
                    <xdr:row>90</xdr:row>
                    <xdr:rowOff>0</xdr:rowOff>
                  </from>
                  <to>
                    <xdr:col>2</xdr:col>
                    <xdr:colOff>0</xdr:colOff>
                    <xdr:row>91</xdr:row>
                    <xdr:rowOff>0</xdr:rowOff>
                  </to>
                </anchor>
              </controlPr>
            </control>
          </mc:Choice>
        </mc:AlternateContent>
        <mc:AlternateContent xmlns:mc="http://schemas.openxmlformats.org/markup-compatibility/2006">
          <mc:Choice Requires="x14">
            <control shapeId="39964" r:id="rId20" name="Check Box 28">
              <controlPr defaultSize="0" autoFill="0" autoLine="0" autoPict="0" altText="">
                <anchor moveWithCells="1">
                  <from>
                    <xdr:col>1</xdr:col>
                    <xdr:colOff>0</xdr:colOff>
                    <xdr:row>92</xdr:row>
                    <xdr:rowOff>0</xdr:rowOff>
                  </from>
                  <to>
                    <xdr:col>2</xdr:col>
                    <xdr:colOff>0</xdr:colOff>
                    <xdr:row>92</xdr:row>
                    <xdr:rowOff>213360</xdr:rowOff>
                  </to>
                </anchor>
              </controlPr>
            </control>
          </mc:Choice>
        </mc:AlternateContent>
        <mc:AlternateContent xmlns:mc="http://schemas.openxmlformats.org/markup-compatibility/2006">
          <mc:Choice Requires="x14">
            <control shapeId="39965" r:id="rId21" name="Check Box 29">
              <controlPr defaultSize="0" autoFill="0" autoLine="0" autoPict="0" altText="">
                <anchor moveWithCells="1">
                  <from>
                    <xdr:col>1</xdr:col>
                    <xdr:colOff>0</xdr:colOff>
                    <xdr:row>94</xdr:row>
                    <xdr:rowOff>0</xdr:rowOff>
                  </from>
                  <to>
                    <xdr:col>2</xdr:col>
                    <xdr:colOff>0</xdr:colOff>
                    <xdr:row>94</xdr:row>
                    <xdr:rowOff>213360</xdr:rowOff>
                  </to>
                </anchor>
              </controlPr>
            </control>
          </mc:Choice>
        </mc:AlternateContent>
        <mc:AlternateContent xmlns:mc="http://schemas.openxmlformats.org/markup-compatibility/2006">
          <mc:Choice Requires="x14">
            <control shapeId="39966" r:id="rId22" name="Check Box 30">
              <controlPr defaultSize="0" autoFill="0" autoLine="0" autoPict="0" altText="">
                <anchor moveWithCells="1">
                  <from>
                    <xdr:col>1</xdr:col>
                    <xdr:colOff>0</xdr:colOff>
                    <xdr:row>96</xdr:row>
                    <xdr:rowOff>0</xdr:rowOff>
                  </from>
                  <to>
                    <xdr:col>2</xdr:col>
                    <xdr:colOff>0</xdr:colOff>
                    <xdr:row>96</xdr:row>
                    <xdr:rowOff>213360</xdr:rowOff>
                  </to>
                </anchor>
              </controlPr>
            </control>
          </mc:Choice>
        </mc:AlternateContent>
        <mc:AlternateContent xmlns:mc="http://schemas.openxmlformats.org/markup-compatibility/2006">
          <mc:Choice Requires="x14">
            <control shapeId="39967" r:id="rId23" name="Check Box 31">
              <controlPr defaultSize="0" autoFill="0" autoLine="0" autoPict="0" altText="">
                <anchor moveWithCells="1">
                  <from>
                    <xdr:col>1</xdr:col>
                    <xdr:colOff>0</xdr:colOff>
                    <xdr:row>107</xdr:row>
                    <xdr:rowOff>0</xdr:rowOff>
                  </from>
                  <to>
                    <xdr:col>2</xdr:col>
                    <xdr:colOff>0</xdr:colOff>
                    <xdr:row>108</xdr:row>
                    <xdr:rowOff>0</xdr:rowOff>
                  </to>
                </anchor>
              </controlPr>
            </control>
          </mc:Choice>
        </mc:AlternateContent>
        <mc:AlternateContent xmlns:mc="http://schemas.openxmlformats.org/markup-compatibility/2006">
          <mc:Choice Requires="x14">
            <control shapeId="39968" r:id="rId24" name="Check Box 32">
              <controlPr defaultSize="0" autoFill="0" autoLine="0" autoPict="0" altText="">
                <anchor moveWithCells="1">
                  <from>
                    <xdr:col>1</xdr:col>
                    <xdr:colOff>0</xdr:colOff>
                    <xdr:row>109</xdr:row>
                    <xdr:rowOff>0</xdr:rowOff>
                  </from>
                  <to>
                    <xdr:col>2</xdr:col>
                    <xdr:colOff>0</xdr:colOff>
                    <xdr:row>110</xdr:row>
                    <xdr:rowOff>0</xdr:rowOff>
                  </to>
                </anchor>
              </controlPr>
            </control>
          </mc:Choice>
        </mc:AlternateContent>
        <mc:AlternateContent xmlns:mc="http://schemas.openxmlformats.org/markup-compatibility/2006">
          <mc:Choice Requires="x14">
            <control shapeId="39969" r:id="rId25" name="Check Box 33">
              <controlPr defaultSize="0" autoFill="0" autoLine="0" autoPict="0" altText="3 Fahrstreifen">
                <anchor moveWithCells="1">
                  <from>
                    <xdr:col>1</xdr:col>
                    <xdr:colOff>0</xdr:colOff>
                    <xdr:row>111</xdr:row>
                    <xdr:rowOff>0</xdr:rowOff>
                  </from>
                  <to>
                    <xdr:col>2</xdr:col>
                    <xdr:colOff>0</xdr:colOff>
                    <xdr:row>111</xdr:row>
                    <xdr:rowOff>213360</xdr:rowOff>
                  </to>
                </anchor>
              </controlPr>
            </control>
          </mc:Choice>
        </mc:AlternateContent>
        <mc:AlternateContent xmlns:mc="http://schemas.openxmlformats.org/markup-compatibility/2006">
          <mc:Choice Requires="x14">
            <control shapeId="39970" r:id="rId26" name="Check Box 34">
              <controlPr defaultSize="0" autoFill="0" autoLine="0" autoPict="0" altText="">
                <anchor moveWithCells="1">
                  <from>
                    <xdr:col>1</xdr:col>
                    <xdr:colOff>0</xdr:colOff>
                    <xdr:row>113</xdr:row>
                    <xdr:rowOff>0</xdr:rowOff>
                  </from>
                  <to>
                    <xdr:col>2</xdr:col>
                    <xdr:colOff>0</xdr:colOff>
                    <xdr:row>113</xdr:row>
                    <xdr:rowOff>213360</xdr:rowOff>
                  </to>
                </anchor>
              </controlPr>
            </control>
          </mc:Choice>
        </mc:AlternateContent>
        <mc:AlternateContent xmlns:mc="http://schemas.openxmlformats.org/markup-compatibility/2006">
          <mc:Choice Requires="x14">
            <control shapeId="39971" r:id="rId27" name="Check Box 35">
              <controlPr defaultSize="0" autoFill="0" autoLine="0" autoPict="0" altText="3 Fahrstreifen">
                <anchor moveWithCells="1">
                  <from>
                    <xdr:col>1</xdr:col>
                    <xdr:colOff>0</xdr:colOff>
                    <xdr:row>115</xdr:row>
                    <xdr:rowOff>0</xdr:rowOff>
                  </from>
                  <to>
                    <xdr:col>2</xdr:col>
                    <xdr:colOff>0</xdr:colOff>
                    <xdr:row>116</xdr:row>
                    <xdr:rowOff>0</xdr:rowOff>
                  </to>
                </anchor>
              </controlPr>
            </control>
          </mc:Choice>
        </mc:AlternateContent>
        <mc:AlternateContent xmlns:mc="http://schemas.openxmlformats.org/markup-compatibility/2006">
          <mc:Choice Requires="x14">
            <control shapeId="39973" r:id="rId28" name="Check Box 37">
              <controlPr defaultSize="0" autoFill="0" autoLine="0" autoPict="0" altText="">
                <anchor moveWithCells="1">
                  <from>
                    <xdr:col>1</xdr:col>
                    <xdr:colOff>0</xdr:colOff>
                    <xdr:row>117</xdr:row>
                    <xdr:rowOff>0</xdr:rowOff>
                  </from>
                  <to>
                    <xdr:col>2</xdr:col>
                    <xdr:colOff>0</xdr:colOff>
                    <xdr:row>117</xdr:row>
                    <xdr:rowOff>213360</xdr:rowOff>
                  </to>
                </anchor>
              </controlPr>
            </control>
          </mc:Choice>
        </mc:AlternateContent>
        <mc:AlternateContent xmlns:mc="http://schemas.openxmlformats.org/markup-compatibility/2006">
          <mc:Choice Requires="x14">
            <control shapeId="39974" r:id="rId29" name="Check Box 38">
              <controlPr defaultSize="0" autoFill="0" autoLine="0" autoPict="0" altText="">
                <anchor moveWithCells="1">
                  <from>
                    <xdr:col>1</xdr:col>
                    <xdr:colOff>0</xdr:colOff>
                    <xdr:row>125</xdr:row>
                    <xdr:rowOff>0</xdr:rowOff>
                  </from>
                  <to>
                    <xdr:col>2</xdr:col>
                    <xdr:colOff>0</xdr:colOff>
                    <xdr:row>126</xdr:row>
                    <xdr:rowOff>0</xdr:rowOff>
                  </to>
                </anchor>
              </controlPr>
            </control>
          </mc:Choice>
        </mc:AlternateContent>
        <mc:AlternateContent xmlns:mc="http://schemas.openxmlformats.org/markup-compatibility/2006">
          <mc:Choice Requires="x14">
            <control shapeId="39975" r:id="rId30" name="Check Box 39">
              <controlPr defaultSize="0" autoFill="0" autoLine="0" autoPict="0" altText="">
                <anchor moveWithCells="1">
                  <from>
                    <xdr:col>1</xdr:col>
                    <xdr:colOff>0</xdr:colOff>
                    <xdr:row>123</xdr:row>
                    <xdr:rowOff>0</xdr:rowOff>
                  </from>
                  <to>
                    <xdr:col>2</xdr:col>
                    <xdr:colOff>0</xdr:colOff>
                    <xdr:row>124</xdr:row>
                    <xdr:rowOff>0</xdr:rowOff>
                  </to>
                </anchor>
              </controlPr>
            </control>
          </mc:Choice>
        </mc:AlternateContent>
        <mc:AlternateContent xmlns:mc="http://schemas.openxmlformats.org/markup-compatibility/2006">
          <mc:Choice Requires="x14">
            <control shapeId="39976" r:id="rId31" name="Check Box 40">
              <controlPr defaultSize="0" autoFill="0" autoLine="0" autoPict="0" altText="">
                <anchor moveWithCells="1">
                  <from>
                    <xdr:col>1</xdr:col>
                    <xdr:colOff>0</xdr:colOff>
                    <xdr:row>128</xdr:row>
                    <xdr:rowOff>0</xdr:rowOff>
                  </from>
                  <to>
                    <xdr:col>2</xdr:col>
                    <xdr:colOff>0</xdr:colOff>
                    <xdr:row>129</xdr:row>
                    <xdr:rowOff>0</xdr:rowOff>
                  </to>
                </anchor>
              </controlPr>
            </control>
          </mc:Choice>
        </mc:AlternateContent>
        <mc:AlternateContent xmlns:mc="http://schemas.openxmlformats.org/markup-compatibility/2006">
          <mc:Choice Requires="x14">
            <control shapeId="39977" r:id="rId32" name="Check Box 41">
              <controlPr defaultSize="0" autoFill="0" autoLine="0" autoPict="0" altText="">
                <anchor moveWithCells="1">
                  <from>
                    <xdr:col>1</xdr:col>
                    <xdr:colOff>7620</xdr:colOff>
                    <xdr:row>131</xdr:row>
                    <xdr:rowOff>0</xdr:rowOff>
                  </from>
                  <to>
                    <xdr:col>2</xdr:col>
                    <xdr:colOff>7620</xdr:colOff>
                    <xdr:row>131</xdr:row>
                    <xdr:rowOff>213360</xdr:rowOff>
                  </to>
                </anchor>
              </controlPr>
            </control>
          </mc:Choice>
        </mc:AlternateContent>
        <mc:AlternateContent xmlns:mc="http://schemas.openxmlformats.org/markup-compatibility/2006">
          <mc:Choice Requires="x14">
            <control shapeId="39978" r:id="rId33" name="Check Box 42">
              <controlPr defaultSize="0" autoFill="0" autoLine="0" autoPict="0" altText="">
                <anchor moveWithCells="1">
                  <from>
                    <xdr:col>1</xdr:col>
                    <xdr:colOff>0</xdr:colOff>
                    <xdr:row>134</xdr:row>
                    <xdr:rowOff>0</xdr:rowOff>
                  </from>
                  <to>
                    <xdr:col>2</xdr:col>
                    <xdr:colOff>0</xdr:colOff>
                    <xdr:row>135</xdr:row>
                    <xdr:rowOff>0</xdr:rowOff>
                  </to>
                </anchor>
              </controlPr>
            </control>
          </mc:Choice>
        </mc:AlternateContent>
        <mc:AlternateContent xmlns:mc="http://schemas.openxmlformats.org/markup-compatibility/2006">
          <mc:Choice Requires="x14">
            <control shapeId="39979" r:id="rId34" name="Check Box 43">
              <controlPr defaultSize="0" autoFill="0" autoLine="0" autoPict="0" altText="">
                <anchor moveWithCells="1">
                  <from>
                    <xdr:col>1</xdr:col>
                    <xdr:colOff>0</xdr:colOff>
                    <xdr:row>136</xdr:row>
                    <xdr:rowOff>0</xdr:rowOff>
                  </from>
                  <to>
                    <xdr:col>2</xdr:col>
                    <xdr:colOff>0</xdr:colOff>
                    <xdr:row>137</xdr:row>
                    <xdr:rowOff>0</xdr:rowOff>
                  </to>
                </anchor>
              </controlPr>
            </control>
          </mc:Choice>
        </mc:AlternateContent>
        <mc:AlternateContent xmlns:mc="http://schemas.openxmlformats.org/markup-compatibility/2006">
          <mc:Choice Requires="x14">
            <control shapeId="39980" r:id="rId35" name="Check Box 44">
              <controlPr defaultSize="0" autoFill="0" autoLine="0" autoPict="0" altText="">
                <anchor moveWithCells="1">
                  <from>
                    <xdr:col>1</xdr:col>
                    <xdr:colOff>0</xdr:colOff>
                    <xdr:row>139</xdr:row>
                    <xdr:rowOff>0</xdr:rowOff>
                  </from>
                  <to>
                    <xdr:col>2</xdr:col>
                    <xdr:colOff>0</xdr:colOff>
                    <xdr:row>140</xdr:row>
                    <xdr:rowOff>0</xdr:rowOff>
                  </to>
                </anchor>
              </controlPr>
            </control>
          </mc:Choice>
        </mc:AlternateContent>
        <mc:AlternateContent xmlns:mc="http://schemas.openxmlformats.org/markup-compatibility/2006">
          <mc:Choice Requires="x14">
            <control shapeId="39981" r:id="rId36" name="Check Box 45">
              <controlPr defaultSize="0" autoFill="0" autoLine="0" autoPict="0" altText="">
                <anchor moveWithCells="1">
                  <from>
                    <xdr:col>1</xdr:col>
                    <xdr:colOff>0</xdr:colOff>
                    <xdr:row>141</xdr:row>
                    <xdr:rowOff>0</xdr:rowOff>
                  </from>
                  <to>
                    <xdr:col>2</xdr:col>
                    <xdr:colOff>0</xdr:colOff>
                    <xdr:row>141</xdr:row>
                    <xdr:rowOff>213360</xdr:rowOff>
                  </to>
                </anchor>
              </controlPr>
            </control>
          </mc:Choice>
        </mc:AlternateContent>
        <mc:AlternateContent xmlns:mc="http://schemas.openxmlformats.org/markup-compatibility/2006">
          <mc:Choice Requires="x14">
            <control shapeId="39982" r:id="rId37" name="Check Box 46">
              <controlPr defaultSize="0" autoFill="0" autoLine="0" autoPict="0" altText="">
                <anchor moveWithCells="1">
                  <from>
                    <xdr:col>1</xdr:col>
                    <xdr:colOff>0</xdr:colOff>
                    <xdr:row>150</xdr:row>
                    <xdr:rowOff>0</xdr:rowOff>
                  </from>
                  <to>
                    <xdr:col>2</xdr:col>
                    <xdr:colOff>0</xdr:colOff>
                    <xdr:row>151</xdr:row>
                    <xdr:rowOff>0</xdr:rowOff>
                  </to>
                </anchor>
              </controlPr>
            </control>
          </mc:Choice>
        </mc:AlternateContent>
        <mc:AlternateContent xmlns:mc="http://schemas.openxmlformats.org/markup-compatibility/2006">
          <mc:Choice Requires="x14">
            <control shapeId="39983" r:id="rId38" name="Check Box 47">
              <controlPr defaultSize="0" autoFill="0" autoLine="0" autoPict="0" altText="">
                <anchor moveWithCells="1">
                  <from>
                    <xdr:col>1</xdr:col>
                    <xdr:colOff>0</xdr:colOff>
                    <xdr:row>152</xdr:row>
                    <xdr:rowOff>0</xdr:rowOff>
                  </from>
                  <to>
                    <xdr:col>2</xdr:col>
                    <xdr:colOff>0</xdr:colOff>
                    <xdr:row>152</xdr:row>
                    <xdr:rowOff>213360</xdr:rowOff>
                  </to>
                </anchor>
              </controlPr>
            </control>
          </mc:Choice>
        </mc:AlternateContent>
        <mc:AlternateContent xmlns:mc="http://schemas.openxmlformats.org/markup-compatibility/2006">
          <mc:Choice Requires="x14">
            <control shapeId="39984" r:id="rId39" name="Check Box 48">
              <controlPr defaultSize="0" autoFill="0" autoLine="0" autoPict="0" altText="">
                <anchor moveWithCells="1">
                  <from>
                    <xdr:col>1</xdr:col>
                    <xdr:colOff>0</xdr:colOff>
                    <xdr:row>154</xdr:row>
                    <xdr:rowOff>0</xdr:rowOff>
                  </from>
                  <to>
                    <xdr:col>2</xdr:col>
                    <xdr:colOff>0</xdr:colOff>
                    <xdr:row>154</xdr:row>
                    <xdr:rowOff>213360</xdr:rowOff>
                  </to>
                </anchor>
              </controlPr>
            </control>
          </mc:Choice>
        </mc:AlternateContent>
        <mc:AlternateContent xmlns:mc="http://schemas.openxmlformats.org/markup-compatibility/2006">
          <mc:Choice Requires="x14">
            <control shapeId="39985" r:id="rId40" name="Check Box 49">
              <controlPr defaultSize="0" autoFill="0" autoLine="0" autoPict="0" altText="">
                <anchor moveWithCells="1">
                  <from>
                    <xdr:col>1</xdr:col>
                    <xdr:colOff>0</xdr:colOff>
                    <xdr:row>156</xdr:row>
                    <xdr:rowOff>0</xdr:rowOff>
                  </from>
                  <to>
                    <xdr:col>2</xdr:col>
                    <xdr:colOff>0</xdr:colOff>
                    <xdr:row>157</xdr:row>
                    <xdr:rowOff>0</xdr:rowOff>
                  </to>
                </anchor>
              </controlPr>
            </control>
          </mc:Choice>
        </mc:AlternateContent>
        <mc:AlternateContent xmlns:mc="http://schemas.openxmlformats.org/markup-compatibility/2006">
          <mc:Choice Requires="x14">
            <control shapeId="39986" r:id="rId41" name="Check Box 50">
              <controlPr defaultSize="0" autoFill="0" autoLine="0" autoPict="0" altText="">
                <anchor moveWithCells="1">
                  <from>
                    <xdr:col>1</xdr:col>
                    <xdr:colOff>0</xdr:colOff>
                    <xdr:row>170</xdr:row>
                    <xdr:rowOff>0</xdr:rowOff>
                  </from>
                  <to>
                    <xdr:col>2</xdr:col>
                    <xdr:colOff>0</xdr:colOff>
                    <xdr:row>170</xdr:row>
                    <xdr:rowOff>213360</xdr:rowOff>
                  </to>
                </anchor>
              </controlPr>
            </control>
          </mc:Choice>
        </mc:AlternateContent>
        <mc:AlternateContent xmlns:mc="http://schemas.openxmlformats.org/markup-compatibility/2006">
          <mc:Choice Requires="x14">
            <control shapeId="39988" r:id="rId42" name="Check Box 52">
              <controlPr defaultSize="0" autoFill="0" autoLine="0" autoPict="0" altText="">
                <anchor moveWithCells="1">
                  <from>
                    <xdr:col>1</xdr:col>
                    <xdr:colOff>0</xdr:colOff>
                    <xdr:row>176</xdr:row>
                    <xdr:rowOff>0</xdr:rowOff>
                  </from>
                  <to>
                    <xdr:col>2</xdr:col>
                    <xdr:colOff>0</xdr:colOff>
                    <xdr:row>177</xdr:row>
                    <xdr:rowOff>0</xdr:rowOff>
                  </to>
                </anchor>
              </controlPr>
            </control>
          </mc:Choice>
        </mc:AlternateContent>
        <mc:AlternateContent xmlns:mc="http://schemas.openxmlformats.org/markup-compatibility/2006">
          <mc:Choice Requires="x14">
            <control shapeId="39989" r:id="rId43" name="Check Box 53">
              <controlPr defaultSize="0" autoFill="0" autoLine="0" autoPict="0" altText="">
                <anchor moveWithCells="1">
                  <from>
                    <xdr:col>1</xdr:col>
                    <xdr:colOff>7620</xdr:colOff>
                    <xdr:row>179</xdr:row>
                    <xdr:rowOff>0</xdr:rowOff>
                  </from>
                  <to>
                    <xdr:col>2</xdr:col>
                    <xdr:colOff>7620</xdr:colOff>
                    <xdr:row>180</xdr:row>
                    <xdr:rowOff>0</xdr:rowOff>
                  </to>
                </anchor>
              </controlPr>
            </control>
          </mc:Choice>
        </mc:AlternateContent>
        <mc:AlternateContent xmlns:mc="http://schemas.openxmlformats.org/markup-compatibility/2006">
          <mc:Choice Requires="x14">
            <control shapeId="39990" r:id="rId44" name="Check Box 54">
              <controlPr defaultSize="0" autoFill="0" autoLine="0" autoPict="0" altText="">
                <anchor moveWithCells="1">
                  <from>
                    <xdr:col>1</xdr:col>
                    <xdr:colOff>0</xdr:colOff>
                    <xdr:row>182</xdr:row>
                    <xdr:rowOff>0</xdr:rowOff>
                  </from>
                  <to>
                    <xdr:col>2</xdr:col>
                    <xdr:colOff>0</xdr:colOff>
                    <xdr:row>183</xdr:row>
                    <xdr:rowOff>0</xdr:rowOff>
                  </to>
                </anchor>
              </controlPr>
            </control>
          </mc:Choice>
        </mc:AlternateContent>
        <mc:AlternateContent xmlns:mc="http://schemas.openxmlformats.org/markup-compatibility/2006">
          <mc:Choice Requires="x14">
            <control shapeId="39991" r:id="rId45" name="Check Box 55">
              <controlPr defaultSize="0" autoFill="0" autoLine="0" autoPict="0" altText="">
                <anchor moveWithCells="1">
                  <from>
                    <xdr:col>1</xdr:col>
                    <xdr:colOff>0</xdr:colOff>
                    <xdr:row>184</xdr:row>
                    <xdr:rowOff>0</xdr:rowOff>
                  </from>
                  <to>
                    <xdr:col>2</xdr:col>
                    <xdr:colOff>0</xdr:colOff>
                    <xdr:row>185</xdr:row>
                    <xdr:rowOff>0</xdr:rowOff>
                  </to>
                </anchor>
              </controlPr>
            </control>
          </mc:Choice>
        </mc:AlternateContent>
        <mc:AlternateContent xmlns:mc="http://schemas.openxmlformats.org/markup-compatibility/2006">
          <mc:Choice Requires="x14">
            <control shapeId="39992" r:id="rId46" name="Check Box 56">
              <controlPr defaultSize="0" autoFill="0" autoLine="0" autoPict="0" altText="">
                <anchor moveWithCells="1">
                  <from>
                    <xdr:col>1</xdr:col>
                    <xdr:colOff>0</xdr:colOff>
                    <xdr:row>193</xdr:row>
                    <xdr:rowOff>0</xdr:rowOff>
                  </from>
                  <to>
                    <xdr:col>2</xdr:col>
                    <xdr:colOff>0</xdr:colOff>
                    <xdr:row>194</xdr:row>
                    <xdr:rowOff>0</xdr:rowOff>
                  </to>
                </anchor>
              </controlPr>
            </control>
          </mc:Choice>
        </mc:AlternateContent>
        <mc:AlternateContent xmlns:mc="http://schemas.openxmlformats.org/markup-compatibility/2006">
          <mc:Choice Requires="x14">
            <control shapeId="39993" r:id="rId47" name="Check Box 57">
              <controlPr defaultSize="0" autoFill="0" autoLine="0" autoPict="0" altText="">
                <anchor moveWithCells="1">
                  <from>
                    <xdr:col>1</xdr:col>
                    <xdr:colOff>0</xdr:colOff>
                    <xdr:row>195</xdr:row>
                    <xdr:rowOff>0</xdr:rowOff>
                  </from>
                  <to>
                    <xdr:col>2</xdr:col>
                    <xdr:colOff>0</xdr:colOff>
                    <xdr:row>195</xdr:row>
                    <xdr:rowOff>213360</xdr:rowOff>
                  </to>
                </anchor>
              </controlPr>
            </control>
          </mc:Choice>
        </mc:AlternateContent>
        <mc:AlternateContent xmlns:mc="http://schemas.openxmlformats.org/markup-compatibility/2006">
          <mc:Choice Requires="x14">
            <control shapeId="39994" r:id="rId48" name="Check Box 58">
              <controlPr defaultSize="0" autoFill="0" autoLine="0" autoPict="0" altText="">
                <anchor moveWithCells="1">
                  <from>
                    <xdr:col>1</xdr:col>
                    <xdr:colOff>0</xdr:colOff>
                    <xdr:row>197</xdr:row>
                    <xdr:rowOff>0</xdr:rowOff>
                  </from>
                  <to>
                    <xdr:col>2</xdr:col>
                    <xdr:colOff>0</xdr:colOff>
                    <xdr:row>197</xdr:row>
                    <xdr:rowOff>213360</xdr:rowOff>
                  </to>
                </anchor>
              </controlPr>
            </control>
          </mc:Choice>
        </mc:AlternateContent>
        <mc:AlternateContent xmlns:mc="http://schemas.openxmlformats.org/markup-compatibility/2006">
          <mc:Choice Requires="x14">
            <control shapeId="39996" r:id="rId49" name="Check Box 60">
              <controlPr defaultSize="0" autoFill="0" autoLine="0" autoPict="0" altText="">
                <anchor moveWithCells="1">
                  <from>
                    <xdr:col>1</xdr:col>
                    <xdr:colOff>0</xdr:colOff>
                    <xdr:row>76</xdr:row>
                    <xdr:rowOff>0</xdr:rowOff>
                  </from>
                  <to>
                    <xdr:col>2</xdr:col>
                    <xdr:colOff>0</xdr:colOff>
                    <xdr:row>77</xdr:row>
                    <xdr:rowOff>0</xdr:rowOff>
                  </to>
                </anchor>
              </controlPr>
            </control>
          </mc:Choice>
        </mc:AlternateContent>
        <mc:AlternateContent xmlns:mc="http://schemas.openxmlformats.org/markup-compatibility/2006">
          <mc:Choice Requires="x14">
            <control shapeId="39997" r:id="rId50" name="Check Box 61">
              <controlPr defaultSize="0" autoFill="0" autoLine="0" autoPict="0" altText="3 Fahrstreifen">
                <anchor moveWithCells="1">
                  <from>
                    <xdr:col>1</xdr:col>
                    <xdr:colOff>0</xdr:colOff>
                    <xdr:row>55</xdr:row>
                    <xdr:rowOff>0</xdr:rowOff>
                  </from>
                  <to>
                    <xdr:col>2</xdr:col>
                    <xdr:colOff>0</xdr:colOff>
                    <xdr:row>56</xdr:row>
                    <xdr:rowOff>0</xdr:rowOff>
                  </to>
                </anchor>
              </controlPr>
            </control>
          </mc:Choice>
        </mc:AlternateContent>
        <mc:AlternateContent xmlns:mc="http://schemas.openxmlformats.org/markup-compatibility/2006">
          <mc:Choice Requires="x14">
            <control shapeId="40003" r:id="rId51" name="Check Box 67">
              <controlPr defaultSize="0" autoFill="0" autoLine="0" autoPict="0" altText="">
                <anchor moveWithCells="1">
                  <from>
                    <xdr:col>1</xdr:col>
                    <xdr:colOff>7620</xdr:colOff>
                    <xdr:row>12</xdr:row>
                    <xdr:rowOff>0</xdr:rowOff>
                  </from>
                  <to>
                    <xdr:col>2</xdr:col>
                    <xdr:colOff>7620</xdr:colOff>
                    <xdr:row>13</xdr:row>
                    <xdr:rowOff>7620</xdr:rowOff>
                  </to>
                </anchor>
              </controlPr>
            </control>
          </mc:Choice>
        </mc:AlternateContent>
        <mc:AlternateContent xmlns:mc="http://schemas.openxmlformats.org/markup-compatibility/2006">
          <mc:Choice Requires="x14">
            <control shapeId="40004" r:id="rId52" name="Check Box 68">
              <controlPr defaultSize="0" autoFill="0" autoLine="0" autoPict="0" altText="">
                <anchor moveWithCells="1">
                  <from>
                    <xdr:col>1</xdr:col>
                    <xdr:colOff>7620</xdr:colOff>
                    <xdr:row>13</xdr:row>
                    <xdr:rowOff>0</xdr:rowOff>
                  </from>
                  <to>
                    <xdr:col>2</xdr:col>
                    <xdr:colOff>7620</xdr:colOff>
                    <xdr:row>14</xdr:row>
                    <xdr:rowOff>7620</xdr:rowOff>
                  </to>
                </anchor>
              </controlPr>
            </control>
          </mc:Choice>
        </mc:AlternateContent>
        <mc:AlternateContent xmlns:mc="http://schemas.openxmlformats.org/markup-compatibility/2006">
          <mc:Choice Requires="x14">
            <control shapeId="40005" r:id="rId53" name="Check Box 69">
              <controlPr defaultSize="0" autoFill="0" autoLine="0" autoPict="0" altText="">
                <anchor moveWithCells="1">
                  <from>
                    <xdr:col>1</xdr:col>
                    <xdr:colOff>7620</xdr:colOff>
                    <xdr:row>14</xdr:row>
                    <xdr:rowOff>0</xdr:rowOff>
                  </from>
                  <to>
                    <xdr:col>2</xdr:col>
                    <xdr:colOff>7620</xdr:colOff>
                    <xdr:row>15</xdr:row>
                    <xdr:rowOff>7620</xdr:rowOff>
                  </to>
                </anchor>
              </controlPr>
            </control>
          </mc:Choice>
        </mc:AlternateContent>
        <mc:AlternateContent xmlns:mc="http://schemas.openxmlformats.org/markup-compatibility/2006">
          <mc:Choice Requires="x14">
            <control shapeId="40008" r:id="rId54" name="Check Box 72">
              <controlPr defaultSize="0" autoFill="0" autoLine="0" autoPict="0" altText="3 Fahrstreifen">
                <anchor moveWithCells="1">
                  <from>
                    <xdr:col>1</xdr:col>
                    <xdr:colOff>0</xdr:colOff>
                    <xdr:row>65</xdr:row>
                    <xdr:rowOff>0</xdr:rowOff>
                  </from>
                  <to>
                    <xdr:col>2</xdr:col>
                    <xdr:colOff>0</xdr:colOff>
                    <xdr:row>65</xdr:row>
                    <xdr:rowOff>213360</xdr:rowOff>
                  </to>
                </anchor>
              </controlPr>
            </control>
          </mc:Choice>
        </mc:AlternateContent>
        <mc:AlternateContent xmlns:mc="http://schemas.openxmlformats.org/markup-compatibility/2006">
          <mc:Choice Requires="x14">
            <control shapeId="40009" r:id="rId55" name="Check Box 73">
              <controlPr defaultSize="0" autoFill="0" autoLine="0" autoPict="0" altText="3 Fahrstreifen">
                <anchor moveWithCells="1">
                  <from>
                    <xdr:col>1</xdr:col>
                    <xdr:colOff>0</xdr:colOff>
                    <xdr:row>63</xdr:row>
                    <xdr:rowOff>0</xdr:rowOff>
                  </from>
                  <to>
                    <xdr:col>2</xdr:col>
                    <xdr:colOff>0</xdr:colOff>
                    <xdr:row>63</xdr:row>
                    <xdr:rowOff>213360</xdr:rowOff>
                  </to>
                </anchor>
              </controlPr>
            </control>
          </mc:Choice>
        </mc:AlternateContent>
        <mc:AlternateContent xmlns:mc="http://schemas.openxmlformats.org/markup-compatibility/2006">
          <mc:Choice Requires="x14">
            <control shapeId="40010" r:id="rId56" name="Check Box 74">
              <controlPr defaultSize="0" autoFill="0" autoLine="0" autoPict="0" altText="">
                <anchor moveWithCells="1">
                  <from>
                    <xdr:col>1</xdr:col>
                    <xdr:colOff>0</xdr:colOff>
                    <xdr:row>173</xdr:row>
                    <xdr:rowOff>0</xdr:rowOff>
                  </from>
                  <to>
                    <xdr:col>2</xdr:col>
                    <xdr:colOff>0</xdr:colOff>
                    <xdr:row>174</xdr:row>
                    <xdr:rowOff>0</xdr:rowOff>
                  </to>
                </anchor>
              </controlPr>
            </control>
          </mc:Choice>
        </mc:AlternateContent>
        <mc:AlternateContent xmlns:mc="http://schemas.openxmlformats.org/markup-compatibility/2006">
          <mc:Choice Requires="x14">
            <control shapeId="40012" r:id="rId57" name="Check Box 76">
              <controlPr defaultSize="0" autoFill="0" autoLine="0" autoPict="0" altText="">
                <anchor moveWithCells="1">
                  <from>
                    <xdr:col>1</xdr:col>
                    <xdr:colOff>0</xdr:colOff>
                    <xdr:row>20</xdr:row>
                    <xdr:rowOff>0</xdr:rowOff>
                  </from>
                  <to>
                    <xdr:col>2</xdr:col>
                    <xdr:colOff>0</xdr:colOff>
                    <xdr:row>20</xdr:row>
                    <xdr:rowOff>213360</xdr:rowOff>
                  </to>
                </anchor>
              </controlPr>
            </control>
          </mc:Choice>
        </mc:AlternateContent>
        <mc:AlternateContent xmlns:mc="http://schemas.openxmlformats.org/markup-compatibility/2006">
          <mc:Choice Requires="x14">
            <control shapeId="40014" r:id="rId58" name="Check Box 78">
              <controlPr defaultSize="0" autoFill="0" autoLine="0" autoPict="0" altText="">
                <anchor moveWithCells="1">
                  <from>
                    <xdr:col>1</xdr:col>
                    <xdr:colOff>0</xdr:colOff>
                    <xdr:row>26</xdr:row>
                    <xdr:rowOff>0</xdr:rowOff>
                  </from>
                  <to>
                    <xdr:col>2</xdr:col>
                    <xdr:colOff>0</xdr:colOff>
                    <xdr:row>26</xdr:row>
                    <xdr:rowOff>213360</xdr:rowOff>
                  </to>
                </anchor>
              </controlPr>
            </control>
          </mc:Choice>
        </mc:AlternateContent>
        <mc:AlternateContent xmlns:mc="http://schemas.openxmlformats.org/markup-compatibility/2006">
          <mc:Choice Requires="x14">
            <control shapeId="40015" r:id="rId59" name="Check Box 79">
              <controlPr defaultSize="0" autoFill="0" autoLine="0" autoPict="0" altText="">
                <anchor moveWithCells="1">
                  <from>
                    <xdr:col>1</xdr:col>
                    <xdr:colOff>0</xdr:colOff>
                    <xdr:row>24</xdr:row>
                    <xdr:rowOff>0</xdr:rowOff>
                  </from>
                  <to>
                    <xdr:col>2</xdr:col>
                    <xdr:colOff>0</xdr:colOff>
                    <xdr:row>24</xdr:row>
                    <xdr:rowOff>213360</xdr:rowOff>
                  </to>
                </anchor>
              </controlPr>
            </control>
          </mc:Choice>
        </mc:AlternateContent>
        <mc:AlternateContent xmlns:mc="http://schemas.openxmlformats.org/markup-compatibility/2006">
          <mc:Choice Requires="x14">
            <control shapeId="40016" r:id="rId60" name="Check Box 80">
              <controlPr defaultSize="0" autoFill="0" autoLine="0" autoPict="0" altText="">
                <anchor moveWithCells="1">
                  <from>
                    <xdr:col>1</xdr:col>
                    <xdr:colOff>0</xdr:colOff>
                    <xdr:row>22</xdr:row>
                    <xdr:rowOff>0</xdr:rowOff>
                  </from>
                  <to>
                    <xdr:col>2</xdr:col>
                    <xdr:colOff>0</xdr:colOff>
                    <xdr:row>22</xdr:row>
                    <xdr:rowOff>213360</xdr:rowOff>
                  </to>
                </anchor>
              </controlPr>
            </control>
          </mc:Choice>
        </mc:AlternateContent>
        <mc:AlternateContent xmlns:mc="http://schemas.openxmlformats.org/markup-compatibility/2006">
          <mc:Choice Requires="x14">
            <control shapeId="40017" r:id="rId61" name="Check Box 81">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40018" r:id="rId62" name="Check Box 82">
              <controlPr defaultSize="0" autoFill="0" autoLine="0" autoPict="0" altText="">
                <anchor moveWithCells="1">
                  <from>
                    <xdr:col>1</xdr:col>
                    <xdr:colOff>0</xdr:colOff>
                    <xdr:row>100</xdr:row>
                    <xdr:rowOff>0</xdr:rowOff>
                  </from>
                  <to>
                    <xdr:col>2</xdr:col>
                    <xdr:colOff>0</xdr:colOff>
                    <xdr:row>101</xdr:row>
                    <xdr:rowOff>0</xdr:rowOff>
                  </to>
                </anchor>
              </controlPr>
            </control>
          </mc:Choice>
        </mc:AlternateContent>
        <mc:AlternateContent xmlns:mc="http://schemas.openxmlformats.org/markup-compatibility/2006">
          <mc:Choice Requires="x14">
            <control shapeId="40019" r:id="rId63" name="Check Box 83">
              <controlPr defaultSize="0" autoFill="0" autoLine="0" autoPict="0" altText="">
                <anchor moveWithCells="1">
                  <from>
                    <xdr:col>1</xdr:col>
                    <xdr:colOff>0</xdr:colOff>
                    <xdr:row>158</xdr:row>
                    <xdr:rowOff>0</xdr:rowOff>
                  </from>
                  <to>
                    <xdr:col>2</xdr:col>
                    <xdr:colOff>0</xdr:colOff>
                    <xdr:row>159</xdr:row>
                    <xdr:rowOff>0</xdr:rowOff>
                  </to>
                </anchor>
              </controlPr>
            </control>
          </mc:Choice>
        </mc:AlternateContent>
        <mc:AlternateContent xmlns:mc="http://schemas.openxmlformats.org/markup-compatibility/2006">
          <mc:Choice Requires="x14">
            <control shapeId="40020" r:id="rId64" name="Check Box 84">
              <controlPr defaultSize="0" autoFill="0" autoLine="0" autoPict="0" altText="">
                <anchor moveWithCells="1">
                  <from>
                    <xdr:col>1</xdr:col>
                    <xdr:colOff>0</xdr:colOff>
                    <xdr:row>162</xdr:row>
                    <xdr:rowOff>0</xdr:rowOff>
                  </from>
                  <to>
                    <xdr:col>2</xdr:col>
                    <xdr:colOff>0</xdr:colOff>
                    <xdr:row>163</xdr:row>
                    <xdr:rowOff>0</xdr:rowOff>
                  </to>
                </anchor>
              </controlPr>
            </control>
          </mc:Choice>
        </mc:AlternateContent>
        <mc:AlternateContent xmlns:mc="http://schemas.openxmlformats.org/markup-compatibility/2006">
          <mc:Choice Requires="x14">
            <control shapeId="40021" r:id="rId65" name="Check Box 85">
              <controlPr defaultSize="0" autoFill="0" autoLine="0" autoPict="0" altText="">
                <anchor moveWithCells="1">
                  <from>
                    <xdr:col>1</xdr:col>
                    <xdr:colOff>7620</xdr:colOff>
                    <xdr:row>164</xdr:row>
                    <xdr:rowOff>0</xdr:rowOff>
                  </from>
                  <to>
                    <xdr:col>2</xdr:col>
                    <xdr:colOff>7620</xdr:colOff>
                    <xdr:row>165</xdr:row>
                    <xdr:rowOff>0</xdr:rowOff>
                  </to>
                </anchor>
              </controlPr>
            </control>
          </mc:Choice>
        </mc:AlternateContent>
        <mc:AlternateContent xmlns:mc="http://schemas.openxmlformats.org/markup-compatibility/2006">
          <mc:Choice Requires="x14">
            <control shapeId="40022" r:id="rId66" name="Check Box 86">
              <controlPr defaultSize="0" autoFill="0" autoLine="0" autoPict="0" altText="">
                <anchor moveWithCells="1">
                  <from>
                    <xdr:col>1</xdr:col>
                    <xdr:colOff>0</xdr:colOff>
                    <xdr:row>166</xdr:row>
                    <xdr:rowOff>0</xdr:rowOff>
                  </from>
                  <to>
                    <xdr:col>2</xdr:col>
                    <xdr:colOff>0</xdr:colOff>
                    <xdr:row>167</xdr:row>
                    <xdr:rowOff>0</xdr:rowOff>
                  </to>
                </anchor>
              </controlPr>
            </control>
          </mc:Choice>
        </mc:AlternateContent>
        <mc:AlternateContent xmlns:mc="http://schemas.openxmlformats.org/markup-compatibility/2006">
          <mc:Choice Requires="x14">
            <control shapeId="40023" r:id="rId67" name="Check Box 87">
              <controlPr defaultSize="0" autoFill="0" autoLine="0" autoPict="0" altText="">
                <anchor moveWithCells="1">
                  <from>
                    <xdr:col>1</xdr:col>
                    <xdr:colOff>0</xdr:colOff>
                    <xdr:row>168</xdr:row>
                    <xdr:rowOff>0</xdr:rowOff>
                  </from>
                  <to>
                    <xdr:col>2</xdr:col>
                    <xdr:colOff>0</xdr:colOff>
                    <xdr:row>169</xdr:row>
                    <xdr:rowOff>0</xdr:rowOff>
                  </to>
                </anchor>
              </controlPr>
            </control>
          </mc:Choice>
        </mc:AlternateContent>
        <mc:AlternateContent xmlns:mc="http://schemas.openxmlformats.org/markup-compatibility/2006">
          <mc:Choice Requires="x14">
            <control shapeId="40024" r:id="rId68" name="Check Box 88">
              <controlPr defaultSize="0" autoFill="0" autoLine="0" autoPict="0" altText="">
                <anchor moveWithCells="1">
                  <from>
                    <xdr:col>1</xdr:col>
                    <xdr:colOff>0</xdr:colOff>
                    <xdr:row>160</xdr:row>
                    <xdr:rowOff>0</xdr:rowOff>
                  </from>
                  <to>
                    <xdr:col>2</xdr:col>
                    <xdr:colOff>0</xdr:colOff>
                    <xdr:row>161</xdr:row>
                    <xdr:rowOff>0</xdr:rowOff>
                  </to>
                </anchor>
              </controlPr>
            </control>
          </mc:Choice>
        </mc:AlternateContent>
        <mc:AlternateContent xmlns:mc="http://schemas.openxmlformats.org/markup-compatibility/2006">
          <mc:Choice Requires="x14">
            <control shapeId="40025" r:id="rId69" name="Check Box 89">
              <controlPr defaultSize="0" autoFill="0" autoLine="0" autoPict="0" altText="">
                <anchor moveWithCells="1">
                  <from>
                    <xdr:col>1</xdr:col>
                    <xdr:colOff>0</xdr:colOff>
                    <xdr:row>85</xdr:row>
                    <xdr:rowOff>0</xdr:rowOff>
                  </from>
                  <to>
                    <xdr:col>2</xdr:col>
                    <xdr:colOff>0</xdr:colOff>
                    <xdr:row>85</xdr:row>
                    <xdr:rowOff>213360</xdr:rowOff>
                  </to>
                </anchor>
              </controlPr>
            </control>
          </mc:Choice>
        </mc:AlternateContent>
        <mc:AlternateContent xmlns:mc="http://schemas.openxmlformats.org/markup-compatibility/2006">
          <mc:Choice Requires="x14">
            <control shapeId="40026" r:id="rId70" name="Check Box 90">
              <controlPr defaultSize="0" autoFill="0" autoLine="0" autoPict="0" altText="">
                <anchor moveWithCells="1">
                  <from>
                    <xdr:col>1</xdr:col>
                    <xdr:colOff>0</xdr:colOff>
                    <xdr:row>102</xdr:row>
                    <xdr:rowOff>0</xdr:rowOff>
                  </from>
                  <to>
                    <xdr:col>2</xdr:col>
                    <xdr:colOff>0</xdr:colOff>
                    <xdr:row>102</xdr:row>
                    <xdr:rowOff>213360</xdr:rowOff>
                  </to>
                </anchor>
              </controlPr>
            </control>
          </mc:Choice>
        </mc:AlternateContent>
        <mc:AlternateContent xmlns:mc="http://schemas.openxmlformats.org/markup-compatibility/2006">
          <mc:Choice Requires="x14">
            <control shapeId="40027" r:id="rId71" name="Check Box 91">
              <controlPr defaultSize="0" autoFill="0" autoLine="0" autoPict="0" altText="">
                <anchor moveWithCells="1">
                  <from>
                    <xdr:col>1</xdr:col>
                    <xdr:colOff>0</xdr:colOff>
                    <xdr:row>145</xdr:row>
                    <xdr:rowOff>0</xdr:rowOff>
                  </from>
                  <to>
                    <xdr:col>2</xdr:col>
                    <xdr:colOff>0</xdr:colOff>
                    <xdr:row>145</xdr:row>
                    <xdr:rowOff>213360</xdr:rowOff>
                  </to>
                </anchor>
              </controlPr>
            </control>
          </mc:Choice>
        </mc:AlternateContent>
        <mc:AlternateContent xmlns:mc="http://schemas.openxmlformats.org/markup-compatibility/2006">
          <mc:Choice Requires="x14">
            <control shapeId="40028" r:id="rId72" name="Check Box 92">
              <controlPr defaultSize="0" autoFill="0" autoLine="0" autoPict="0" altText="">
                <anchor moveWithCells="1">
                  <from>
                    <xdr:col>1</xdr:col>
                    <xdr:colOff>0</xdr:colOff>
                    <xdr:row>188</xdr:row>
                    <xdr:rowOff>0</xdr:rowOff>
                  </from>
                  <to>
                    <xdr:col>2</xdr:col>
                    <xdr:colOff>0</xdr:colOff>
                    <xdr:row>188</xdr:row>
                    <xdr:rowOff>213360</xdr:rowOff>
                  </to>
                </anchor>
              </controlPr>
            </control>
          </mc:Choice>
        </mc:AlternateContent>
        <mc:AlternateContent xmlns:mc="http://schemas.openxmlformats.org/markup-compatibility/2006">
          <mc:Choice Requires="x14">
            <control shapeId="40029" r:id="rId73" name="Check Box 93">
              <controlPr defaultSize="0" autoFill="0" autoLine="0" autoPict="0" altText="">
                <anchor moveWithCells="1">
                  <from>
                    <xdr:col>1</xdr:col>
                    <xdr:colOff>0</xdr:colOff>
                    <xdr:row>199</xdr:row>
                    <xdr:rowOff>0</xdr:rowOff>
                  </from>
                  <to>
                    <xdr:col>2</xdr:col>
                    <xdr:colOff>0</xdr:colOff>
                    <xdr:row>199</xdr:row>
                    <xdr:rowOff>213360</xdr:rowOff>
                  </to>
                </anchor>
              </controlPr>
            </control>
          </mc:Choice>
        </mc:AlternateContent>
        <mc:AlternateContent xmlns:mc="http://schemas.openxmlformats.org/markup-compatibility/2006">
          <mc:Choice Requires="x14">
            <control shapeId="40030" r:id="rId74" name="Check Box 94">
              <controlPr defaultSize="0" autoFill="0" autoLine="0" autoPict="0" altText="">
                <anchor moveWithCells="1">
                  <from>
                    <xdr:col>1</xdr:col>
                    <xdr:colOff>0</xdr:colOff>
                    <xdr:row>18</xdr:row>
                    <xdr:rowOff>0</xdr:rowOff>
                  </from>
                  <to>
                    <xdr:col>2</xdr:col>
                    <xdr:colOff>0</xdr:colOff>
                    <xdr:row>18</xdr:row>
                    <xdr:rowOff>213360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95" id="{3E8B04C5-A8BC-4343-AD8D-6B7663422B72}">
            <xm:f>NOT(Projektgrundlagen!$I$26)</xm:f>
            <x14:dxf>
              <font>
                <strike/>
                <color theme="0" tint="-0.14996795556505021"/>
              </font>
              <fill>
                <patternFill>
                  <bgColor theme="0"/>
                </patternFill>
              </fill>
            </x14:dxf>
          </x14:cfRule>
          <xm:sqref>B19:E28</xm:sqref>
        </x14:conditionalFormatting>
        <x14:conditionalFormatting xmlns:xm="http://schemas.microsoft.com/office/excel/2006/main">
          <x14:cfRule type="expression" priority="39" id="{01B7EE1F-BFFA-4245-B3D7-7B77EFB3DD4F}">
            <xm:f>NOT(Projektgrundlagen!$I$26)</xm:f>
            <x14:dxf>
              <font>
                <strike/>
                <color theme="0" tint="-0.14996795556505021"/>
              </font>
              <fill>
                <patternFill>
                  <bgColor theme="0"/>
                </patternFill>
              </fill>
            </x14:dxf>
          </x14:cfRule>
          <xm:sqref>B77:E83 H77:J83</xm:sqref>
        </x14:conditionalFormatting>
        <x14:conditionalFormatting xmlns:xm="http://schemas.microsoft.com/office/excel/2006/main">
          <x14:cfRule type="expression" priority="29" id="{B6C1705C-1A10-4764-AE5E-31CB3DE2C54E}">
            <xm:f>NOT(Projektgrundlagen!$I$26)</xm:f>
            <x14:dxf>
              <font>
                <strike/>
                <color theme="0" tint="-0.14996795556505021"/>
              </font>
              <fill>
                <patternFill>
                  <bgColor theme="0"/>
                </patternFill>
              </fill>
            </x14:dxf>
          </x14:cfRule>
          <xm:sqref>B86:E87</xm:sqref>
        </x14:conditionalFormatting>
        <x14:conditionalFormatting xmlns:xm="http://schemas.microsoft.com/office/excel/2006/main">
          <x14:cfRule type="expression" priority="22" id="{5611B808-5719-4126-9599-2062962C1F4E}">
            <xm:f>NOT(Projektgrundlagen!$I$26)</xm:f>
            <x14:dxf>
              <font>
                <strike/>
                <color theme="0" tint="-0.14996795556505021"/>
              </font>
              <fill>
                <patternFill>
                  <bgColor theme="0"/>
                </patternFill>
              </fill>
            </x14:dxf>
          </x14:cfRule>
          <xm:sqref>B91:E104</xm:sqref>
        </x14:conditionalFormatting>
        <x14:conditionalFormatting xmlns:xm="http://schemas.microsoft.com/office/excel/2006/main">
          <x14:cfRule type="expression" priority="15" id="{A89BDCFD-F951-485E-ADF8-23B7A0B3036B}">
            <xm:f>NOT(Projektgrundlagen!$I$26)</xm:f>
            <x14:dxf>
              <font>
                <strike/>
                <color theme="0" tint="-0.14996795556505021"/>
              </font>
              <fill>
                <patternFill>
                  <bgColor theme="0"/>
                </patternFill>
              </fill>
            </x14:dxf>
          </x14:cfRule>
          <xm:sqref>B146:E147</xm:sqref>
        </x14:conditionalFormatting>
        <x14:conditionalFormatting xmlns:xm="http://schemas.microsoft.com/office/excel/2006/main">
          <x14:cfRule type="expression" priority="36" id="{1A529823-AD38-4D61-AC76-93FFCD9D508C}">
            <xm:f>NOT(Projektgrundlagen!$I$26)</xm:f>
            <x14:dxf>
              <font>
                <strike/>
                <color theme="0" tint="-0.14996795556505021"/>
              </font>
              <fill>
                <patternFill>
                  <bgColor theme="0"/>
                </patternFill>
              </fill>
            </x14:dxf>
          </x14:cfRule>
          <xm:sqref>B151:E187 H177:J181</xm:sqref>
        </x14:conditionalFormatting>
        <x14:conditionalFormatting xmlns:xm="http://schemas.microsoft.com/office/excel/2006/main">
          <x14:cfRule type="expression" priority="8" id="{F1C9DF8A-D2AB-4233-BA29-65158D1FAFBF}">
            <xm:f>NOT(Projektgrundlagen!$I$26)</xm:f>
            <x14:dxf>
              <font>
                <strike/>
                <color theme="0" tint="-0.14996795556505021"/>
              </font>
              <fill>
                <patternFill>
                  <bgColor theme="0"/>
                </patternFill>
              </fill>
            </x14:dxf>
          </x14:cfRule>
          <xm:sqref>B189:E190</xm:sqref>
        </x14:conditionalFormatting>
        <x14:conditionalFormatting xmlns:xm="http://schemas.microsoft.com/office/excel/2006/main">
          <x14:cfRule type="expression" priority="1" id="{D522D084-429F-49AF-9F00-DB472FD16F00}">
            <xm:f>NOT(Projektgrundlagen!$I$26)</xm:f>
            <x14:dxf>
              <font>
                <strike/>
                <color theme="0" tint="-0.14996795556505021"/>
              </font>
              <fill>
                <patternFill>
                  <bgColor theme="0"/>
                </patternFill>
              </fill>
            </x14:dxf>
          </x14:cfRule>
          <xm:sqref>B194:E201</xm:sqref>
        </x14:conditionalFormatting>
        <x14:conditionalFormatting xmlns:xm="http://schemas.microsoft.com/office/excel/2006/main">
          <x14:cfRule type="expression" priority="251" id="{EB24C819-753C-4E3B-9619-1DE1336331DF}">
            <xm:f>NOT(Projektgrundlagen!$I$26)</xm:f>
            <x14:dxf>
              <font>
                <strike/>
                <color theme="0" tint="-0.14996795556505021"/>
              </font>
              <fill>
                <patternFill>
                  <bgColor theme="0"/>
                </patternFill>
              </fill>
            </x14:dxf>
          </x14:cfRule>
          <xm:sqref>B52:H52</xm:sqref>
        </x14:conditionalFormatting>
        <x14:conditionalFormatting xmlns:xm="http://schemas.microsoft.com/office/excel/2006/main">
          <x14:cfRule type="expression" priority="86" id="{D6322AE1-2BF4-488C-9D50-7888CBC5951B}">
            <xm:f>NOT(Projektgrundlagen!$I$26)</xm:f>
            <x14:dxf>
              <font>
                <strike/>
                <color theme="0" tint="-0.14996795556505021"/>
              </font>
              <fill>
                <patternFill>
                  <bgColor theme="0"/>
                </patternFill>
              </fill>
            </x14:dxf>
          </x14:cfRule>
          <xm:sqref>B13:J15 B16:D16 J16 H19:J28 B32:E51 J50 B72:E72 H108:J119 B108:B120 H124:J127 B124:B143 H129:J130 H132:J133 H135:J138 H140:J143 I173:J173 H174:J175 I182:J182 H183:J186 J187</xm:sqref>
        </x14:conditionalFormatting>
        <x14:conditionalFormatting xmlns:xm="http://schemas.microsoft.com/office/excel/2006/main">
          <x14:cfRule type="expression" priority="250" id="{EB25AA75-2DB5-4332-A6B0-1564804ADE7B}">
            <xm:f>NOT(Projektgrundlagen!$I$26)</xm:f>
            <x14:dxf>
              <font>
                <strike/>
                <color theme="0" tint="-0.14996795556505021"/>
              </font>
              <fill>
                <patternFill>
                  <bgColor theme="0"/>
                </patternFill>
              </fill>
            </x14:dxf>
          </x14:cfRule>
          <xm:sqref>B73:J73</xm:sqref>
        </x14:conditionalFormatting>
        <x14:conditionalFormatting xmlns:xm="http://schemas.microsoft.com/office/excel/2006/main">
          <x14:cfRule type="expression" priority="203" id="{613B4225-B019-458C-8314-F2A550FE5FFF}">
            <xm:f>NOT(Projektgrundlagen!$I$26)</xm:f>
            <x14:dxf>
              <font>
                <strike/>
                <color theme="0" tint="-0.14996795556505021"/>
              </font>
              <fill>
                <patternFill>
                  <bgColor theme="0"/>
                </patternFill>
              </fill>
            </x14:dxf>
          </x14:cfRule>
          <xm:sqref>B188:J188</xm:sqref>
        </x14:conditionalFormatting>
        <x14:conditionalFormatting xmlns:xm="http://schemas.microsoft.com/office/excel/2006/main">
          <x14:cfRule type="expression" priority="43" id="{3E6AE04C-D704-4B36-AD0B-ADE4F75F6D13}">
            <xm:f>NOT(Projektgrundlagen!$I$26)</xm:f>
            <x14:dxf>
              <font>
                <strike/>
                <color theme="0" tint="-0.14996795556505021"/>
              </font>
              <fill>
                <patternFill>
                  <bgColor theme="0"/>
                </patternFill>
              </fill>
            </x14:dxf>
          </x14:cfRule>
          <xm:sqref>C56:E70</xm:sqref>
        </x14:conditionalFormatting>
        <x14:conditionalFormatting xmlns:xm="http://schemas.microsoft.com/office/excel/2006/main">
          <x14:cfRule type="expression" priority="133" id="{D84CDAB1-4A54-49B3-8412-391965151E77}">
            <xm:f>NOT(Projektgrundlagen!$I$26)</xm:f>
            <x14:dxf>
              <font>
                <strike/>
                <color theme="0" tint="-0.14996795556505021"/>
              </font>
              <fill>
                <patternFill>
                  <bgColor theme="0"/>
                </patternFill>
              </fill>
            </x14:dxf>
          </x14:cfRule>
          <xm:sqref>C108:E119</xm:sqref>
        </x14:conditionalFormatting>
        <x14:conditionalFormatting xmlns:xm="http://schemas.microsoft.com/office/excel/2006/main">
          <x14:cfRule type="expression" priority="131" id="{84F97345-7FBE-43A4-B467-D14F9786B1CF}">
            <xm:f>NOT(Projektgrundlagen!$I$26)</xm:f>
            <x14:dxf>
              <font>
                <strike/>
                <color theme="0" tint="-0.14996795556505021"/>
              </font>
              <fill>
                <patternFill>
                  <bgColor theme="0"/>
                </patternFill>
              </fill>
            </x14:dxf>
          </x14:cfRule>
          <xm:sqref>C124:E127</xm:sqref>
        </x14:conditionalFormatting>
        <x14:conditionalFormatting xmlns:xm="http://schemas.microsoft.com/office/excel/2006/main">
          <x14:cfRule type="expression" priority="128" id="{0BFCEABB-B314-403C-83A8-4BE219EE62A8}">
            <xm:f>NOT(Projektgrundlagen!$I$26)</xm:f>
            <x14:dxf>
              <font>
                <strike/>
                <color theme="0" tint="-0.14996795556505021"/>
              </font>
              <fill>
                <patternFill>
                  <bgColor theme="0"/>
                </patternFill>
              </fill>
            </x14:dxf>
          </x14:cfRule>
          <xm:sqref>C129:E133</xm:sqref>
        </x14:conditionalFormatting>
        <x14:conditionalFormatting xmlns:xm="http://schemas.microsoft.com/office/excel/2006/main">
          <x14:cfRule type="expression" priority="127" id="{43DD8750-ADE1-46C3-A164-4D7664BA8F77}">
            <xm:f>NOT(Projektgrundlagen!$I$26)</xm:f>
            <x14:dxf>
              <font>
                <strike/>
                <color theme="0" tint="-0.14996795556505021"/>
              </font>
              <fill>
                <patternFill>
                  <bgColor theme="0"/>
                </patternFill>
              </fill>
            </x14:dxf>
          </x14:cfRule>
          <xm:sqref>C135:E138</xm:sqref>
        </x14:conditionalFormatting>
        <x14:conditionalFormatting xmlns:xm="http://schemas.microsoft.com/office/excel/2006/main">
          <x14:cfRule type="expression" priority="126" id="{31F771D4-DB4A-40DA-89EA-B8E89B0AF8AF}">
            <xm:f>NOT(Projektgrundlagen!$I$26)</xm:f>
            <x14:dxf>
              <font>
                <strike/>
                <color theme="0" tint="-0.14996795556505021"/>
              </font>
              <fill>
                <patternFill>
                  <bgColor theme="0"/>
                </patternFill>
              </fill>
            </x14:dxf>
          </x14:cfRule>
          <xm:sqref>C140:E143</xm:sqref>
        </x14:conditionalFormatting>
        <x14:conditionalFormatting xmlns:xm="http://schemas.microsoft.com/office/excel/2006/main">
          <x14:cfRule type="expression" priority="113" id="{B6BC2C99-5ECF-44E6-B554-EF5C3D177A02}">
            <xm:f>NOT(Projektgrundlagen!$I$26)</xm:f>
            <x14:dxf>
              <font>
                <strike/>
                <color theme="0" tint="-0.14996795556505021"/>
              </font>
              <fill>
                <patternFill>
                  <bgColor theme="0"/>
                </patternFill>
              </fill>
            </x14:dxf>
          </x14:cfRule>
          <xm:sqref>C71:J71</xm:sqref>
        </x14:conditionalFormatting>
        <x14:conditionalFormatting xmlns:xm="http://schemas.microsoft.com/office/excel/2006/main">
          <x14:cfRule type="expression" priority="214" id="{FB6D5D47-52C8-4C4F-A3B8-91C7972183BF}">
            <xm:f>NOT(Projektgrundlagen!$I$26)</xm:f>
            <x14:dxf>
              <font>
                <strike/>
                <color theme="0" tint="-0.14996795556505021"/>
              </font>
              <fill>
                <patternFill>
                  <bgColor theme="0"/>
                </patternFill>
              </fill>
            </x14:dxf>
          </x14:cfRule>
          <xm:sqref>C120:J120</xm:sqref>
        </x14:conditionalFormatting>
        <x14:conditionalFormatting xmlns:xm="http://schemas.microsoft.com/office/excel/2006/main">
          <x14:cfRule type="expression" priority="218" id="{DE9AE989-7221-4CEC-8418-2A2AF76C90DA}">
            <xm:f>NOT(Projektgrundlagen!$I$26)</xm:f>
            <x14:dxf>
              <font>
                <strike/>
                <color theme="0" tint="-0.14996795556505021"/>
              </font>
              <fill>
                <patternFill>
                  <bgColor theme="0"/>
                </patternFill>
              </fill>
            </x14:dxf>
          </x14:cfRule>
          <xm:sqref>C128:J128</xm:sqref>
        </x14:conditionalFormatting>
        <x14:conditionalFormatting xmlns:xm="http://schemas.microsoft.com/office/excel/2006/main">
          <x14:cfRule type="expression" priority="222" id="{75019757-CD13-42E4-971C-0954D731B33D}">
            <xm:f>NOT(Projektgrundlagen!$I$26)</xm:f>
            <x14:dxf>
              <font>
                <strike/>
                <color theme="0" tint="-0.14996795556505021"/>
              </font>
              <fill>
                <patternFill>
                  <bgColor theme="0"/>
                </patternFill>
              </fill>
            </x14:dxf>
          </x14:cfRule>
          <xm:sqref>C134:J134</xm:sqref>
        </x14:conditionalFormatting>
        <x14:conditionalFormatting xmlns:xm="http://schemas.microsoft.com/office/excel/2006/main">
          <x14:cfRule type="expression" priority="224" id="{9BBCBD64-48AE-44DD-96BC-DB24907B4286}">
            <xm:f>NOT(Projektgrundlagen!$I$26)</xm:f>
            <x14:dxf>
              <font>
                <strike/>
                <color theme="0" tint="-0.14996795556505021"/>
              </font>
              <fill>
                <patternFill>
                  <bgColor theme="0"/>
                </patternFill>
              </fill>
            </x14:dxf>
          </x14:cfRule>
          <xm:sqref>C139:J139</xm:sqref>
        </x14:conditionalFormatting>
        <x14:conditionalFormatting xmlns:xm="http://schemas.microsoft.com/office/excel/2006/main">
          <x14:cfRule type="expression" priority="53" id="{8388AE41-AA33-4687-81BA-2E07A88E7729}">
            <xm:f>NOT(Projektgrundlagen!$I$26)</xm:f>
            <x14:dxf>
              <font>
                <strike/>
                <color theme="0" tint="-0.14996795556505021"/>
              </font>
              <fill>
                <patternFill>
                  <bgColor theme="0"/>
                </patternFill>
              </fill>
            </x14:dxf>
          </x14:cfRule>
          <xm:sqref>H32:J49</xm:sqref>
        </x14:conditionalFormatting>
        <x14:conditionalFormatting xmlns:xm="http://schemas.microsoft.com/office/excel/2006/main">
          <x14:cfRule type="expression" priority="42" id="{3E3F8888-DC68-4BE1-8644-9BB69D38E4D6}">
            <xm:f>NOT(Projektgrundlagen!$I$26)</xm:f>
            <x14:dxf>
              <font>
                <strike/>
                <color theme="0" tint="-0.14996795556505021"/>
              </font>
              <fill>
                <patternFill>
                  <bgColor theme="0"/>
                </patternFill>
              </fill>
            </x14:dxf>
          </x14:cfRule>
          <xm:sqref>H56:J70 B56:B71</xm:sqref>
        </x14:conditionalFormatting>
        <x14:conditionalFormatting xmlns:xm="http://schemas.microsoft.com/office/excel/2006/main">
          <x14:cfRule type="expression" priority="30" id="{CBDD1172-FBC1-4E17-9BEE-A7ED28948F16}">
            <xm:f>NOT(Projektgrundlagen!$I$26)</xm:f>
            <x14:dxf>
              <font>
                <strike/>
                <color theme="0" tint="-0.14996795556505021"/>
              </font>
              <fill>
                <patternFill>
                  <bgColor theme="0"/>
                </patternFill>
              </fill>
            </x14:dxf>
          </x14:cfRule>
          <xm:sqref>H86:J87</xm:sqref>
        </x14:conditionalFormatting>
        <x14:conditionalFormatting xmlns:xm="http://schemas.microsoft.com/office/excel/2006/main">
          <x14:cfRule type="expression" priority="23" id="{32D981E9-373B-436C-B8AD-343D14A7943C}">
            <xm:f>NOT(Projektgrundlagen!$I$26)</xm:f>
            <x14:dxf>
              <font>
                <strike/>
                <color theme="0" tint="-0.14996795556505021"/>
              </font>
              <fill>
                <patternFill>
                  <bgColor theme="0"/>
                </patternFill>
              </fill>
            </x14:dxf>
          </x14:cfRule>
          <xm:sqref>H91:J104</xm:sqref>
        </x14:conditionalFormatting>
        <x14:conditionalFormatting xmlns:xm="http://schemas.microsoft.com/office/excel/2006/main">
          <x14:cfRule type="expression" priority="16" id="{7FFBFE21-BCEE-4EEF-BF08-6AA5031C808B}">
            <xm:f>NOT(Projektgrundlagen!$I$26)</xm:f>
            <x14:dxf>
              <font>
                <strike/>
                <color theme="0" tint="-0.14996795556505021"/>
              </font>
              <fill>
                <patternFill>
                  <bgColor theme="0"/>
                </patternFill>
              </fill>
            </x14:dxf>
          </x14:cfRule>
          <xm:sqref>H146:J147</xm:sqref>
        </x14:conditionalFormatting>
        <x14:conditionalFormatting xmlns:xm="http://schemas.microsoft.com/office/excel/2006/main">
          <x14:cfRule type="expression" priority="47" id="{4C9F2E25-0103-4D0B-9474-BBEF6D35437A}">
            <xm:f>NOT(Projektgrundlagen!$I$26)</xm:f>
            <x14:dxf>
              <font>
                <strike/>
                <color theme="0" tint="-0.14996795556505021"/>
              </font>
              <fill>
                <patternFill>
                  <bgColor theme="0"/>
                </patternFill>
              </fill>
            </x14:dxf>
          </x14:cfRule>
          <xm:sqref>H151:J172</xm:sqref>
        </x14:conditionalFormatting>
        <x14:conditionalFormatting xmlns:xm="http://schemas.microsoft.com/office/excel/2006/main">
          <x14:cfRule type="expression" priority="9" id="{94D7CBF1-DD7F-490F-9C86-1AE810D0B853}">
            <xm:f>NOT(Projektgrundlagen!$I$26)</xm:f>
            <x14:dxf>
              <font>
                <strike/>
                <color theme="0" tint="-0.14996795556505021"/>
              </font>
              <fill>
                <patternFill>
                  <bgColor theme="0"/>
                </patternFill>
              </fill>
            </x14:dxf>
          </x14:cfRule>
          <xm:sqref>H189:J190</xm:sqref>
        </x14:conditionalFormatting>
        <x14:conditionalFormatting xmlns:xm="http://schemas.microsoft.com/office/excel/2006/main">
          <x14:cfRule type="expression" priority="2" id="{BE4E6D5D-ACF7-47CA-B5FE-4E183FE91723}">
            <xm:f>NOT(Projektgrundlagen!$I$26)</xm:f>
            <x14:dxf>
              <font>
                <strike/>
                <color theme="0" tint="-0.14996795556505021"/>
              </font>
              <fill>
                <patternFill>
                  <bgColor theme="0"/>
                </patternFill>
              </fill>
            </x14:dxf>
          </x14:cfRule>
          <xm:sqref>H194:J201</xm:sqref>
        </x14:conditionalFormatting>
        <x14:conditionalFormatting xmlns:xm="http://schemas.microsoft.com/office/excel/2006/main">
          <x14:cfRule type="expression" priority="170" id="{87BFCCB5-AA34-4473-BE37-81A249767CE0}">
            <xm:f>NOT(Projektgrundlagen!$I$26)</xm:f>
            <x14:dxf>
              <font>
                <strike/>
                <color theme="0" tint="-0.14996795556505021"/>
              </font>
              <fill>
                <patternFill>
                  <bgColor theme="0"/>
                </patternFill>
              </fill>
            </x14:dxf>
          </x14:cfRule>
          <xm:sqref>I51:J52</xm:sqref>
        </x14:conditionalFormatting>
        <x14:conditionalFormatting xmlns:xm="http://schemas.microsoft.com/office/excel/2006/main">
          <x14:cfRule type="expression" priority="168" id="{5C8510C8-91C5-478D-A9C1-4D676FCCDC9B}">
            <xm:f>NOT(Projektgrundlagen!$I$26)</xm:f>
            <x14:dxf>
              <font>
                <strike/>
                <color theme="0" tint="-0.14996795556505021"/>
              </font>
              <fill>
                <patternFill>
                  <bgColor theme="0"/>
                </patternFill>
              </fill>
            </x14:dxf>
          </x14:cfRule>
          <xm:sqref>I72:J72</xm:sqref>
        </x14:conditionalFormatting>
        <x14:conditionalFormatting xmlns:xm="http://schemas.microsoft.com/office/excel/2006/main">
          <x14:cfRule type="expression" priority="45" id="{B9DDCA80-9B03-44E6-AB3E-6B9EAB3BAE8B}">
            <xm:f>NOT(Projektgrundlagen!$I$26)</xm:f>
            <x14:dxf>
              <font>
                <strike/>
                <color theme="0" tint="-0.14996795556505021"/>
              </font>
              <fill>
                <patternFill>
                  <bgColor theme="0"/>
                </patternFill>
              </fill>
            </x14:dxf>
          </x14:cfRule>
          <xm:sqref>I176:J176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9">
    <tabColor theme="6" tint="0.79998168889431442"/>
    <pageSetUpPr fitToPage="1"/>
  </sheetPr>
  <dimension ref="A1:P98"/>
  <sheetViews>
    <sheetView showGridLines="0" zoomScaleNormal="100" zoomScaleSheetLayoutView="110" workbookViewId="0">
      <selection activeCell="F5" sqref="F5:G5"/>
    </sheetView>
  </sheetViews>
  <sheetFormatPr baseColWidth="10" defaultColWidth="0" defaultRowHeight="0" customHeight="1" zeroHeight="1"/>
  <cols>
    <col min="1" max="1" width="5.6640625" style="544" customWidth="1"/>
    <col min="2" max="2" width="3.33203125" style="237" customWidth="1"/>
    <col min="3" max="3" width="4.109375" style="237" customWidth="1"/>
    <col min="4" max="4" width="3.33203125" style="237" customWidth="1"/>
    <col min="5" max="5" width="2.6640625" style="237" customWidth="1"/>
    <col min="6" max="6" width="44.44140625" style="237" customWidth="1"/>
    <col min="7" max="7" width="12.33203125" style="237" customWidth="1"/>
    <col min="8" max="9" width="7.33203125" style="237" customWidth="1"/>
    <col min="10" max="10" width="12.33203125" style="237" customWidth="1"/>
    <col min="11" max="11" width="12.6640625" style="238" customWidth="1"/>
    <col min="12" max="12" width="2.6640625" style="222" customWidth="1"/>
    <col min="13" max="13" width="11.44140625" style="223" hidden="1" customWidth="1"/>
    <col min="14" max="16384" width="10.6640625" style="224" hidden="1"/>
  </cols>
  <sheetData>
    <row r="1" spans="1:16" ht="16.8"/>
    <row r="2" spans="1:16" s="129" customFormat="1" ht="16.5" customHeight="1">
      <c r="A2" s="469"/>
      <c r="B2" s="1655" t="str">
        <f>Projektgrundlagen!L20</f>
        <v xml:space="preserve">Objektplanung Gebäude </v>
      </c>
      <c r="C2" s="1655"/>
      <c r="D2" s="1655"/>
      <c r="E2" s="1655"/>
      <c r="F2" s="1655"/>
      <c r="G2" s="1656"/>
      <c r="H2" s="1635" t="str">
        <f>IF(Projektgrundlagen!F2="","",Projektgrundlagen!F2)</f>
        <v>VII.10.4</v>
      </c>
      <c r="I2" s="1599"/>
      <c r="J2" s="1599" t="s">
        <v>328</v>
      </c>
      <c r="K2" s="1600"/>
      <c r="L2" s="1710" t="s">
        <v>355</v>
      </c>
      <c r="M2" s="221" t="s">
        <v>59</v>
      </c>
      <c r="P2" s="207" t="s">
        <v>169</v>
      </c>
    </row>
    <row r="3" spans="1:16" s="129" customFormat="1" ht="16.8">
      <c r="A3" s="469"/>
      <c r="B3" s="1657" t="s">
        <v>473</v>
      </c>
      <c r="C3" s="1657"/>
      <c r="D3" s="1657"/>
      <c r="E3" s="1657"/>
      <c r="F3" s="1657"/>
      <c r="G3" s="1658"/>
      <c r="H3" s="1636" t="str">
        <f>IF(Projektgrundlagen!F3="","",Projektgrundlagen!F3)</f>
        <v>Vertrags-Nr.:</v>
      </c>
      <c r="I3" s="1637"/>
      <c r="J3" s="1632" t="str">
        <f>IF(Projektgrundlagen!G3="","",Projektgrundlagen!G3)</f>
        <v>000.792.717</v>
      </c>
      <c r="K3" s="1633"/>
      <c r="L3" s="1710"/>
      <c r="M3" s="130"/>
      <c r="P3" s="1" t="str">
        <f ca="1">MID(CELL("dateiname",A2),FIND("]",CELL("dateiname",A2))+1,255)</f>
        <v>StB-D1 BesondereLstg -entfällt-</v>
      </c>
    </row>
    <row r="4" spans="1:16" s="129" customFormat="1" ht="7.5" customHeight="1">
      <c r="A4" s="469"/>
      <c r="B4" s="373"/>
      <c r="C4" s="373"/>
      <c r="D4" s="373"/>
      <c r="E4" s="373"/>
      <c r="F4" s="373"/>
      <c r="G4" s="392"/>
      <c r="H4" s="146"/>
      <c r="I4" s="146"/>
      <c r="J4" s="189"/>
      <c r="K4" s="189"/>
      <c r="L4" s="1710"/>
      <c r="M4" s="130"/>
    </row>
    <row r="5" spans="1:16" s="129" customFormat="1" ht="16.8">
      <c r="A5" s="469"/>
      <c r="B5" s="1641" t="str">
        <f>IF(Projektgrundlagen!B5="","",Projektgrundlagen!B5)</f>
        <v>Maßnahmennr:</v>
      </c>
      <c r="C5" s="1642"/>
      <c r="D5" s="1642"/>
      <c r="E5" s="1642"/>
      <c r="F5" s="1707" t="str">
        <f>IF(Projektgrundlagen!E5="","",Projektgrundlagen!E5)</f>
        <v>B14HA150700001</v>
      </c>
      <c r="G5" s="1707"/>
      <c r="H5" s="1638" t="str">
        <f>IF(Projektgrundlagen!F5="","",Projektgrundlagen!F5)</f>
        <v>Vergabe-Nr.:</v>
      </c>
      <c r="I5" s="1638"/>
      <c r="J5" s="1607" t="str">
        <f>IF(Projektgrundlagen!G5="","",Projektgrundlagen!G5)</f>
        <v>26-004187</v>
      </c>
      <c r="K5" s="1634"/>
      <c r="L5" s="1710"/>
      <c r="M5" s="130"/>
    </row>
    <row r="6" spans="1:16" s="129" customFormat="1" ht="16.8">
      <c r="A6" s="469"/>
      <c r="B6" s="1643" t="str">
        <f>IF(Projektgrundlagen!B6="","",Projektgrundlagen!B6)</f>
        <v>Maßnahme:</v>
      </c>
      <c r="C6" s="1644"/>
      <c r="D6" s="1644"/>
      <c r="E6" s="1644"/>
      <c r="F6" s="1647" t="str">
        <f>IF(Projektgrundlagen!E6="","",Projektgrundlagen!E6)</f>
        <v>Neubau ASG TUM Campus Taufkirchen / Ottobrunn</v>
      </c>
      <c r="G6" s="1647"/>
      <c r="H6" s="1647"/>
      <c r="I6" s="1647"/>
      <c r="J6" s="1647"/>
      <c r="K6" s="1648"/>
      <c r="L6" s="1710"/>
      <c r="M6" s="130"/>
    </row>
    <row r="7" spans="1:16" s="129" customFormat="1" ht="16.8">
      <c r="A7" s="469"/>
      <c r="B7" s="1645" t="str">
        <f>IF(Projektgrundlagen!B7="","",Projektgrundlagen!B7)</f>
        <v/>
      </c>
      <c r="C7" s="1646"/>
      <c r="D7" s="1646"/>
      <c r="E7" s="1646"/>
      <c r="F7" s="1649" t="str">
        <f>IF(Projektgrundlagen!E7="","",Projektgrundlagen!E7)</f>
        <v/>
      </c>
      <c r="G7" s="1649"/>
      <c r="H7" s="1649"/>
      <c r="I7" s="1649"/>
      <c r="J7" s="1649"/>
      <c r="K7" s="1650"/>
      <c r="L7" s="1710"/>
      <c r="M7" s="130"/>
    </row>
    <row r="8" spans="1:16" s="129" customFormat="1" ht="16.8">
      <c r="A8" s="469"/>
      <c r="B8" s="1618" t="str">
        <f>IF(Projektgrundlagen!B8="","",Projektgrundlagen!B8)</f>
        <v>Bieter:</v>
      </c>
      <c r="C8" s="1619"/>
      <c r="D8" s="1619"/>
      <c r="E8" s="1619"/>
      <c r="F8" s="1708" t="str">
        <f>IF(Projektgrundlagen!E8="","",Projektgrundlagen!E8)</f>
        <v/>
      </c>
      <c r="G8" s="1708"/>
      <c r="H8" s="1708"/>
      <c r="I8" s="1708"/>
      <c r="J8" s="1708"/>
      <c r="K8" s="1709"/>
      <c r="L8" s="1710"/>
      <c r="M8" s="130"/>
    </row>
    <row r="9" spans="1:16" ht="16.8">
      <c r="B9" s="571"/>
      <c r="C9" s="993"/>
      <c r="D9" s="233"/>
      <c r="E9" s="233"/>
      <c r="F9" s="234"/>
      <c r="G9" s="235"/>
      <c r="H9" s="234"/>
      <c r="I9" s="234"/>
      <c r="J9" s="572"/>
      <c r="K9" s="245"/>
    </row>
    <row r="10" spans="1:16" s="129" customFormat="1" ht="27" customHeight="1">
      <c r="A10" s="469"/>
      <c r="B10" s="1706" t="s">
        <v>364</v>
      </c>
      <c r="C10" s="1706"/>
      <c r="D10" s="1706"/>
      <c r="E10" s="1706"/>
      <c r="F10" s="1706"/>
      <c r="G10" s="577"/>
      <c r="H10" s="881" t="s">
        <v>49</v>
      </c>
      <c r="I10" s="881" t="s">
        <v>48</v>
      </c>
      <c r="J10" s="583" t="s">
        <v>381</v>
      </c>
      <c r="K10" s="581" t="s">
        <v>377</v>
      </c>
      <c r="L10" s="125"/>
      <c r="M10" s="130"/>
    </row>
    <row r="11" spans="1:16" s="129" customFormat="1" ht="27" customHeight="1">
      <c r="A11" s="469"/>
      <c r="B11" s="578" t="s">
        <v>287</v>
      </c>
      <c r="C11" s="579"/>
      <c r="D11" s="579"/>
      <c r="E11" s="579"/>
      <c r="F11" s="579"/>
      <c r="G11" s="580" t="str">
        <f>IF(Projektgrundlagen!I24,"","Besondere Lstg. Straßenbau sind nicht Teil dieser Honorarermittlung!")</f>
        <v>Besondere Lstg. Straßenbau sind nicht Teil dieser Honorarermittlung!</v>
      </c>
      <c r="H11" s="582"/>
      <c r="I11" s="582"/>
      <c r="J11" s="583"/>
      <c r="K11" s="581"/>
      <c r="L11" s="125"/>
      <c r="M11" s="130"/>
    </row>
    <row r="12" spans="1:16" ht="7.5" customHeight="1">
      <c r="B12" s="573"/>
      <c r="C12" s="994"/>
      <c r="D12" s="574"/>
      <c r="E12" s="574"/>
      <c r="F12" s="565"/>
      <c r="G12" s="575"/>
      <c r="H12" s="565"/>
      <c r="I12" s="565"/>
      <c r="J12" s="576"/>
      <c r="K12" s="325"/>
    </row>
    <row r="13" spans="1:16" ht="22.65" customHeight="1">
      <c r="B13" s="518" t="s">
        <v>218</v>
      </c>
      <c r="C13" s="519"/>
      <c r="D13" s="519"/>
      <c r="E13" s="519"/>
      <c r="F13" s="519"/>
      <c r="G13" s="519"/>
      <c r="H13" s="528"/>
      <c r="I13" s="528"/>
      <c r="J13" s="545"/>
      <c r="K13" s="546"/>
      <c r="L13" s="239"/>
    </row>
    <row r="14" spans="1:16" ht="17.399999999999999">
      <c r="B14" s="100"/>
      <c r="C14" s="991" t="s">
        <v>43</v>
      </c>
      <c r="D14" s="939"/>
      <c r="E14" s="948"/>
      <c r="F14" s="944"/>
      <c r="G14" s="436"/>
      <c r="H14" s="703"/>
      <c r="I14" s="705"/>
      <c r="J14" s="696"/>
      <c r="K14" s="439" t="str">
        <f>IF(M14,IF(J14&gt;0,H14*J14,0),"")</f>
        <v/>
      </c>
      <c r="L14" s="239"/>
      <c r="M14" s="223" t="b">
        <v>0</v>
      </c>
    </row>
    <row r="15" spans="1:16" ht="16.5" customHeight="1">
      <c r="B15" s="188"/>
      <c r="C15" s="992"/>
      <c r="D15" s="673"/>
      <c r="E15" s="432"/>
      <c r="F15" s="441"/>
      <c r="G15" s="433"/>
      <c r="H15" s="701"/>
      <c r="I15" s="704"/>
      <c r="J15" s="697"/>
      <c r="K15" s="434"/>
      <c r="L15" s="239"/>
    </row>
    <row r="16" spans="1:16" ht="17.399999999999999">
      <c r="B16" s="100"/>
      <c r="C16" s="991" t="s">
        <v>42</v>
      </c>
      <c r="D16" s="941"/>
      <c r="E16" s="947"/>
      <c r="F16" s="949"/>
      <c r="G16" s="436"/>
      <c r="H16" s="703"/>
      <c r="I16" s="705"/>
      <c r="J16" s="698"/>
      <c r="K16" s="439" t="str">
        <f t="shared" ref="K16:K18" si="0">IF(M16,IF(J16&gt;0,H16*J16,0),"")</f>
        <v/>
      </c>
      <c r="L16" s="239"/>
      <c r="M16" s="223" t="b">
        <v>0</v>
      </c>
    </row>
    <row r="17" spans="2:13" ht="16.5" customHeight="1">
      <c r="B17" s="188"/>
      <c r="C17" s="992"/>
      <c r="D17" s="673"/>
      <c r="E17" s="432"/>
      <c r="F17" s="437"/>
      <c r="G17" s="433"/>
      <c r="H17" s="701"/>
      <c r="I17" s="704"/>
      <c r="J17" s="697"/>
      <c r="K17" s="434"/>
      <c r="L17" s="239"/>
    </row>
    <row r="18" spans="2:13" ht="17.399999999999999">
      <c r="B18" s="226"/>
      <c r="C18" s="991" t="s">
        <v>41</v>
      </c>
      <c r="D18" s="941"/>
      <c r="E18" s="947"/>
      <c r="F18" s="949"/>
      <c r="G18" s="436"/>
      <c r="H18" s="703"/>
      <c r="I18" s="705"/>
      <c r="J18" s="698"/>
      <c r="K18" s="439" t="str">
        <f t="shared" si="0"/>
        <v/>
      </c>
      <c r="L18" s="239"/>
      <c r="M18" s="223" t="b">
        <v>0</v>
      </c>
    </row>
    <row r="19" spans="2:13" ht="16.5" customHeight="1" thickBot="1">
      <c r="B19" s="261"/>
      <c r="C19" s="992"/>
      <c r="D19" s="673"/>
      <c r="E19" s="432"/>
      <c r="F19" s="437"/>
      <c r="G19" s="433"/>
      <c r="H19" s="701"/>
      <c r="I19" s="704"/>
      <c r="J19" s="697"/>
      <c r="K19" s="434"/>
      <c r="L19" s="239"/>
    </row>
    <row r="20" spans="2:13" ht="22.65" customHeight="1" thickBot="1">
      <c r="B20" s="547"/>
      <c r="C20" s="995" t="s">
        <v>10</v>
      </c>
      <c r="D20" s="548"/>
      <c r="E20" s="549"/>
      <c r="F20" s="430"/>
      <c r="G20" s="550"/>
      <c r="H20" s="430"/>
      <c r="I20" s="430"/>
      <c r="J20" s="551" t="s">
        <v>273</v>
      </c>
      <c r="K20" s="552">
        <f>IF(Projektgrundlagen!I24,IF(COUNT(K14:K19)&gt;0,SUM(K14:K19),""),0)</f>
        <v>0</v>
      </c>
    </row>
    <row r="21" spans="2:13" ht="7.5" customHeight="1">
      <c r="B21" s="243"/>
      <c r="C21" s="996"/>
      <c r="D21" s="227"/>
      <c r="E21" s="227"/>
      <c r="F21" s="217"/>
      <c r="G21" s="228"/>
      <c r="H21" s="217"/>
      <c r="I21" s="217"/>
      <c r="J21" s="220"/>
      <c r="K21" s="244"/>
    </row>
    <row r="22" spans="2:13" ht="22.65" customHeight="1">
      <c r="B22" s="518" t="s">
        <v>219</v>
      </c>
      <c r="C22" s="519"/>
      <c r="D22" s="519"/>
      <c r="E22" s="519"/>
      <c r="F22" s="519"/>
      <c r="G22" s="519"/>
      <c r="H22" s="528"/>
      <c r="I22" s="528"/>
      <c r="J22" s="545"/>
      <c r="K22" s="554"/>
    </row>
    <row r="23" spans="2:13" ht="17.399999999999999">
      <c r="B23" s="225"/>
      <c r="C23" s="991" t="s">
        <v>40</v>
      </c>
      <c r="D23" s="939"/>
      <c r="E23" s="947"/>
      <c r="F23" s="944"/>
      <c r="G23" s="436"/>
      <c r="H23" s="703"/>
      <c r="I23" s="705"/>
      <c r="J23" s="696"/>
      <c r="K23" s="439" t="str">
        <f>IF(M23,IF(J23&gt;0,H23*J23,0),"")</f>
        <v/>
      </c>
      <c r="M23" s="223" t="b">
        <v>0</v>
      </c>
    </row>
    <row r="24" spans="2:13" ht="16.5" customHeight="1">
      <c r="B24" s="261"/>
      <c r="C24" s="992"/>
      <c r="D24" s="673"/>
      <c r="E24" s="432"/>
      <c r="F24" s="441"/>
      <c r="G24" s="433"/>
      <c r="H24" s="704"/>
      <c r="I24" s="435"/>
      <c r="J24" s="697"/>
      <c r="K24" s="434"/>
      <c r="L24" s="239"/>
    </row>
    <row r="25" spans="2:13" ht="17.399999999999999">
      <c r="B25" s="225"/>
      <c r="C25" s="991" t="s">
        <v>39</v>
      </c>
      <c r="D25" s="941"/>
      <c r="E25" s="947"/>
      <c r="F25" s="949"/>
      <c r="G25" s="436"/>
      <c r="H25" s="703"/>
      <c r="I25" s="705"/>
      <c r="J25" s="698"/>
      <c r="K25" s="439" t="str">
        <f t="shared" ref="K25:K27" si="1">IF(M25,IF(J25&gt;0,H25*J25,0),"")</f>
        <v/>
      </c>
      <c r="M25" s="223" t="b">
        <v>0</v>
      </c>
    </row>
    <row r="26" spans="2:13" ht="16.5" customHeight="1">
      <c r="B26" s="261"/>
      <c r="C26" s="992"/>
      <c r="D26" s="673"/>
      <c r="E26" s="432"/>
      <c r="F26" s="437"/>
      <c r="G26" s="433"/>
      <c r="H26" s="704"/>
      <c r="I26" s="435"/>
      <c r="J26" s="697"/>
      <c r="K26" s="434"/>
      <c r="L26" s="239"/>
    </row>
    <row r="27" spans="2:13" ht="17.399999999999999">
      <c r="B27" s="225"/>
      <c r="C27" s="991" t="s">
        <v>38</v>
      </c>
      <c r="D27" s="941"/>
      <c r="E27" s="947"/>
      <c r="F27" s="949"/>
      <c r="G27" s="436"/>
      <c r="H27" s="703"/>
      <c r="I27" s="705"/>
      <c r="J27" s="698"/>
      <c r="K27" s="439" t="str">
        <f t="shared" si="1"/>
        <v/>
      </c>
      <c r="M27" s="223" t="b">
        <v>0</v>
      </c>
    </row>
    <row r="28" spans="2:13" ht="16.5" customHeight="1" thickBot="1">
      <c r="B28" s="261"/>
      <c r="C28" s="992"/>
      <c r="D28" s="673"/>
      <c r="E28" s="432"/>
      <c r="F28" s="437"/>
      <c r="G28" s="433"/>
      <c r="H28" s="704"/>
      <c r="I28" s="435"/>
      <c r="J28" s="697"/>
      <c r="K28" s="434"/>
      <c r="L28" s="239"/>
    </row>
    <row r="29" spans="2:13" ht="22.65" customHeight="1" thickBot="1">
      <c r="B29" s="547"/>
      <c r="C29" s="995" t="s">
        <v>10</v>
      </c>
      <c r="D29" s="548"/>
      <c r="E29" s="558"/>
      <c r="F29" s="559"/>
      <c r="G29" s="560"/>
      <c r="H29" s="559"/>
      <c r="I29" s="559"/>
      <c r="J29" s="561" t="s">
        <v>274</v>
      </c>
      <c r="K29" s="552">
        <f>IF(Projektgrundlagen!I24,IF(COUNT(K23:K28)&gt;0,SUM(K23:K28),""),0)</f>
        <v>0</v>
      </c>
    </row>
    <row r="30" spans="2:13" ht="7.5" customHeight="1">
      <c r="B30" s="571"/>
      <c r="C30" s="993"/>
      <c r="D30" s="233"/>
      <c r="E30" s="233"/>
      <c r="F30" s="234"/>
      <c r="G30" s="235"/>
      <c r="H30" s="234"/>
      <c r="I30" s="234"/>
      <c r="J30" s="572"/>
      <c r="K30" s="174"/>
    </row>
    <row r="31" spans="2:13" ht="22.65" customHeight="1">
      <c r="B31" s="518" t="s">
        <v>220</v>
      </c>
      <c r="C31" s="519"/>
      <c r="D31" s="519"/>
      <c r="E31" s="519"/>
      <c r="F31" s="519"/>
      <c r="G31" s="519"/>
      <c r="H31" s="528"/>
      <c r="I31" s="528"/>
      <c r="J31" s="545"/>
      <c r="K31" s="554"/>
    </row>
    <row r="32" spans="2:13" ht="17.399999999999999">
      <c r="B32" s="230"/>
      <c r="C32" s="991" t="s">
        <v>37</v>
      </c>
      <c r="D32" s="939"/>
      <c r="E32" s="947"/>
      <c r="F32" s="944"/>
      <c r="G32" s="436"/>
      <c r="H32" s="703"/>
      <c r="I32" s="705"/>
      <c r="J32" s="696"/>
      <c r="K32" s="439" t="str">
        <f>IF(M32,IF(J32&gt;0,H32*J32,0),"")</f>
        <v/>
      </c>
      <c r="M32" s="223" t="b">
        <v>0</v>
      </c>
    </row>
    <row r="33" spans="2:13" ht="16.5" customHeight="1">
      <c r="B33" s="261"/>
      <c r="C33" s="992"/>
      <c r="D33" s="673"/>
      <c r="E33" s="432"/>
      <c r="F33" s="441"/>
      <c r="G33" s="433"/>
      <c r="H33" s="701"/>
      <c r="I33" s="704"/>
      <c r="J33" s="697"/>
      <c r="K33" s="434"/>
      <c r="L33" s="239"/>
    </row>
    <row r="34" spans="2:13" ht="17.399999999999999">
      <c r="B34" s="230"/>
      <c r="C34" s="991" t="s">
        <v>36</v>
      </c>
      <c r="D34" s="941"/>
      <c r="E34" s="947"/>
      <c r="F34" s="949"/>
      <c r="G34" s="436"/>
      <c r="H34" s="703"/>
      <c r="I34" s="705"/>
      <c r="J34" s="698"/>
      <c r="K34" s="439" t="str">
        <f t="shared" ref="K34:K36" si="2">IF(M34,IF(J34&gt;0,H34*J34,0),"")</f>
        <v/>
      </c>
      <c r="M34" s="223" t="b">
        <v>0</v>
      </c>
    </row>
    <row r="35" spans="2:13" ht="16.5" customHeight="1">
      <c r="B35" s="261"/>
      <c r="C35" s="992"/>
      <c r="D35" s="673"/>
      <c r="E35" s="432"/>
      <c r="F35" s="437"/>
      <c r="G35" s="433"/>
      <c r="H35" s="701"/>
      <c r="I35" s="704"/>
      <c r="J35" s="697"/>
      <c r="K35" s="434"/>
      <c r="L35" s="239"/>
    </row>
    <row r="36" spans="2:13" ht="17.399999999999999">
      <c r="B36" s="230"/>
      <c r="C36" s="991" t="s">
        <v>35</v>
      </c>
      <c r="D36" s="941"/>
      <c r="E36" s="947"/>
      <c r="F36" s="949"/>
      <c r="G36" s="436"/>
      <c r="H36" s="703"/>
      <c r="I36" s="705"/>
      <c r="J36" s="698"/>
      <c r="K36" s="439" t="str">
        <f t="shared" si="2"/>
        <v/>
      </c>
      <c r="M36" s="223" t="b">
        <v>0</v>
      </c>
    </row>
    <row r="37" spans="2:13" ht="17.399999999999999" thickBot="1">
      <c r="B37" s="261"/>
      <c r="C37" s="992"/>
      <c r="D37" s="673"/>
      <c r="E37" s="432"/>
      <c r="F37" s="437"/>
      <c r="G37" s="433"/>
      <c r="H37" s="701"/>
      <c r="I37" s="704"/>
      <c r="J37" s="697"/>
      <c r="K37" s="434"/>
      <c r="L37" s="239"/>
    </row>
    <row r="38" spans="2:13" ht="22.65" customHeight="1" thickBot="1">
      <c r="B38" s="547"/>
      <c r="C38" s="997" t="s">
        <v>10</v>
      </c>
      <c r="D38" s="548"/>
      <c r="E38" s="549"/>
      <c r="F38" s="430"/>
      <c r="G38" s="550"/>
      <c r="H38" s="430"/>
      <c r="I38" s="430"/>
      <c r="J38" s="551" t="s">
        <v>275</v>
      </c>
      <c r="K38" s="552">
        <f>IF(Projektgrundlagen!I24,IF(COUNT(K32:K37)&gt;0,SUM(K32:K37),""),0)</f>
        <v>0</v>
      </c>
    </row>
    <row r="39" spans="2:13" ht="7.5" customHeight="1">
      <c r="B39" s="243"/>
      <c r="C39" s="996"/>
      <c r="D39" s="227"/>
      <c r="E39" s="227"/>
      <c r="F39" s="217"/>
      <c r="G39" s="228"/>
      <c r="H39" s="217"/>
      <c r="I39" s="217"/>
      <c r="J39" s="220"/>
      <c r="K39" s="244"/>
    </row>
    <row r="40" spans="2:13" ht="22.65" customHeight="1">
      <c r="B40" s="518" t="s">
        <v>221</v>
      </c>
      <c r="C40" s="519"/>
      <c r="D40" s="519"/>
      <c r="E40" s="519"/>
      <c r="F40" s="519"/>
      <c r="G40" s="563"/>
      <c r="H40" s="528"/>
      <c r="I40" s="528"/>
      <c r="J40" s="545"/>
      <c r="K40" s="554"/>
    </row>
    <row r="41" spans="2:13" ht="17.399999999999999">
      <c r="B41" s="232"/>
      <c r="C41" s="991" t="s">
        <v>34</v>
      </c>
      <c r="D41" s="939"/>
      <c r="E41" s="947"/>
      <c r="F41" s="944"/>
      <c r="G41" s="436"/>
      <c r="H41" s="703"/>
      <c r="I41" s="438"/>
      <c r="J41" s="696"/>
      <c r="K41" s="439" t="str">
        <f>IF(M41,IF(J41&gt;0,H41*J41,0),"")</f>
        <v/>
      </c>
      <c r="M41" s="223" t="b">
        <v>0</v>
      </c>
    </row>
    <row r="42" spans="2:13" ht="16.5" customHeight="1">
      <c r="B42" s="261"/>
      <c r="C42" s="992"/>
      <c r="D42" s="673"/>
      <c r="E42" s="432"/>
      <c r="F42" s="441"/>
      <c r="G42" s="433"/>
      <c r="H42" s="701"/>
      <c r="I42" s="701"/>
      <c r="J42" s="697"/>
      <c r="K42" s="434"/>
      <c r="L42" s="239"/>
    </row>
    <row r="43" spans="2:13" ht="17.399999999999999">
      <c r="B43" s="226"/>
      <c r="C43" s="991" t="s">
        <v>222</v>
      </c>
      <c r="D43" s="941"/>
      <c r="E43" s="947"/>
      <c r="F43" s="949"/>
      <c r="G43" s="436"/>
      <c r="H43" s="703"/>
      <c r="I43" s="438"/>
      <c r="J43" s="698"/>
      <c r="K43" s="439" t="str">
        <f t="shared" ref="K43:K45" si="3">IF(M43,IF(J43&gt;0,H43*J43,0),"")</f>
        <v/>
      </c>
      <c r="M43" s="223" t="b">
        <v>0</v>
      </c>
    </row>
    <row r="44" spans="2:13" ht="16.5" customHeight="1">
      <c r="B44" s="261"/>
      <c r="C44" s="992"/>
      <c r="D44" s="673"/>
      <c r="E44" s="432"/>
      <c r="F44" s="437"/>
      <c r="G44" s="433"/>
      <c r="H44" s="701"/>
      <c r="I44" s="701"/>
      <c r="J44" s="697"/>
      <c r="K44" s="434"/>
      <c r="L44" s="239"/>
    </row>
    <row r="45" spans="2:13" ht="17.399999999999999">
      <c r="B45" s="226"/>
      <c r="C45" s="991" t="s">
        <v>50</v>
      </c>
      <c r="D45" s="941"/>
      <c r="E45" s="947"/>
      <c r="F45" s="949"/>
      <c r="G45" s="436"/>
      <c r="H45" s="703"/>
      <c r="I45" s="438"/>
      <c r="J45" s="698"/>
      <c r="K45" s="439" t="str">
        <f t="shared" si="3"/>
        <v/>
      </c>
      <c r="M45" s="223" t="b">
        <v>0</v>
      </c>
    </row>
    <row r="46" spans="2:13" ht="16.5" customHeight="1" thickBot="1">
      <c r="B46" s="261"/>
      <c r="C46" s="992"/>
      <c r="D46" s="673"/>
      <c r="E46" s="432"/>
      <c r="F46" s="437"/>
      <c r="G46" s="433"/>
      <c r="H46" s="701"/>
      <c r="I46" s="701"/>
      <c r="J46" s="697"/>
      <c r="K46" s="434"/>
      <c r="L46" s="239"/>
    </row>
    <row r="47" spans="2:13" ht="22.65" customHeight="1" thickBot="1">
      <c r="B47" s="562"/>
      <c r="C47" s="997" t="s">
        <v>10</v>
      </c>
      <c r="D47" s="548"/>
      <c r="E47" s="549"/>
      <c r="F47" s="430"/>
      <c r="G47" s="550"/>
      <c r="H47" s="430"/>
      <c r="I47" s="430"/>
      <c r="J47" s="551" t="s">
        <v>276</v>
      </c>
      <c r="K47" s="552">
        <f>IF(Projektgrundlagen!I24,IF(COUNT(K41:K46)&gt;0,SUM(K41:K46),""),0)</f>
        <v>0</v>
      </c>
    </row>
    <row r="48" spans="2:13" ht="7.5" customHeight="1">
      <c r="B48" s="571"/>
      <c r="C48" s="993"/>
      <c r="D48" s="233"/>
      <c r="E48" s="233"/>
      <c r="F48" s="234"/>
      <c r="G48" s="235"/>
      <c r="H48" s="234"/>
      <c r="I48" s="234"/>
      <c r="J48" s="572"/>
      <c r="K48" s="245"/>
    </row>
    <row r="49" spans="2:13" ht="22.65" customHeight="1">
      <c r="B49" s="518" t="s">
        <v>225</v>
      </c>
      <c r="C49" s="519"/>
      <c r="D49" s="519"/>
      <c r="E49" s="519"/>
      <c r="F49" s="519"/>
      <c r="G49" s="563"/>
      <c r="H49" s="528"/>
      <c r="I49" s="528"/>
      <c r="J49" s="545"/>
      <c r="K49" s="554"/>
    </row>
    <row r="50" spans="2:13" ht="17.399999999999999">
      <c r="B50" s="225"/>
      <c r="C50" s="991" t="s">
        <v>33</v>
      </c>
      <c r="D50" s="939"/>
      <c r="E50" s="947"/>
      <c r="F50" s="944"/>
      <c r="G50" s="436"/>
      <c r="H50" s="703"/>
      <c r="I50" s="438"/>
      <c r="J50" s="696"/>
      <c r="K50" s="439" t="str">
        <f>IF(M50,IF(J50&gt;0,H50*J50,0),"")</f>
        <v/>
      </c>
      <c r="M50" s="223" t="b">
        <v>0</v>
      </c>
    </row>
    <row r="51" spans="2:13" ht="16.5" customHeight="1">
      <c r="B51" s="261"/>
      <c r="C51" s="992"/>
      <c r="D51" s="673"/>
      <c r="E51" s="432"/>
      <c r="F51" s="441"/>
      <c r="G51" s="433"/>
      <c r="H51" s="701"/>
      <c r="I51" s="701"/>
      <c r="J51" s="697"/>
      <c r="K51" s="434"/>
      <c r="L51" s="239"/>
    </row>
    <row r="52" spans="2:13" ht="17.399999999999999">
      <c r="B52" s="225"/>
      <c r="C52" s="991" t="s">
        <v>32</v>
      </c>
      <c r="D52" s="941"/>
      <c r="E52" s="947"/>
      <c r="F52" s="949"/>
      <c r="G52" s="436"/>
      <c r="H52" s="703"/>
      <c r="I52" s="438"/>
      <c r="J52" s="698"/>
      <c r="K52" s="439" t="str">
        <f t="shared" ref="K52:K54" si="4">IF(M52,IF(J52&gt;0,H52*J52,0),"")</f>
        <v/>
      </c>
      <c r="M52" s="223" t="b">
        <v>0</v>
      </c>
    </row>
    <row r="53" spans="2:13" ht="16.5" customHeight="1">
      <c r="B53" s="261"/>
      <c r="C53" s="992"/>
      <c r="D53" s="673"/>
      <c r="E53" s="432"/>
      <c r="F53" s="437"/>
      <c r="G53" s="433"/>
      <c r="H53" s="701"/>
      <c r="I53" s="701"/>
      <c r="J53" s="697"/>
      <c r="K53" s="434"/>
      <c r="L53" s="239"/>
    </row>
    <row r="54" spans="2:13" ht="17.399999999999999">
      <c r="B54" s="225"/>
      <c r="C54" s="991" t="s">
        <v>31</v>
      </c>
      <c r="D54" s="941"/>
      <c r="E54" s="947"/>
      <c r="F54" s="949"/>
      <c r="G54" s="436"/>
      <c r="H54" s="703"/>
      <c r="I54" s="438"/>
      <c r="J54" s="698"/>
      <c r="K54" s="439" t="str">
        <f t="shared" si="4"/>
        <v/>
      </c>
      <c r="M54" s="223" t="b">
        <v>0</v>
      </c>
    </row>
    <row r="55" spans="2:13" ht="16.5" customHeight="1" thickBot="1">
      <c r="B55" s="261"/>
      <c r="C55" s="992"/>
      <c r="D55" s="673"/>
      <c r="E55" s="432"/>
      <c r="F55" s="437"/>
      <c r="G55" s="433"/>
      <c r="H55" s="701"/>
      <c r="I55" s="701"/>
      <c r="J55" s="697"/>
      <c r="K55" s="434"/>
      <c r="L55" s="239"/>
    </row>
    <row r="56" spans="2:13" ht="22.65" customHeight="1" thickBot="1">
      <c r="B56" s="547"/>
      <c r="C56" s="997" t="s">
        <v>10</v>
      </c>
      <c r="D56" s="548"/>
      <c r="E56" s="558"/>
      <c r="F56" s="559"/>
      <c r="G56" s="560"/>
      <c r="H56" s="559"/>
      <c r="I56" s="559"/>
      <c r="J56" s="561" t="s">
        <v>277</v>
      </c>
      <c r="K56" s="552">
        <f>IF(Projektgrundlagen!I24,IF(COUNT(K50:K55)&gt;0,SUM(K50:K55),""),0)</f>
        <v>0</v>
      </c>
    </row>
    <row r="57" spans="2:13" ht="7.5" customHeight="1">
      <c r="B57" s="243"/>
      <c r="C57" s="996"/>
      <c r="D57" s="227"/>
      <c r="E57" s="227"/>
      <c r="F57" s="217"/>
      <c r="G57" s="228"/>
      <c r="H57" s="217"/>
      <c r="I57" s="217"/>
      <c r="J57" s="220"/>
      <c r="K57" s="244"/>
    </row>
    <row r="58" spans="2:13" ht="22.65" customHeight="1">
      <c r="B58" s="553" t="s">
        <v>229</v>
      </c>
      <c r="C58" s="217"/>
      <c r="D58" s="217"/>
      <c r="E58" s="217"/>
      <c r="F58" s="217"/>
      <c r="G58" s="217"/>
      <c r="H58" s="528"/>
      <c r="I58" s="528"/>
      <c r="J58" s="545"/>
      <c r="K58" s="554"/>
    </row>
    <row r="59" spans="2:13" ht="17.399999999999999">
      <c r="B59" s="225"/>
      <c r="C59" s="991" t="s">
        <v>30</v>
      </c>
      <c r="D59" s="939"/>
      <c r="E59" s="947"/>
      <c r="F59" s="944"/>
      <c r="G59" s="436"/>
      <c r="H59" s="703"/>
      <c r="I59" s="438"/>
      <c r="J59" s="696"/>
      <c r="K59" s="439" t="str">
        <f>IF(M59,IF(J59&gt;0,H59*J59,0),"")</f>
        <v/>
      </c>
      <c r="M59" s="223" t="b">
        <v>0</v>
      </c>
    </row>
    <row r="60" spans="2:13" ht="16.5" customHeight="1">
      <c r="B60" s="261"/>
      <c r="C60" s="992"/>
      <c r="D60" s="673"/>
      <c r="E60" s="432"/>
      <c r="F60" s="441"/>
      <c r="G60" s="433"/>
      <c r="H60" s="701"/>
      <c r="I60" s="701"/>
      <c r="J60" s="697"/>
      <c r="K60" s="434"/>
    </row>
    <row r="61" spans="2:13" ht="17.399999999999999">
      <c r="B61" s="226"/>
      <c r="C61" s="991" t="s">
        <v>29</v>
      </c>
      <c r="D61" s="941"/>
      <c r="E61" s="947"/>
      <c r="F61" s="949"/>
      <c r="G61" s="436"/>
      <c r="H61" s="703"/>
      <c r="I61" s="438"/>
      <c r="J61" s="698"/>
      <c r="K61" s="439" t="str">
        <f>IF(M61,IF(J61&gt;0,H61*J61,0),"")</f>
        <v/>
      </c>
      <c r="M61" s="223" t="b">
        <v>0</v>
      </c>
    </row>
    <row r="62" spans="2:13" ht="16.5" customHeight="1">
      <c r="B62" s="261"/>
      <c r="C62" s="992"/>
      <c r="D62" s="673"/>
      <c r="E62" s="432"/>
      <c r="F62" s="437"/>
      <c r="G62" s="433"/>
      <c r="H62" s="701"/>
      <c r="I62" s="701"/>
      <c r="J62" s="697"/>
      <c r="K62" s="434"/>
    </row>
    <row r="63" spans="2:13" ht="17.399999999999999">
      <c r="B63" s="229"/>
      <c r="C63" s="991" t="s">
        <v>51</v>
      </c>
      <c r="D63" s="941"/>
      <c r="E63" s="947"/>
      <c r="F63" s="949"/>
      <c r="G63" s="436"/>
      <c r="H63" s="703"/>
      <c r="I63" s="438"/>
      <c r="J63" s="698"/>
      <c r="K63" s="439" t="str">
        <f>IF(M63,IF(J63&gt;0,H63*J63,0),"")</f>
        <v/>
      </c>
      <c r="M63" s="223" t="b">
        <v>0</v>
      </c>
    </row>
    <row r="64" spans="2:13" ht="16.5" customHeight="1" thickBot="1">
      <c r="B64" s="261"/>
      <c r="C64" s="992"/>
      <c r="D64" s="674"/>
      <c r="E64" s="432"/>
      <c r="F64" s="437"/>
      <c r="G64" s="433"/>
      <c r="H64" s="701"/>
      <c r="I64" s="701"/>
      <c r="J64" s="699"/>
      <c r="K64" s="434"/>
    </row>
    <row r="65" spans="2:13" ht="22.65" customHeight="1" thickBot="1">
      <c r="B65" s="547"/>
      <c r="C65" s="997" t="s">
        <v>10</v>
      </c>
      <c r="D65" s="548"/>
      <c r="E65" s="549"/>
      <c r="F65" s="430"/>
      <c r="G65" s="550"/>
      <c r="H65" s="430"/>
      <c r="I65" s="430"/>
      <c r="J65" s="551" t="s">
        <v>278</v>
      </c>
      <c r="K65" s="552">
        <f>IF(Projektgrundlagen!I24,IF(COUNT(K59:K63)&gt;0,SUM(K59:K63),""),0)</f>
        <v>0</v>
      </c>
    </row>
    <row r="66" spans="2:13" ht="7.5" customHeight="1">
      <c r="B66" s="243"/>
      <c r="C66" s="996"/>
      <c r="D66" s="227"/>
      <c r="E66" s="227"/>
      <c r="F66" s="217"/>
      <c r="G66" s="228"/>
      <c r="H66" s="217"/>
      <c r="I66" s="217"/>
      <c r="J66" s="220"/>
      <c r="K66" s="244"/>
    </row>
    <row r="67" spans="2:13" ht="22.65" customHeight="1">
      <c r="B67" s="564" t="s">
        <v>230</v>
      </c>
      <c r="C67" s="565"/>
      <c r="D67" s="565"/>
      <c r="E67" s="565"/>
      <c r="F67" s="565"/>
      <c r="G67" s="217"/>
      <c r="H67" s="528"/>
      <c r="I67" s="528"/>
      <c r="J67" s="545"/>
      <c r="K67" s="554"/>
    </row>
    <row r="68" spans="2:13" ht="17.399999999999999">
      <c r="B68" s="225"/>
      <c r="C68" s="991" t="s">
        <v>28</v>
      </c>
      <c r="D68" s="939"/>
      <c r="E68" s="947"/>
      <c r="F68" s="944"/>
      <c r="G68" s="436"/>
      <c r="H68" s="700"/>
      <c r="I68" s="709"/>
      <c r="J68" s="696"/>
      <c r="K68" s="439" t="str">
        <f>IF(M68,IF(J68&gt;0,H68*J68,0),"")</f>
        <v/>
      </c>
      <c r="M68" s="223" t="b">
        <v>0</v>
      </c>
    </row>
    <row r="69" spans="2:13" ht="16.5" customHeight="1">
      <c r="B69" s="261"/>
      <c r="C69" s="992"/>
      <c r="D69" s="673"/>
      <c r="E69" s="432"/>
      <c r="F69" s="441"/>
      <c r="G69" s="433"/>
      <c r="H69" s="704"/>
      <c r="I69" s="435"/>
      <c r="J69" s="697"/>
      <c r="K69" s="434"/>
    </row>
    <row r="70" spans="2:13" ht="17.399999999999999">
      <c r="B70" s="226"/>
      <c r="C70" s="991" t="s">
        <v>27</v>
      </c>
      <c r="D70" s="941"/>
      <c r="E70" s="947"/>
      <c r="F70" s="949"/>
      <c r="G70" s="436"/>
      <c r="H70" s="702"/>
      <c r="I70" s="709"/>
      <c r="J70" s="698"/>
      <c r="K70" s="439" t="str">
        <f>IF(M70,IF(J70&gt;0,H70*J70,0),"")</f>
        <v/>
      </c>
      <c r="M70" s="223" t="b">
        <v>0</v>
      </c>
    </row>
    <row r="71" spans="2:13" ht="16.5" customHeight="1">
      <c r="B71" s="261"/>
      <c r="C71" s="992"/>
      <c r="D71" s="673"/>
      <c r="E71" s="432"/>
      <c r="F71" s="712"/>
      <c r="G71" s="433"/>
      <c r="H71" s="704"/>
      <c r="I71" s="435"/>
      <c r="J71" s="697"/>
      <c r="K71" s="434"/>
    </row>
    <row r="72" spans="2:13" ht="17.399999999999999">
      <c r="B72" s="229"/>
      <c r="C72" s="991" t="s">
        <v>52</v>
      </c>
      <c r="D72" s="941"/>
      <c r="E72" s="947"/>
      <c r="F72" s="949"/>
      <c r="G72" s="436"/>
      <c r="H72" s="702"/>
      <c r="I72" s="709"/>
      <c r="J72" s="698"/>
      <c r="K72" s="439" t="str">
        <f>IF(M72,IF(J72&gt;0,H72*J72,0),"")</f>
        <v/>
      </c>
      <c r="M72" s="223" t="b">
        <v>0</v>
      </c>
    </row>
    <row r="73" spans="2:13" ht="16.5" customHeight="1" thickBot="1">
      <c r="B73" s="261"/>
      <c r="C73" s="992"/>
      <c r="D73" s="674"/>
      <c r="E73" s="432"/>
      <c r="F73" s="437"/>
      <c r="G73" s="433"/>
      <c r="H73" s="706"/>
      <c r="I73" s="435"/>
      <c r="J73" s="699"/>
      <c r="K73" s="434"/>
    </row>
    <row r="74" spans="2:13" ht="22.65" customHeight="1" thickBot="1">
      <c r="B74" s="547"/>
      <c r="C74" s="997" t="s">
        <v>10</v>
      </c>
      <c r="D74" s="548"/>
      <c r="E74" s="549"/>
      <c r="F74" s="430"/>
      <c r="G74" s="550"/>
      <c r="H74" s="430"/>
      <c r="I74" s="430"/>
      <c r="J74" s="551" t="s">
        <v>279</v>
      </c>
      <c r="K74" s="552">
        <f>IF(Projektgrundlagen!I24,IF(COUNT(K68:K73)&gt;0,SUM(K68:K73),""),0)</f>
        <v>0</v>
      </c>
    </row>
    <row r="75" spans="2:13" ht="7.5" customHeight="1">
      <c r="B75" s="571"/>
      <c r="C75" s="993"/>
      <c r="D75" s="233"/>
      <c r="E75" s="233"/>
      <c r="F75" s="234"/>
      <c r="G75" s="235"/>
      <c r="H75" s="234"/>
      <c r="I75" s="234"/>
      <c r="J75" s="572"/>
      <c r="K75" s="245"/>
    </row>
    <row r="76" spans="2:13" ht="22.65" customHeight="1">
      <c r="B76" s="553" t="s">
        <v>231</v>
      </c>
      <c r="C76" s="217"/>
      <c r="D76" s="217"/>
      <c r="E76" s="217"/>
      <c r="F76" s="217"/>
      <c r="G76" s="217"/>
      <c r="H76" s="528"/>
      <c r="I76" s="528"/>
      <c r="J76" s="545"/>
      <c r="K76" s="554"/>
    </row>
    <row r="77" spans="2:13" ht="17.399999999999999">
      <c r="B77" s="236"/>
      <c r="C77" s="991" t="s">
        <v>26</v>
      </c>
      <c r="D77" s="939"/>
      <c r="E77" s="947"/>
      <c r="F77" s="944"/>
      <c r="G77" s="436"/>
      <c r="H77" s="700"/>
      <c r="I77" s="709"/>
      <c r="J77" s="696"/>
      <c r="K77" s="439" t="str">
        <f>IF(M77,IF(J77&gt;0,H77*J77,0),"")</f>
        <v/>
      </c>
      <c r="M77" s="223" t="b">
        <v>0</v>
      </c>
    </row>
    <row r="78" spans="2:13" ht="16.5" customHeight="1">
      <c r="B78" s="327"/>
      <c r="C78" s="998"/>
      <c r="D78" s="672"/>
      <c r="E78" s="442"/>
      <c r="F78" s="441"/>
      <c r="G78" s="445"/>
      <c r="H78" s="710"/>
      <c r="I78" s="443"/>
      <c r="J78" s="708"/>
      <c r="K78" s="444"/>
    </row>
    <row r="79" spans="2:13" ht="17.25" customHeight="1">
      <c r="B79" s="236"/>
      <c r="C79" s="1084" t="s">
        <v>47</v>
      </c>
      <c r="D79" s="941"/>
      <c r="E79" s="940"/>
      <c r="F79" s="949"/>
      <c r="G79" s="436"/>
      <c r="H79" s="702"/>
      <c r="I79" s="709"/>
      <c r="J79" s="698"/>
      <c r="K79" s="439" t="str">
        <f>IF(M79,IF(J79&gt;0,H79*J79,0),"")</f>
        <v/>
      </c>
      <c r="M79" s="223" t="b">
        <v>0</v>
      </c>
    </row>
    <row r="80" spans="2:13" ht="16.5" customHeight="1">
      <c r="B80" s="347"/>
      <c r="C80" s="999"/>
      <c r="D80" s="707"/>
      <c r="E80" s="442"/>
      <c r="F80" s="712"/>
      <c r="G80" s="445"/>
      <c r="H80" s="710"/>
      <c r="I80" s="443"/>
      <c r="J80" s="708"/>
      <c r="K80" s="444"/>
      <c r="L80" s="239"/>
    </row>
    <row r="81" spans="2:13" ht="17.399999999999999">
      <c r="B81" s="231"/>
      <c r="C81" s="1084" t="s">
        <v>25</v>
      </c>
      <c r="D81" s="941"/>
      <c r="E81" s="946"/>
      <c r="F81" s="949"/>
      <c r="G81" s="436"/>
      <c r="H81" s="702"/>
      <c r="I81" s="709"/>
      <c r="J81" s="698"/>
      <c r="K81" s="439" t="str">
        <f>IF(M81,IF(J81&gt;0,H81*J81,0),"")</f>
        <v/>
      </c>
      <c r="M81" s="223" t="b">
        <v>0</v>
      </c>
    </row>
    <row r="82" spans="2:13" ht="16.5" customHeight="1" thickBot="1">
      <c r="B82" s="261"/>
      <c r="C82" s="992"/>
      <c r="D82" s="674"/>
      <c r="E82" s="432"/>
      <c r="F82" s="437"/>
      <c r="G82" s="433"/>
      <c r="H82" s="706"/>
      <c r="I82" s="435"/>
      <c r="J82" s="699"/>
      <c r="K82" s="434"/>
    </row>
    <row r="83" spans="2:13" ht="22.65" customHeight="1" thickBot="1">
      <c r="B83" s="547"/>
      <c r="C83" s="995"/>
      <c r="D83" s="548"/>
      <c r="E83" s="549"/>
      <c r="F83" s="430"/>
      <c r="G83" s="550"/>
      <c r="H83" s="430"/>
      <c r="I83" s="430"/>
      <c r="J83" s="551" t="s">
        <v>491</v>
      </c>
      <c r="K83" s="552">
        <f>IF(Projektgrundlagen!I24,IF(COUNT(K77:K82)&gt;0,SUM(K77:K82),""),0)</f>
        <v>0</v>
      </c>
    </row>
    <row r="84" spans="2:13" ht="7.5" customHeight="1">
      <c r="B84" s="243"/>
      <c r="C84" s="996"/>
      <c r="D84" s="227"/>
      <c r="E84" s="227"/>
      <c r="F84" s="217"/>
      <c r="G84" s="228"/>
      <c r="H84" s="217"/>
      <c r="I84" s="217"/>
      <c r="J84" s="220"/>
      <c r="K84" s="244"/>
    </row>
    <row r="85" spans="2:13" ht="22.65" customHeight="1">
      <c r="B85" s="564" t="s">
        <v>232</v>
      </c>
      <c r="C85" s="565"/>
      <c r="D85" s="565"/>
      <c r="E85" s="565"/>
      <c r="F85" s="565"/>
      <c r="G85" s="217"/>
      <c r="H85" s="528"/>
      <c r="I85" s="528"/>
      <c r="J85" s="545"/>
      <c r="K85" s="566"/>
    </row>
    <row r="86" spans="2:13" ht="17.399999999999999">
      <c r="B86" s="230"/>
      <c r="C86" s="980" t="s">
        <v>21</v>
      </c>
      <c r="D86" s="939"/>
      <c r="E86" s="946"/>
      <c r="F86" s="944"/>
      <c r="G86" s="431"/>
      <c r="H86" s="703"/>
      <c r="I86" s="438"/>
      <c r="J86" s="696"/>
      <c r="K86" s="439" t="str">
        <f>IF(M86,IF(J86&gt;0,H86*J86,0),"")</f>
        <v/>
      </c>
      <c r="M86" s="223" t="b">
        <v>0</v>
      </c>
    </row>
    <row r="87" spans="2:13" ht="16.5" customHeight="1">
      <c r="B87" s="261"/>
      <c r="C87" s="999"/>
      <c r="D87" s="707"/>
      <c r="E87" s="442"/>
      <c r="F87" s="441"/>
      <c r="G87" s="445"/>
      <c r="H87" s="701"/>
      <c r="I87" s="701"/>
      <c r="J87" s="708"/>
      <c r="K87" s="444"/>
    </row>
    <row r="88" spans="2:13" ht="17.399999999999999">
      <c r="B88" s="231"/>
      <c r="C88" s="991" t="s">
        <v>20</v>
      </c>
      <c r="D88" s="941"/>
      <c r="E88" s="946"/>
      <c r="F88" s="949"/>
      <c r="G88" s="436"/>
      <c r="H88" s="703"/>
      <c r="I88" s="438"/>
      <c r="J88" s="698"/>
      <c r="K88" s="439" t="str">
        <f>IF(M88,IF(J88&gt;0,H88*J88,0),"")</f>
        <v/>
      </c>
      <c r="M88" s="223" t="b">
        <v>0</v>
      </c>
    </row>
    <row r="89" spans="2:13" ht="16.5" customHeight="1" thickBot="1">
      <c r="B89" s="261"/>
      <c r="C89" s="992"/>
      <c r="D89" s="674"/>
      <c r="E89" s="432"/>
      <c r="F89" s="712"/>
      <c r="G89" s="433"/>
      <c r="H89" s="701"/>
      <c r="I89" s="701"/>
      <c r="J89" s="699"/>
      <c r="K89" s="434"/>
    </row>
    <row r="90" spans="2:13" ht="22.65" customHeight="1" thickBot="1">
      <c r="B90" s="547"/>
      <c r="C90" s="995" t="s">
        <v>10</v>
      </c>
      <c r="D90" s="548"/>
      <c r="E90" s="555"/>
      <c r="F90" s="514"/>
      <c r="G90" s="556"/>
      <c r="H90" s="514"/>
      <c r="I90" s="514"/>
      <c r="J90" s="551" t="s">
        <v>272</v>
      </c>
      <c r="K90" s="557">
        <f>IF(Projektgrundlagen!I24,IF(COUNT(K86:K89)&gt;0,SUM(K86:K89),""),0)</f>
        <v>0</v>
      </c>
    </row>
    <row r="91" spans="2:13" ht="17.399999999999999" thickBot="1">
      <c r="B91" s="216"/>
      <c r="C91" s="216"/>
      <c r="D91" s="216"/>
      <c r="E91" s="216"/>
      <c r="F91" s="216"/>
      <c r="G91" s="216"/>
      <c r="H91" s="216"/>
      <c r="I91" s="216"/>
      <c r="J91" s="216"/>
      <c r="K91" s="215"/>
    </row>
    <row r="92" spans="2:13" ht="30" customHeight="1" thickBot="1">
      <c r="B92" s="607"/>
      <c r="C92" s="1000" t="s">
        <v>10</v>
      </c>
      <c r="D92" s="608"/>
      <c r="E92" s="608"/>
      <c r="F92" s="609"/>
      <c r="G92" s="610"/>
      <c r="H92" s="609"/>
      <c r="I92" s="609"/>
      <c r="J92" s="611" t="s">
        <v>516</v>
      </c>
      <c r="K92" s="462">
        <f>IF(COUNT(K20,K29,K38,K47,K56,K65,K74,K83,K90)&gt;0,SUM(K20,K29,K38,K47,K56,K65,K74,K83,K90),"")</f>
        <v>0</v>
      </c>
    </row>
    <row r="93" spans="2:13" ht="12.75" customHeight="1"/>
    <row r="94" spans="2:13" ht="12.75" customHeight="1"/>
    <row r="95" spans="2:13" ht="12.75" customHeight="1"/>
    <row r="96" spans="2:13" ht="12.75" customHeight="1"/>
    <row r="97" ht="12.75" customHeight="1"/>
    <row r="98" ht="12.75" customHeight="1"/>
  </sheetData>
  <sheetProtection formatRows="0"/>
  <mergeCells count="18">
    <mergeCell ref="B3:G3"/>
    <mergeCell ref="L2:L8"/>
    <mergeCell ref="H2:I2"/>
    <mergeCell ref="J2:K2"/>
    <mergeCell ref="H3:I3"/>
    <mergeCell ref="J3:K3"/>
    <mergeCell ref="B2:G2"/>
    <mergeCell ref="B10:F10"/>
    <mergeCell ref="B5:E5"/>
    <mergeCell ref="H5:I5"/>
    <mergeCell ref="J5:K5"/>
    <mergeCell ref="B6:E6"/>
    <mergeCell ref="B7:E7"/>
    <mergeCell ref="F6:K6"/>
    <mergeCell ref="F7:K7"/>
    <mergeCell ref="F5:G5"/>
    <mergeCell ref="F8:K8"/>
    <mergeCell ref="B8:E8"/>
  </mergeCells>
  <conditionalFormatting sqref="F14">
    <cfRule type="expression" dxfId="2302" priority="870">
      <formula>AND($M14,f="")</formula>
    </cfRule>
  </conditionalFormatting>
  <conditionalFormatting sqref="F16">
    <cfRule type="expression" dxfId="2301" priority="848">
      <formula>AND($M16,F18="")</formula>
    </cfRule>
    <cfRule type="expression" dxfId="2300" priority="646">
      <formula>NOT($M16)</formula>
    </cfRule>
  </conditionalFormatting>
  <conditionalFormatting sqref="F17">
    <cfRule type="expression" dxfId="2299" priority="643">
      <formula>NOT($M16)</formula>
    </cfRule>
  </conditionalFormatting>
  <conditionalFormatting sqref="F18 F45">
    <cfRule type="expression" dxfId="2298" priority="2097">
      <formula>AND($M18,#REF!="")</formula>
    </cfRule>
  </conditionalFormatting>
  <conditionalFormatting sqref="F19">
    <cfRule type="expression" dxfId="2297" priority="605">
      <formula>NOT($M18)</formula>
    </cfRule>
  </conditionalFormatting>
  <conditionalFormatting sqref="F23">
    <cfRule type="expression" dxfId="2296" priority="71">
      <formula>AND($M23,f="")</formula>
    </cfRule>
  </conditionalFormatting>
  <conditionalFormatting sqref="F25">
    <cfRule type="expression" dxfId="2295" priority="48">
      <formula>NOT($M25)</formula>
    </cfRule>
    <cfRule type="expression" dxfId="2294" priority="49">
      <formula>AND($M25,F27="")</formula>
    </cfRule>
  </conditionalFormatting>
  <conditionalFormatting sqref="F26">
    <cfRule type="expression" dxfId="2293" priority="47">
      <formula>NOT($M25)</formula>
    </cfRule>
  </conditionalFormatting>
  <conditionalFormatting sqref="F27">
    <cfRule type="expression" dxfId="2292" priority="51">
      <formula>AND($M27,#REF!="")</formula>
    </cfRule>
    <cfRule type="expression" dxfId="2291" priority="50">
      <formula>NOT($M27)</formula>
    </cfRule>
  </conditionalFormatting>
  <conditionalFormatting sqref="F28">
    <cfRule type="expression" dxfId="2290" priority="44">
      <formula>NOT($M27)</formula>
    </cfRule>
  </conditionalFormatting>
  <conditionalFormatting sqref="F32">
    <cfRule type="expression" dxfId="2289" priority="62">
      <formula>AND($M32,f="")</formula>
    </cfRule>
  </conditionalFormatting>
  <conditionalFormatting sqref="F34">
    <cfRule type="expression" dxfId="2288" priority="39">
      <formula>NOT($M34)</formula>
    </cfRule>
    <cfRule type="expression" dxfId="2287" priority="40">
      <formula>AND($M34,F36="")</formula>
    </cfRule>
  </conditionalFormatting>
  <conditionalFormatting sqref="F35">
    <cfRule type="expression" dxfId="2286" priority="38">
      <formula>NOT($M34)</formula>
    </cfRule>
  </conditionalFormatting>
  <conditionalFormatting sqref="F36">
    <cfRule type="expression" dxfId="2285" priority="42">
      <formula>AND($M36,#REF!="")</formula>
    </cfRule>
    <cfRule type="expression" dxfId="2284" priority="41">
      <formula>NOT($M36)</formula>
    </cfRule>
  </conditionalFormatting>
  <conditionalFormatting sqref="F37">
    <cfRule type="expression" dxfId="2283" priority="35">
      <formula>NOT($M36)</formula>
    </cfRule>
  </conditionalFormatting>
  <conditionalFormatting sqref="F41">
    <cfRule type="expression" dxfId="2282" priority="53">
      <formula>AND($M41,f="")</formula>
    </cfRule>
  </conditionalFormatting>
  <conditionalFormatting sqref="F43">
    <cfRule type="expression" dxfId="2281" priority="404">
      <formula>NOT($M43)</formula>
    </cfRule>
    <cfRule type="expression" dxfId="2280" priority="405">
      <formula>AND($M43,F45="")</formula>
    </cfRule>
  </conditionalFormatting>
  <conditionalFormatting sqref="F44">
    <cfRule type="expression" dxfId="2279" priority="397">
      <formula>NOT($M43)</formula>
    </cfRule>
  </conditionalFormatting>
  <conditionalFormatting sqref="F45 F18">
    <cfRule type="expression" dxfId="2278" priority="2096">
      <formula>NOT($M18)</formula>
    </cfRule>
  </conditionalFormatting>
  <conditionalFormatting sqref="F46">
    <cfRule type="expression" dxfId="2277" priority="385">
      <formula>NOT($M45)</formula>
    </cfRule>
  </conditionalFormatting>
  <conditionalFormatting sqref="F50">
    <cfRule type="expression" dxfId="2276" priority="22">
      <formula>AND($M50,f="")</formula>
    </cfRule>
  </conditionalFormatting>
  <conditionalFormatting sqref="F52">
    <cfRule type="expression" dxfId="2275" priority="30">
      <formula>AND($M52,F54="")</formula>
    </cfRule>
    <cfRule type="expression" dxfId="2274" priority="29">
      <formula>NOT($M52)</formula>
    </cfRule>
  </conditionalFormatting>
  <conditionalFormatting sqref="F53">
    <cfRule type="expression" dxfId="2273" priority="27">
      <formula>NOT($M52)</formula>
    </cfRule>
  </conditionalFormatting>
  <conditionalFormatting sqref="F54">
    <cfRule type="expression" dxfId="2272" priority="33">
      <formula>AND($M54,#REF!="")</formula>
    </cfRule>
    <cfRule type="expression" dxfId="2271" priority="32">
      <formula>NOT($M54)</formula>
    </cfRule>
  </conditionalFormatting>
  <conditionalFormatting sqref="F55">
    <cfRule type="expression" dxfId="2270" priority="24">
      <formula>NOT($M54)</formula>
    </cfRule>
  </conditionalFormatting>
  <conditionalFormatting sqref="F59">
    <cfRule type="expression" dxfId="2269" priority="20">
      <formula>AND($M59,f="")</formula>
    </cfRule>
  </conditionalFormatting>
  <conditionalFormatting sqref="F61">
    <cfRule type="expression" dxfId="2268" priority="332">
      <formula>NOT($M61)</formula>
    </cfRule>
    <cfRule type="expression" dxfId="2267" priority="333">
      <formula>AND($M61,F63="")</formula>
    </cfRule>
  </conditionalFormatting>
  <conditionalFormatting sqref="F62">
    <cfRule type="expression" dxfId="2266" priority="325">
      <formula>NOT($M61)</formula>
    </cfRule>
  </conditionalFormatting>
  <conditionalFormatting sqref="F63">
    <cfRule type="expression" dxfId="2265" priority="320">
      <formula>NOT($M63)</formula>
    </cfRule>
    <cfRule type="expression" dxfId="2264" priority="321">
      <formula>AND($M63,F65="")</formula>
    </cfRule>
  </conditionalFormatting>
  <conditionalFormatting sqref="F64">
    <cfRule type="expression" dxfId="2263" priority="313">
      <formula>NOT($M63)</formula>
    </cfRule>
  </conditionalFormatting>
  <conditionalFormatting sqref="F68">
    <cfRule type="expression" dxfId="2262" priority="18">
      <formula>AND($M68,f="")</formula>
    </cfRule>
  </conditionalFormatting>
  <conditionalFormatting sqref="F70">
    <cfRule type="expression" dxfId="2261" priority="308">
      <formula>NOT($M70)</formula>
    </cfRule>
    <cfRule type="expression" dxfId="2260" priority="309">
      <formula>AND($M70,F72="")</formula>
    </cfRule>
  </conditionalFormatting>
  <conditionalFormatting sqref="F71">
    <cfRule type="expression" dxfId="2259" priority="301">
      <formula>NOT($M70)</formula>
    </cfRule>
  </conditionalFormatting>
  <conditionalFormatting sqref="F72">
    <cfRule type="expression" dxfId="2258" priority="297">
      <formula>AND($M72,F74="")</formula>
    </cfRule>
    <cfRule type="expression" dxfId="2257" priority="296">
      <formula>NOT($M72)</formula>
    </cfRule>
  </conditionalFormatting>
  <conditionalFormatting sqref="F73">
    <cfRule type="expression" dxfId="2256" priority="289">
      <formula>NOT($M72)</formula>
    </cfRule>
  </conditionalFormatting>
  <conditionalFormatting sqref="F77">
    <cfRule type="expression" dxfId="2255" priority="10">
      <formula>AND($M77,f="")</formula>
    </cfRule>
  </conditionalFormatting>
  <conditionalFormatting sqref="F79">
    <cfRule type="expression" dxfId="2254" priority="14">
      <formula>NOT($M79)</formula>
    </cfRule>
    <cfRule type="expression" dxfId="2253" priority="15">
      <formula>AND($M79,F81="")</formula>
    </cfRule>
  </conditionalFormatting>
  <conditionalFormatting sqref="F80">
    <cfRule type="expression" dxfId="2252" priority="12">
      <formula>NOT($M79)</formula>
    </cfRule>
  </conditionalFormatting>
  <conditionalFormatting sqref="F81">
    <cfRule type="expression" dxfId="2251" priority="285">
      <formula>AND($M81,F83="")</formula>
    </cfRule>
    <cfRule type="expression" dxfId="2250" priority="284">
      <formula>NOT($M81)</formula>
    </cfRule>
  </conditionalFormatting>
  <conditionalFormatting sqref="F82">
    <cfRule type="expression" dxfId="2249" priority="277">
      <formula>NOT($M81)</formula>
    </cfRule>
  </conditionalFormatting>
  <conditionalFormatting sqref="F86">
    <cfRule type="expression" dxfId="2248" priority="2">
      <formula>AND($M86,f="")</formula>
    </cfRule>
  </conditionalFormatting>
  <conditionalFormatting sqref="F88">
    <cfRule type="expression" dxfId="2247" priority="7">
      <formula>AND($M88,F90="")</formula>
    </cfRule>
    <cfRule type="expression" dxfId="2246" priority="6">
      <formula>NOT($M88)</formula>
    </cfRule>
  </conditionalFormatting>
  <conditionalFormatting sqref="F89">
    <cfRule type="expression" dxfId="2245" priority="4">
      <formula>NOT($M88)</formula>
    </cfRule>
  </conditionalFormatting>
  <conditionalFormatting sqref="H14">
    <cfRule type="expression" dxfId="2243" priority="642">
      <formula>AND(M14,H14="")</formula>
    </cfRule>
  </conditionalFormatting>
  <conditionalFormatting sqref="H16">
    <cfRule type="expression" dxfId="2242" priority="853">
      <formula>AND(M16,H16="")</formula>
    </cfRule>
  </conditionalFormatting>
  <conditionalFormatting sqref="H18">
    <cfRule type="expression" dxfId="2241" priority="621">
      <formula>AND(M18,H18="")</formula>
    </cfRule>
  </conditionalFormatting>
  <conditionalFormatting sqref="H23">
    <cfRule type="expression" dxfId="2240" priority="210">
      <formula>AND(M23,H23="")</formula>
    </cfRule>
  </conditionalFormatting>
  <conditionalFormatting sqref="H25">
    <cfRule type="expression" dxfId="2239" priority="205">
      <formula>AND(M25,H25="")</formula>
    </cfRule>
  </conditionalFormatting>
  <conditionalFormatting sqref="H27">
    <cfRule type="expression" dxfId="2238" priority="200">
      <formula>AND(M27,H27="")</formula>
    </cfRule>
  </conditionalFormatting>
  <conditionalFormatting sqref="H32">
    <cfRule type="expression" dxfId="2237" priority="179">
      <formula>AND(M32,H32="")</formula>
    </cfRule>
  </conditionalFormatting>
  <conditionalFormatting sqref="H34">
    <cfRule type="expression" dxfId="2236" priority="173">
      <formula>AND(M34,H34="")</formula>
    </cfRule>
  </conditionalFormatting>
  <conditionalFormatting sqref="H36">
    <cfRule type="expression" dxfId="2235" priority="167">
      <formula>AND(M36,H36="")</formula>
    </cfRule>
  </conditionalFormatting>
  <conditionalFormatting sqref="H41">
    <cfRule type="expression" dxfId="2234" priority="151">
      <formula>AND(M41,H41="")</formula>
    </cfRule>
  </conditionalFormatting>
  <conditionalFormatting sqref="H43">
    <cfRule type="expression" dxfId="2233" priority="402">
      <formula>AND(M43,H43="")</formula>
    </cfRule>
  </conditionalFormatting>
  <conditionalFormatting sqref="H45">
    <cfRule type="expression" dxfId="2232" priority="390">
      <formula>AND(M45,H45="")</formula>
    </cfRule>
  </conditionalFormatting>
  <conditionalFormatting sqref="H50">
    <cfRule type="expression" dxfId="2231" priority="126">
      <formula>AND(M50,H50="")</formula>
    </cfRule>
  </conditionalFormatting>
  <conditionalFormatting sqref="H52">
    <cfRule type="expression" dxfId="2230" priority="132">
      <formula>AND(M52,H52="")</formula>
    </cfRule>
  </conditionalFormatting>
  <conditionalFormatting sqref="H54">
    <cfRule type="expression" dxfId="2229" priority="138">
      <formula>AND(M54,H54="")</formula>
    </cfRule>
  </conditionalFormatting>
  <conditionalFormatting sqref="H59">
    <cfRule type="expression" dxfId="2228" priority="120">
      <formula>AND(M59,H59="")</formula>
    </cfRule>
  </conditionalFormatting>
  <conditionalFormatting sqref="H61">
    <cfRule type="expression" dxfId="2227" priority="330">
      <formula>AND(M61,H61="")</formula>
    </cfRule>
  </conditionalFormatting>
  <conditionalFormatting sqref="H63">
    <cfRule type="expression" dxfId="2226" priority="318">
      <formula>AND(M63,H63="")</formula>
    </cfRule>
  </conditionalFormatting>
  <conditionalFormatting sqref="H68">
    <cfRule type="expression" dxfId="2225" priority="76">
      <formula>AND(M68,H68="")</formula>
    </cfRule>
  </conditionalFormatting>
  <conditionalFormatting sqref="H70">
    <cfRule type="expression" dxfId="2224" priority="306">
      <formula>AND(M70,H70="")</formula>
    </cfRule>
  </conditionalFormatting>
  <conditionalFormatting sqref="H72">
    <cfRule type="expression" dxfId="2223" priority="294">
      <formula>AND(M72,H72="")</formula>
    </cfRule>
  </conditionalFormatting>
  <conditionalFormatting sqref="H77">
    <cfRule type="expression" dxfId="2222" priority="216">
      <formula>AND(M77,H77="")</formula>
    </cfRule>
  </conditionalFormatting>
  <conditionalFormatting sqref="H79">
    <cfRule type="expression" dxfId="2221" priority="256">
      <formula>AND(M79,H79="")</formula>
    </cfRule>
  </conditionalFormatting>
  <conditionalFormatting sqref="H81">
    <cfRule type="expression" dxfId="2220" priority="282">
      <formula>AND(M81,H81="")</formula>
    </cfRule>
  </conditionalFormatting>
  <conditionalFormatting sqref="H86">
    <cfRule type="expression" dxfId="2219" priority="262">
      <formula>AND(M86,H86="")</formula>
    </cfRule>
  </conditionalFormatting>
  <conditionalFormatting sqref="H88">
    <cfRule type="expression" dxfId="2218" priority="270">
      <formula>AND(M88,H88="")</formula>
    </cfRule>
  </conditionalFormatting>
  <conditionalFormatting sqref="H14:I14">
    <cfRule type="expression" dxfId="2217" priority="638">
      <formula>NOT($M14)</formula>
    </cfRule>
  </conditionalFormatting>
  <conditionalFormatting sqref="H16:I16">
    <cfRule type="expression" dxfId="2216" priority="644">
      <formula>NOT($M16)</formula>
    </cfRule>
  </conditionalFormatting>
  <conditionalFormatting sqref="H18:I18">
    <cfRule type="expression" dxfId="2215" priority="618">
      <formula>NOT($M18)</formula>
    </cfRule>
  </conditionalFormatting>
  <conditionalFormatting sqref="H23:I23">
    <cfRule type="expression" dxfId="2214" priority="207">
      <formula>NOT($M23)</formula>
    </cfRule>
  </conditionalFormatting>
  <conditionalFormatting sqref="H25:I25">
    <cfRule type="expression" dxfId="2213" priority="202">
      <formula>NOT($M25)</formula>
    </cfRule>
  </conditionalFormatting>
  <conditionalFormatting sqref="H27:I27">
    <cfRule type="expression" dxfId="2212" priority="197">
      <formula>NOT($M27)</formula>
    </cfRule>
  </conditionalFormatting>
  <conditionalFormatting sqref="H32:I32">
    <cfRule type="expression" dxfId="2211" priority="176">
      <formula>NOT($M32)</formula>
    </cfRule>
  </conditionalFormatting>
  <conditionalFormatting sqref="H34:I34">
    <cfRule type="expression" dxfId="2210" priority="170">
      <formula>NOT($M34)</formula>
    </cfRule>
  </conditionalFormatting>
  <conditionalFormatting sqref="H36:I36">
    <cfRule type="expression" dxfId="2209" priority="164">
      <formula>NOT($M36)</formula>
    </cfRule>
  </conditionalFormatting>
  <conditionalFormatting sqref="H41:I41">
    <cfRule type="expression" dxfId="2208" priority="148">
      <formula>NOT($M41)</formula>
    </cfRule>
  </conditionalFormatting>
  <conditionalFormatting sqref="H43:I43">
    <cfRule type="expression" dxfId="2206" priority="399">
      <formula>NOT($M43)</formula>
    </cfRule>
  </conditionalFormatting>
  <conditionalFormatting sqref="H45:I45">
    <cfRule type="expression" dxfId="2205" priority="387">
      <formula>NOT($M45)</formula>
    </cfRule>
  </conditionalFormatting>
  <conditionalFormatting sqref="H50:I50">
    <cfRule type="expression" dxfId="2204" priority="123">
      <formula>NOT($M50)</formula>
    </cfRule>
  </conditionalFormatting>
  <conditionalFormatting sqref="H52:I52">
    <cfRule type="expression" dxfId="2203" priority="129">
      <formula>NOT($M52)</formula>
    </cfRule>
  </conditionalFormatting>
  <conditionalFormatting sqref="H54:I54">
    <cfRule type="expression" dxfId="2202" priority="135">
      <formula>NOT($M54)</formula>
    </cfRule>
  </conditionalFormatting>
  <conditionalFormatting sqref="H59:I59">
    <cfRule type="expression" dxfId="2201" priority="117">
      <formula>NOT($M59)</formula>
    </cfRule>
  </conditionalFormatting>
  <conditionalFormatting sqref="H61:I61">
    <cfRule type="expression" dxfId="2199" priority="327">
      <formula>NOT($M61)</formula>
    </cfRule>
  </conditionalFormatting>
  <conditionalFormatting sqref="H63:I63">
    <cfRule type="expression" dxfId="2198" priority="315">
      <formula>NOT($M63)</formula>
    </cfRule>
  </conditionalFormatting>
  <conditionalFormatting sqref="H68:I68">
    <cfRule type="expression" dxfId="2197" priority="73">
      <formula>NOT($M68)</formula>
    </cfRule>
  </conditionalFormatting>
  <conditionalFormatting sqref="H70:I70">
    <cfRule type="expression" dxfId="2196" priority="303">
      <formula>NOT($M70)</formula>
    </cfRule>
  </conditionalFormatting>
  <conditionalFormatting sqref="H72:I72">
    <cfRule type="expression" dxfId="2195" priority="291">
      <formula>NOT($M72)</formula>
    </cfRule>
  </conditionalFormatting>
  <conditionalFormatting sqref="H77:I77">
    <cfRule type="expression" dxfId="2194" priority="213">
      <formula>NOT($M77)</formula>
    </cfRule>
  </conditionalFormatting>
  <conditionalFormatting sqref="H79:I79">
    <cfRule type="expression" dxfId="2193" priority="253">
      <formula>NOT($M79)</formula>
    </cfRule>
  </conditionalFormatting>
  <conditionalFormatting sqref="H81:I81">
    <cfRule type="expression" dxfId="2192" priority="279">
      <formula>NOT($M81)</formula>
    </cfRule>
  </conditionalFormatting>
  <conditionalFormatting sqref="H86:I86">
    <cfRule type="expression" dxfId="2191" priority="259">
      <formula>NOT($M86)</formula>
    </cfRule>
  </conditionalFormatting>
  <conditionalFormatting sqref="H88:I88">
    <cfRule type="expression" dxfId="2190" priority="267">
      <formula>NOT($M88)</formula>
    </cfRule>
  </conditionalFormatting>
  <conditionalFormatting sqref="I14">
    <cfRule type="expression" dxfId="2189" priority="639">
      <formula>AND(M14,I14="")</formula>
    </cfRule>
  </conditionalFormatting>
  <conditionalFormatting sqref="I16">
    <cfRule type="expression" dxfId="2188" priority="852">
      <formula>AND(M16,I16="")</formula>
    </cfRule>
  </conditionalFormatting>
  <conditionalFormatting sqref="I18">
    <cfRule type="expression" dxfId="2187" priority="620">
      <formula>AND(M18,I18="")</formula>
    </cfRule>
  </conditionalFormatting>
  <conditionalFormatting sqref="I23">
    <cfRule type="expression" dxfId="2186" priority="209">
      <formula>AND(M23,I23="")</formula>
    </cfRule>
  </conditionalFormatting>
  <conditionalFormatting sqref="I25">
    <cfRule type="expression" dxfId="2185" priority="204">
      <formula>AND(M25,I25="")</formula>
    </cfRule>
  </conditionalFormatting>
  <conditionalFormatting sqref="I27">
    <cfRule type="expression" dxfId="2184" priority="199">
      <formula>AND(M27,I27="")</formula>
    </cfRule>
  </conditionalFormatting>
  <conditionalFormatting sqref="I32">
    <cfRule type="expression" dxfId="2183" priority="178">
      <formula>AND(M32,I32="")</formula>
    </cfRule>
  </conditionalFormatting>
  <conditionalFormatting sqref="I34">
    <cfRule type="expression" dxfId="2182" priority="172">
      <formula>AND(M34,I34="")</formula>
    </cfRule>
  </conditionalFormatting>
  <conditionalFormatting sqref="I36">
    <cfRule type="expression" dxfId="2181" priority="166">
      <formula>AND(M36,I36="")</formula>
    </cfRule>
  </conditionalFormatting>
  <conditionalFormatting sqref="I41">
    <cfRule type="expression" dxfId="2180" priority="150">
      <formula>AND(M41,I41="")</formula>
    </cfRule>
  </conditionalFormatting>
  <conditionalFormatting sqref="I43">
    <cfRule type="expression" dxfId="2179" priority="401">
      <formula>AND(M43,I43="")</formula>
    </cfRule>
  </conditionalFormatting>
  <conditionalFormatting sqref="I45">
    <cfRule type="expression" dxfId="2178" priority="389">
      <formula>AND(M45,I45="")</formula>
    </cfRule>
  </conditionalFormatting>
  <conditionalFormatting sqref="I50">
    <cfRule type="expression" dxfId="2177" priority="125">
      <formula>AND(M50,I50="")</formula>
    </cfRule>
  </conditionalFormatting>
  <conditionalFormatting sqref="I52">
    <cfRule type="expression" dxfId="2176" priority="131">
      <formula>AND(M52,I52="")</formula>
    </cfRule>
  </conditionalFormatting>
  <conditionalFormatting sqref="I54">
    <cfRule type="expression" dxfId="2175" priority="137">
      <formula>AND(M54,I54="")</formula>
    </cfRule>
  </conditionalFormatting>
  <conditionalFormatting sqref="I59">
    <cfRule type="expression" dxfId="2174" priority="119">
      <formula>AND(M59,I59="")</formula>
    </cfRule>
  </conditionalFormatting>
  <conditionalFormatting sqref="I61">
    <cfRule type="expression" dxfId="2173" priority="329">
      <formula>AND(M61,I61="")</formula>
    </cfRule>
  </conditionalFormatting>
  <conditionalFormatting sqref="I63">
    <cfRule type="expression" dxfId="2172" priority="317">
      <formula>AND(M63,I63="")</formula>
    </cfRule>
  </conditionalFormatting>
  <conditionalFormatting sqref="I68">
    <cfRule type="expression" dxfId="2171" priority="75">
      <formula>AND(M68,I68="")</formula>
    </cfRule>
  </conditionalFormatting>
  <conditionalFormatting sqref="I70">
    <cfRule type="expression" dxfId="2170" priority="305">
      <formula>AND(M70,I70="")</formula>
    </cfRule>
  </conditionalFormatting>
  <conditionalFormatting sqref="I72">
    <cfRule type="expression" dxfId="2169" priority="293">
      <formula>AND(M72,I72="")</formula>
    </cfRule>
  </conditionalFormatting>
  <conditionalFormatting sqref="I77">
    <cfRule type="expression" dxfId="2168" priority="215">
      <formula>AND(M77,I77="")</formula>
    </cfRule>
  </conditionalFormatting>
  <conditionalFormatting sqref="I79">
    <cfRule type="expression" dxfId="2167" priority="255">
      <formula>AND(M79,I79="")</formula>
    </cfRule>
  </conditionalFormatting>
  <conditionalFormatting sqref="I81">
    <cfRule type="expression" dxfId="2166" priority="281">
      <formula>AND(M81,I81="")</formula>
    </cfRule>
  </conditionalFormatting>
  <conditionalFormatting sqref="I86">
    <cfRule type="expression" dxfId="2165" priority="261">
      <formula>AND(M86,I86="")</formula>
    </cfRule>
  </conditionalFormatting>
  <conditionalFormatting sqref="I88">
    <cfRule type="expression" dxfId="2164" priority="269">
      <formula>AND(M88,I88="")</formula>
    </cfRule>
  </conditionalFormatting>
  <conditionalFormatting sqref="J14">
    <cfRule type="expression" dxfId="2163" priority="872">
      <formula>AND(M14,J14="")</formula>
    </cfRule>
    <cfRule type="expression" dxfId="2162" priority="860">
      <formula>M14=FALSE</formula>
    </cfRule>
    <cfRule type="expression" dxfId="2161" priority="861">
      <formula>AND(M14,J14="")</formula>
    </cfRule>
    <cfRule type="expression" dxfId="2160" priority="865">
      <formula>M14=FALSE</formula>
    </cfRule>
    <cfRule type="expression" dxfId="2159" priority="866">
      <formula>AND(M14,J14="")</formula>
    </cfRule>
    <cfRule type="expression" dxfId="2158" priority="871">
      <formula>M14=FALSE</formula>
    </cfRule>
  </conditionalFormatting>
  <conditionalFormatting sqref="J16">
    <cfRule type="expression" dxfId="2157" priority="849">
      <formula>M16=FALSE</formula>
    </cfRule>
    <cfRule type="expression" dxfId="2156" priority="850">
      <formula>AND(M16,J16="")</formula>
    </cfRule>
  </conditionalFormatting>
  <conditionalFormatting sqref="J18">
    <cfRule type="expression" dxfId="2155" priority="844">
      <formula>AND(M18,J18="")</formula>
    </cfRule>
    <cfRule type="expression" dxfId="2154" priority="843">
      <formula>M18=FALSE</formula>
    </cfRule>
  </conditionalFormatting>
  <conditionalFormatting sqref="J23">
    <cfRule type="expression" dxfId="2153" priority="982">
      <formula>AND(M23,J23="")</formula>
    </cfRule>
    <cfRule type="expression" dxfId="2152" priority="970">
      <formula>M23=FALSE</formula>
    </cfRule>
    <cfRule type="expression" dxfId="2151" priority="971">
      <formula>AND(M23,J23="")</formula>
    </cfRule>
    <cfRule type="expression" dxfId="2150" priority="975">
      <formula>M23=FALSE</formula>
    </cfRule>
    <cfRule type="expression" dxfId="2149" priority="976">
      <formula>AND(M23,J23="")</formula>
    </cfRule>
    <cfRule type="expression" dxfId="2148" priority="981">
      <formula>M23=FALSE</formula>
    </cfRule>
  </conditionalFormatting>
  <conditionalFormatting sqref="J25">
    <cfRule type="expression" dxfId="2147" priority="960">
      <formula>AND(M25,J25="")</formula>
    </cfRule>
    <cfRule type="expression" dxfId="2146" priority="959">
      <formula>M25=FALSE</formula>
    </cfRule>
    <cfRule type="expression" dxfId="2145" priority="955">
      <formula>AND(M25,J25="")</formula>
    </cfRule>
    <cfRule type="expression" dxfId="2144" priority="966">
      <formula>AND(M25,J25="")</formula>
    </cfRule>
    <cfRule type="expression" dxfId="2143" priority="954">
      <formula>M25=FALSE</formula>
    </cfRule>
    <cfRule type="expression" dxfId="2142" priority="965">
      <formula>M25=FALSE</formula>
    </cfRule>
  </conditionalFormatting>
  <conditionalFormatting sqref="J27">
    <cfRule type="expression" dxfId="2141" priority="939">
      <formula>AND(M27,J27="")</formula>
    </cfRule>
    <cfRule type="expression" dxfId="2140" priority="944">
      <formula>AND(M27,J27="")</formula>
    </cfRule>
    <cfRule type="expression" dxfId="2139" priority="949">
      <formula>M27=FALSE</formula>
    </cfRule>
    <cfRule type="expression" dxfId="2138" priority="950">
      <formula>AND(M27,J27="")</formula>
    </cfRule>
    <cfRule type="expression" dxfId="2137" priority="938">
      <formula>M27=FALSE</formula>
    </cfRule>
    <cfRule type="expression" dxfId="2136" priority="943">
      <formula>M27=FALSE</formula>
    </cfRule>
  </conditionalFormatting>
  <conditionalFormatting sqref="J32">
    <cfRule type="expression" dxfId="2135" priority="1035">
      <formula>AND(M32,J32="")</formula>
    </cfRule>
    <cfRule type="expression" dxfId="2134" priority="1034">
      <formula>M32=FALSE</formula>
    </cfRule>
    <cfRule type="expression" dxfId="2133" priority="1039">
      <formula>M32=FALSE</formula>
    </cfRule>
    <cfRule type="expression" dxfId="2132" priority="1046">
      <formula>AND(M32,J32="")</formula>
    </cfRule>
    <cfRule type="expression" dxfId="2131" priority="1045">
      <formula>M32=FALSE</formula>
    </cfRule>
    <cfRule type="expression" dxfId="2130" priority="1040">
      <formula>AND(M32,J32="")</formula>
    </cfRule>
  </conditionalFormatting>
  <conditionalFormatting sqref="J34">
    <cfRule type="expression" dxfId="2129" priority="1029">
      <formula>M34=FALSE</formula>
    </cfRule>
    <cfRule type="expression" dxfId="2128" priority="1024">
      <formula>AND(M34,J34="")</formula>
    </cfRule>
    <cfRule type="expression" dxfId="2127" priority="1023">
      <formula>M34=FALSE</formula>
    </cfRule>
    <cfRule type="expression" dxfId="2126" priority="1019">
      <formula>AND(M34,J34="")</formula>
    </cfRule>
    <cfRule type="expression" dxfId="2125" priority="1030">
      <formula>AND(M34,J34="")</formula>
    </cfRule>
    <cfRule type="expression" dxfId="2124" priority="1018">
      <formula>M34=FALSE</formula>
    </cfRule>
  </conditionalFormatting>
  <conditionalFormatting sqref="J36">
    <cfRule type="expression" dxfId="2123" priority="1014">
      <formula>AND(M36,J36="")</formula>
    </cfRule>
    <cfRule type="expression" dxfId="2122" priority="1003">
      <formula>AND(M36,J36="")</formula>
    </cfRule>
    <cfRule type="expression" dxfId="2121" priority="1002">
      <formula>M36=FALSE</formula>
    </cfRule>
    <cfRule type="expression" dxfId="2120" priority="1007">
      <formula>M36=FALSE</formula>
    </cfRule>
    <cfRule type="expression" dxfId="2119" priority="1008">
      <formula>AND(M36,J36="")</formula>
    </cfRule>
    <cfRule type="expression" dxfId="2118" priority="1013">
      <formula>M36=FALSE</formula>
    </cfRule>
  </conditionalFormatting>
  <conditionalFormatting sqref="J41">
    <cfRule type="expression" dxfId="2117" priority="1141">
      <formula>AND(M41,J41="")</formula>
    </cfRule>
    <cfRule type="expression" dxfId="2116" priority="1145">
      <formula>M41=FALSE</formula>
    </cfRule>
    <cfRule type="expression" dxfId="2115" priority="1146">
      <formula>AND(M41,J41="")</formula>
    </cfRule>
    <cfRule type="expression" dxfId="2114" priority="1151">
      <formula>M41=FALSE</formula>
    </cfRule>
    <cfRule type="expression" dxfId="2113" priority="1140">
      <formula>M41=FALSE</formula>
    </cfRule>
    <cfRule type="expression" dxfId="2112" priority="1152">
      <formula>AND(M41,J41="")</formula>
    </cfRule>
  </conditionalFormatting>
  <conditionalFormatting sqref="J43">
    <cfRule type="expression" dxfId="2111" priority="1135">
      <formula>M43=FALSE</formula>
    </cfRule>
    <cfRule type="expression" dxfId="2110" priority="1136">
      <formula>AND(M43,J43="")</formula>
    </cfRule>
  </conditionalFormatting>
  <conditionalFormatting sqref="J45">
    <cfRule type="expression" dxfId="2109" priority="1130">
      <formula>AND(M45,J45="")</formula>
    </cfRule>
    <cfRule type="expression" dxfId="2108" priority="1129">
      <formula>M45=FALSE</formula>
    </cfRule>
  </conditionalFormatting>
  <conditionalFormatting sqref="J50">
    <cfRule type="expression" dxfId="2107" priority="1225">
      <formula>M50=FALSE</formula>
    </cfRule>
    <cfRule type="expression" dxfId="2106" priority="1221">
      <formula>AND(M50,J50="")</formula>
    </cfRule>
    <cfRule type="expression" dxfId="2105" priority="1220">
      <formula>M50=FALSE</formula>
    </cfRule>
    <cfRule type="expression" dxfId="2104" priority="1226">
      <formula>AND(M50,J50="")</formula>
    </cfRule>
    <cfRule type="expression" dxfId="2103" priority="1312">
      <formula>M50=FALSE</formula>
    </cfRule>
    <cfRule type="expression" dxfId="2102" priority="1313">
      <formula>AND(M50,J50="")</formula>
    </cfRule>
  </conditionalFormatting>
  <conditionalFormatting sqref="J52">
    <cfRule type="expression" dxfId="2101" priority="1230">
      <formula>M52=FALSE</formula>
    </cfRule>
    <cfRule type="expression" dxfId="2100" priority="1231">
      <formula>AND(M52,J52="")</formula>
    </cfRule>
    <cfRule type="expression" dxfId="2099" priority="1310">
      <formula>M52=FALSE</formula>
    </cfRule>
    <cfRule type="expression" dxfId="2098" priority="1311">
      <formula>AND(M52,J52="")</formula>
    </cfRule>
  </conditionalFormatting>
  <conditionalFormatting sqref="J54">
    <cfRule type="expression" dxfId="2097" priority="1309">
      <formula>AND(M54,J54="")</formula>
    </cfRule>
    <cfRule type="expression" dxfId="2096" priority="1308">
      <formula>M54=FALSE</formula>
    </cfRule>
  </conditionalFormatting>
  <conditionalFormatting sqref="J59">
    <cfRule type="expression" dxfId="2095" priority="1216">
      <formula>AND(M59,J59="")</formula>
    </cfRule>
    <cfRule type="expression" dxfId="2094" priority="1215">
      <formula>M59=FALSE</formula>
    </cfRule>
    <cfRule type="expression" dxfId="2093" priority="1209">
      <formula>M59=FALSE</formula>
    </cfRule>
    <cfRule type="expression" dxfId="2092" priority="1210">
      <formula>AND(M59,J59="")</formula>
    </cfRule>
    <cfRule type="expression" dxfId="2091" priority="1205">
      <formula>AND(M59,J59="")</formula>
    </cfRule>
    <cfRule type="expression" dxfId="2090" priority="1204">
      <formula>M59=FALSE</formula>
    </cfRule>
  </conditionalFormatting>
  <conditionalFormatting sqref="J61">
    <cfRule type="expression" dxfId="2089" priority="1197">
      <formula>AND(M61,J61="")</formula>
    </cfRule>
    <cfRule type="expression" dxfId="2088" priority="1196">
      <formula>M61=FALSE</formula>
    </cfRule>
  </conditionalFormatting>
  <conditionalFormatting sqref="J63">
    <cfRule type="expression" dxfId="2087" priority="1194">
      <formula>M63=FALSE</formula>
    </cfRule>
    <cfRule type="expression" dxfId="2086" priority="1195">
      <formula>AND(M63,J63="")</formula>
    </cfRule>
    <cfRule type="expression" dxfId="2085" priority="1188">
      <formula>M63=FALSE</formula>
    </cfRule>
    <cfRule type="expression" dxfId="2084" priority="1189">
      <formula>AND(M63,J63="")</formula>
    </cfRule>
  </conditionalFormatting>
  <conditionalFormatting sqref="J68">
    <cfRule type="expression" dxfId="2083" priority="1172">
      <formula>M68=FALSE</formula>
    </cfRule>
    <cfRule type="expression" dxfId="2082" priority="1173">
      <formula>AND(M68,J68="")</formula>
    </cfRule>
    <cfRule type="expression" dxfId="2081" priority="1177">
      <formula>M68=FALSE</formula>
    </cfRule>
    <cfRule type="expression" dxfId="2080" priority="1178">
      <formula>AND(M68,J68="")</formula>
    </cfRule>
    <cfRule type="expression" dxfId="2079" priority="1183">
      <formula>M68=FALSE</formula>
    </cfRule>
    <cfRule type="expression" dxfId="2078" priority="1184">
      <formula>AND(M68,J68="")</formula>
    </cfRule>
  </conditionalFormatting>
  <conditionalFormatting sqref="J70">
    <cfRule type="expression" dxfId="2077" priority="1165">
      <formula>AND(M70,J70="")</formula>
    </cfRule>
    <cfRule type="expression" dxfId="2076" priority="1164">
      <formula>M70=FALSE</formula>
    </cfRule>
  </conditionalFormatting>
  <conditionalFormatting sqref="J72">
    <cfRule type="expression" dxfId="2075" priority="1162">
      <formula>M72=FALSE</formula>
    </cfRule>
    <cfRule type="expression" dxfId="2074" priority="1163">
      <formula>AND(M72,J72="")</formula>
    </cfRule>
    <cfRule type="expression" dxfId="2073" priority="1156">
      <formula>M72=FALSE</formula>
    </cfRule>
    <cfRule type="expression" dxfId="2072" priority="1157">
      <formula>AND(M72,J72="")</formula>
    </cfRule>
  </conditionalFormatting>
  <conditionalFormatting sqref="J77">
    <cfRule type="expression" dxfId="2071" priority="832">
      <formula>AND(M77,J77="")</formula>
    </cfRule>
    <cfRule type="expression" dxfId="2070" priority="831">
      <formula>M77=FALSE</formula>
    </cfRule>
    <cfRule type="expression" dxfId="2069" priority="826">
      <formula>AND(M77,J77="")</formula>
    </cfRule>
    <cfRule type="expression" dxfId="2068" priority="825">
      <formula>M77=FALSE</formula>
    </cfRule>
    <cfRule type="expression" dxfId="2067" priority="821">
      <formula>AND(M77,J77="")</formula>
    </cfRule>
    <cfRule type="expression" dxfId="2066" priority="820">
      <formula>M77=FALSE</formula>
    </cfRule>
  </conditionalFormatting>
  <conditionalFormatting sqref="J79">
    <cfRule type="expression" dxfId="2065" priority="682">
      <formula>M79=FALSE</formula>
    </cfRule>
    <cfRule type="expression" dxfId="2064" priority="677">
      <formula>M79=FALSE</formula>
    </cfRule>
    <cfRule type="expression" dxfId="2063" priority="678">
      <formula>AND(M79,J79="")</formula>
    </cfRule>
    <cfRule type="expression" dxfId="2062" priority="689">
      <formula>AND(M79,J79="")</formula>
    </cfRule>
    <cfRule type="expression" dxfId="2061" priority="688">
      <formula>M79=FALSE</formula>
    </cfRule>
    <cfRule type="expression" dxfId="2060" priority="683">
      <formula>AND(M79,J79="")</formula>
    </cfRule>
  </conditionalFormatting>
  <conditionalFormatting sqref="J81">
    <cfRule type="expression" dxfId="2059" priority="673">
      <formula>AND(M81,J81="")</formula>
    </cfRule>
    <cfRule type="expression" dxfId="2058" priority="672">
      <formula>M81=FALSE</formula>
    </cfRule>
  </conditionalFormatting>
  <conditionalFormatting sqref="J86">
    <cfRule type="expression" dxfId="2057" priority="648">
      <formula>M86=FALSE</formula>
    </cfRule>
    <cfRule type="expression" dxfId="2056" priority="649">
      <formula>AND(M86,J86="")</formula>
    </cfRule>
    <cfRule type="expression" dxfId="2055" priority="654">
      <formula>AND(M86,J86="")</formula>
    </cfRule>
    <cfRule type="expression" dxfId="2054" priority="653">
      <formula>M86=FALSE</formula>
    </cfRule>
    <cfRule type="expression" dxfId="2053" priority="660">
      <formula>AND(M86,J86="")</formula>
    </cfRule>
    <cfRule type="expression" dxfId="2052" priority="659">
      <formula>M86=FALSE</formula>
    </cfRule>
  </conditionalFormatting>
  <conditionalFormatting sqref="J88">
    <cfRule type="expression" dxfId="2051" priority="667">
      <formula>AND(M88,J88="")</formula>
    </cfRule>
    <cfRule type="expression" dxfId="2050" priority="666">
      <formula>M88=FALSE</formula>
    </cfRule>
  </conditionalFormatting>
  <pageMargins left="0.39370078740157483" right="0.19685039370078741" top="0.39370078740157483" bottom="0.47244094488188981" header="0.31496062992125984" footer="0.31496062992125984"/>
  <pageSetup paperSize="9" scale="84" fitToHeight="0" orientation="portrait" r:id="rId1"/>
  <headerFooter scaleWithDoc="0">
    <oddFooter>&amp;L&amp;8©  VHF Bayern - Stand Juni 2022&amp;R&amp;P</oddFooter>
  </headerFooter>
  <rowBreaks count="3" manualBreakCount="3">
    <brk id="30" max="11" man="1"/>
    <brk id="48" max="11" man="1"/>
    <brk id="75"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54274" r:id="rId4" name="Kontrollkästchen 2">
              <controlPr defaultSize="0" autoFill="0" autoLine="0" autoPict="0" altText="">
                <anchor moveWithCells="1">
                  <from>
                    <xdr:col>1</xdr:col>
                    <xdr:colOff>0</xdr:colOff>
                    <xdr:row>15</xdr:row>
                    <xdr:rowOff>0</xdr:rowOff>
                  </from>
                  <to>
                    <xdr:col>2</xdr:col>
                    <xdr:colOff>0</xdr:colOff>
                    <xdr:row>15</xdr:row>
                    <xdr:rowOff>213360</xdr:rowOff>
                  </to>
                </anchor>
              </controlPr>
            </control>
          </mc:Choice>
        </mc:AlternateContent>
        <mc:AlternateContent xmlns:mc="http://schemas.openxmlformats.org/markup-compatibility/2006">
          <mc:Choice Requires="x14">
            <control shapeId="69870" r:id="rId5" name="Kontrollkästchen 2">
              <controlPr defaultSize="0" autoFill="0" autoLine="0" autoPict="0" altText="">
                <anchor moveWithCells="1">
                  <from>
                    <xdr:col>1</xdr:col>
                    <xdr:colOff>0</xdr:colOff>
                    <xdr:row>13</xdr:row>
                    <xdr:rowOff>0</xdr:rowOff>
                  </from>
                  <to>
                    <xdr:col>2</xdr:col>
                    <xdr:colOff>0</xdr:colOff>
                    <xdr:row>13</xdr:row>
                    <xdr:rowOff>213360</xdr:rowOff>
                  </to>
                </anchor>
              </controlPr>
            </control>
          </mc:Choice>
        </mc:AlternateContent>
        <mc:AlternateContent xmlns:mc="http://schemas.openxmlformats.org/markup-compatibility/2006">
          <mc:Choice Requires="x14">
            <control shapeId="69871" r:id="rId6" name="Kontrollkästchen 2">
              <controlPr defaultSize="0" autoFill="0" autoLine="0" autoPict="0" altText="">
                <anchor moveWithCells="1">
                  <from>
                    <xdr:col>1</xdr:col>
                    <xdr:colOff>0</xdr:colOff>
                    <xdr:row>17</xdr:row>
                    <xdr:rowOff>0</xdr:rowOff>
                  </from>
                  <to>
                    <xdr:col>2</xdr:col>
                    <xdr:colOff>0</xdr:colOff>
                    <xdr:row>17</xdr:row>
                    <xdr:rowOff>213360</xdr:rowOff>
                  </to>
                </anchor>
              </controlPr>
            </control>
          </mc:Choice>
        </mc:AlternateContent>
        <mc:AlternateContent xmlns:mc="http://schemas.openxmlformats.org/markup-compatibility/2006">
          <mc:Choice Requires="x14">
            <control shapeId="69874" r:id="rId7" name="Kontrollkästchen 2">
              <controlPr defaultSize="0" autoFill="0" autoLine="0" autoPict="0" altText="">
                <anchor moveWithCells="1">
                  <from>
                    <xdr:col>1</xdr:col>
                    <xdr:colOff>0</xdr:colOff>
                    <xdr:row>22</xdr:row>
                    <xdr:rowOff>0</xdr:rowOff>
                  </from>
                  <to>
                    <xdr:col>2</xdr:col>
                    <xdr:colOff>0</xdr:colOff>
                    <xdr:row>22</xdr:row>
                    <xdr:rowOff>213360</xdr:rowOff>
                  </to>
                </anchor>
              </controlPr>
            </control>
          </mc:Choice>
        </mc:AlternateContent>
        <mc:AlternateContent xmlns:mc="http://schemas.openxmlformats.org/markup-compatibility/2006">
          <mc:Choice Requires="x14">
            <control shapeId="69875" r:id="rId8" name="Kontrollkästchen 2">
              <controlPr defaultSize="0" autoFill="0" autoLine="0" autoPict="0" altText="">
                <anchor moveWithCells="1">
                  <from>
                    <xdr:col>1</xdr:col>
                    <xdr:colOff>0</xdr:colOff>
                    <xdr:row>24</xdr:row>
                    <xdr:rowOff>0</xdr:rowOff>
                  </from>
                  <to>
                    <xdr:col>2</xdr:col>
                    <xdr:colOff>0</xdr:colOff>
                    <xdr:row>24</xdr:row>
                    <xdr:rowOff>213360</xdr:rowOff>
                  </to>
                </anchor>
              </controlPr>
            </control>
          </mc:Choice>
        </mc:AlternateContent>
        <mc:AlternateContent xmlns:mc="http://schemas.openxmlformats.org/markup-compatibility/2006">
          <mc:Choice Requires="x14">
            <control shapeId="69876" r:id="rId9" name="Kontrollkästchen 2">
              <controlPr defaultSize="0" autoFill="0" autoLine="0" autoPict="0" altText="">
                <anchor moveWithCells="1">
                  <from>
                    <xdr:col>1</xdr:col>
                    <xdr:colOff>0</xdr:colOff>
                    <xdr:row>26</xdr:row>
                    <xdr:rowOff>0</xdr:rowOff>
                  </from>
                  <to>
                    <xdr:col>2</xdr:col>
                    <xdr:colOff>0</xdr:colOff>
                    <xdr:row>26</xdr:row>
                    <xdr:rowOff>213360</xdr:rowOff>
                  </to>
                </anchor>
              </controlPr>
            </control>
          </mc:Choice>
        </mc:AlternateContent>
        <mc:AlternateContent xmlns:mc="http://schemas.openxmlformats.org/markup-compatibility/2006">
          <mc:Choice Requires="x14">
            <control shapeId="69884" r:id="rId10" name="Kontrollkästchen 2">
              <controlPr defaultSize="0" autoFill="0" autoLine="0" autoPict="0" altText="">
                <anchor moveWithCells="1">
                  <from>
                    <xdr:col>1</xdr:col>
                    <xdr:colOff>0</xdr:colOff>
                    <xdr:row>31</xdr:row>
                    <xdr:rowOff>0</xdr:rowOff>
                  </from>
                  <to>
                    <xdr:col>2</xdr:col>
                    <xdr:colOff>0</xdr:colOff>
                    <xdr:row>31</xdr:row>
                    <xdr:rowOff>213360</xdr:rowOff>
                  </to>
                </anchor>
              </controlPr>
            </control>
          </mc:Choice>
        </mc:AlternateContent>
        <mc:AlternateContent xmlns:mc="http://schemas.openxmlformats.org/markup-compatibility/2006">
          <mc:Choice Requires="x14">
            <control shapeId="69885" r:id="rId11" name="Check Box 1277">
              <controlPr defaultSize="0" autoFill="0" autoLine="0" autoPict="0" altText="">
                <anchor moveWithCells="1">
                  <from>
                    <xdr:col>1</xdr:col>
                    <xdr:colOff>0</xdr:colOff>
                    <xdr:row>33</xdr:row>
                    <xdr:rowOff>0</xdr:rowOff>
                  </from>
                  <to>
                    <xdr:col>2</xdr:col>
                    <xdr:colOff>0</xdr:colOff>
                    <xdr:row>33</xdr:row>
                    <xdr:rowOff>213360</xdr:rowOff>
                  </to>
                </anchor>
              </controlPr>
            </control>
          </mc:Choice>
        </mc:AlternateContent>
        <mc:AlternateContent xmlns:mc="http://schemas.openxmlformats.org/markup-compatibility/2006">
          <mc:Choice Requires="x14">
            <control shapeId="69886" r:id="rId12" name="Check Box 1278">
              <controlPr defaultSize="0" autoFill="0" autoLine="0" autoPict="0" altText="">
                <anchor moveWithCells="1">
                  <from>
                    <xdr:col>1</xdr:col>
                    <xdr:colOff>0</xdr:colOff>
                    <xdr:row>35</xdr:row>
                    <xdr:rowOff>0</xdr:rowOff>
                  </from>
                  <to>
                    <xdr:col>2</xdr:col>
                    <xdr:colOff>0</xdr:colOff>
                    <xdr:row>35</xdr:row>
                    <xdr:rowOff>213360</xdr:rowOff>
                  </to>
                </anchor>
              </controlPr>
            </control>
          </mc:Choice>
        </mc:AlternateContent>
        <mc:AlternateContent xmlns:mc="http://schemas.openxmlformats.org/markup-compatibility/2006">
          <mc:Choice Requires="x14">
            <control shapeId="69899" r:id="rId13" name="Check Box 1291">
              <controlPr defaultSize="0" autoFill="0" autoLine="0" autoPict="0" altText="">
                <anchor moveWithCells="1">
                  <from>
                    <xdr:col>1</xdr:col>
                    <xdr:colOff>0</xdr:colOff>
                    <xdr:row>40</xdr:row>
                    <xdr:rowOff>0</xdr:rowOff>
                  </from>
                  <to>
                    <xdr:col>2</xdr:col>
                    <xdr:colOff>0</xdr:colOff>
                    <xdr:row>40</xdr:row>
                    <xdr:rowOff>213360</xdr:rowOff>
                  </to>
                </anchor>
              </controlPr>
            </control>
          </mc:Choice>
        </mc:AlternateContent>
        <mc:AlternateContent xmlns:mc="http://schemas.openxmlformats.org/markup-compatibility/2006">
          <mc:Choice Requires="x14">
            <control shapeId="69900" r:id="rId14" name="Check Box 1292">
              <controlPr defaultSize="0" autoFill="0" autoLine="0" autoPict="0" altText="">
                <anchor moveWithCells="1">
                  <from>
                    <xdr:col>1</xdr:col>
                    <xdr:colOff>0</xdr:colOff>
                    <xdr:row>42</xdr:row>
                    <xdr:rowOff>0</xdr:rowOff>
                  </from>
                  <to>
                    <xdr:col>2</xdr:col>
                    <xdr:colOff>0</xdr:colOff>
                    <xdr:row>42</xdr:row>
                    <xdr:rowOff>213360</xdr:rowOff>
                  </to>
                </anchor>
              </controlPr>
            </control>
          </mc:Choice>
        </mc:AlternateContent>
        <mc:AlternateContent xmlns:mc="http://schemas.openxmlformats.org/markup-compatibility/2006">
          <mc:Choice Requires="x14">
            <control shapeId="69901" r:id="rId15" name="Check Box 1293">
              <controlPr defaultSize="0" autoFill="0" autoLine="0" autoPict="0" altText="">
                <anchor moveWithCells="1">
                  <from>
                    <xdr:col>1</xdr:col>
                    <xdr:colOff>0</xdr:colOff>
                    <xdr:row>44</xdr:row>
                    <xdr:rowOff>0</xdr:rowOff>
                  </from>
                  <to>
                    <xdr:col>2</xdr:col>
                    <xdr:colOff>0</xdr:colOff>
                    <xdr:row>44</xdr:row>
                    <xdr:rowOff>213360</xdr:rowOff>
                  </to>
                </anchor>
              </controlPr>
            </control>
          </mc:Choice>
        </mc:AlternateContent>
        <mc:AlternateContent xmlns:mc="http://schemas.openxmlformats.org/markup-compatibility/2006">
          <mc:Choice Requires="x14">
            <control shapeId="69904" r:id="rId16" name="Check Box 1296">
              <controlPr defaultSize="0" autoFill="0" autoLine="0" autoPict="0" altText="">
                <anchor moveWithCells="1">
                  <from>
                    <xdr:col>1</xdr:col>
                    <xdr:colOff>0</xdr:colOff>
                    <xdr:row>49</xdr:row>
                    <xdr:rowOff>0</xdr:rowOff>
                  </from>
                  <to>
                    <xdr:col>2</xdr:col>
                    <xdr:colOff>0</xdr:colOff>
                    <xdr:row>49</xdr:row>
                    <xdr:rowOff>213360</xdr:rowOff>
                  </to>
                </anchor>
              </controlPr>
            </control>
          </mc:Choice>
        </mc:AlternateContent>
        <mc:AlternateContent xmlns:mc="http://schemas.openxmlformats.org/markup-compatibility/2006">
          <mc:Choice Requires="x14">
            <control shapeId="69905" r:id="rId17" name="Check Box 1297">
              <controlPr defaultSize="0" autoFill="0" autoLine="0" autoPict="0" altText="">
                <anchor moveWithCells="1">
                  <from>
                    <xdr:col>1</xdr:col>
                    <xdr:colOff>0</xdr:colOff>
                    <xdr:row>51</xdr:row>
                    <xdr:rowOff>0</xdr:rowOff>
                  </from>
                  <to>
                    <xdr:col>2</xdr:col>
                    <xdr:colOff>0</xdr:colOff>
                    <xdr:row>51</xdr:row>
                    <xdr:rowOff>213360</xdr:rowOff>
                  </to>
                </anchor>
              </controlPr>
            </control>
          </mc:Choice>
        </mc:AlternateContent>
        <mc:AlternateContent xmlns:mc="http://schemas.openxmlformats.org/markup-compatibility/2006">
          <mc:Choice Requires="x14">
            <control shapeId="69906" r:id="rId18" name="Check Box 1298">
              <controlPr defaultSize="0" autoFill="0" autoLine="0" autoPict="0" altText="">
                <anchor moveWithCells="1">
                  <from>
                    <xdr:col>1</xdr:col>
                    <xdr:colOff>0</xdr:colOff>
                    <xdr:row>53</xdr:row>
                    <xdr:rowOff>0</xdr:rowOff>
                  </from>
                  <to>
                    <xdr:col>2</xdr:col>
                    <xdr:colOff>0</xdr:colOff>
                    <xdr:row>53</xdr:row>
                    <xdr:rowOff>213360</xdr:rowOff>
                  </to>
                </anchor>
              </controlPr>
            </control>
          </mc:Choice>
        </mc:AlternateContent>
        <mc:AlternateContent xmlns:mc="http://schemas.openxmlformats.org/markup-compatibility/2006">
          <mc:Choice Requires="x14">
            <control shapeId="69910" r:id="rId19" name="Check Box 1302">
              <controlPr defaultSize="0" autoFill="0" autoLine="0" autoPict="0" altText="">
                <anchor moveWithCells="1">
                  <from>
                    <xdr:col>1</xdr:col>
                    <xdr:colOff>0</xdr:colOff>
                    <xdr:row>58</xdr:row>
                    <xdr:rowOff>0</xdr:rowOff>
                  </from>
                  <to>
                    <xdr:col>2</xdr:col>
                    <xdr:colOff>0</xdr:colOff>
                    <xdr:row>58</xdr:row>
                    <xdr:rowOff>213360</xdr:rowOff>
                  </to>
                </anchor>
              </controlPr>
            </control>
          </mc:Choice>
        </mc:AlternateContent>
        <mc:AlternateContent xmlns:mc="http://schemas.openxmlformats.org/markup-compatibility/2006">
          <mc:Choice Requires="x14">
            <control shapeId="69911" r:id="rId20" name="Check Box 1303">
              <controlPr defaultSize="0" autoFill="0" autoLine="0" autoPict="0" altText="">
                <anchor moveWithCells="1">
                  <from>
                    <xdr:col>1</xdr:col>
                    <xdr:colOff>0</xdr:colOff>
                    <xdr:row>60</xdr:row>
                    <xdr:rowOff>0</xdr:rowOff>
                  </from>
                  <to>
                    <xdr:col>2</xdr:col>
                    <xdr:colOff>0</xdr:colOff>
                    <xdr:row>60</xdr:row>
                    <xdr:rowOff>213360</xdr:rowOff>
                  </to>
                </anchor>
              </controlPr>
            </control>
          </mc:Choice>
        </mc:AlternateContent>
        <mc:AlternateContent xmlns:mc="http://schemas.openxmlformats.org/markup-compatibility/2006">
          <mc:Choice Requires="x14">
            <control shapeId="69912" r:id="rId21" name="Check Box 1304">
              <controlPr defaultSize="0" autoFill="0" autoLine="0" autoPict="0" altText="">
                <anchor moveWithCells="1">
                  <from>
                    <xdr:col>1</xdr:col>
                    <xdr:colOff>0</xdr:colOff>
                    <xdr:row>62</xdr:row>
                    <xdr:rowOff>0</xdr:rowOff>
                  </from>
                  <to>
                    <xdr:col>2</xdr:col>
                    <xdr:colOff>0</xdr:colOff>
                    <xdr:row>62</xdr:row>
                    <xdr:rowOff>213360</xdr:rowOff>
                  </to>
                </anchor>
              </controlPr>
            </control>
          </mc:Choice>
        </mc:AlternateContent>
        <mc:AlternateContent xmlns:mc="http://schemas.openxmlformats.org/markup-compatibility/2006">
          <mc:Choice Requires="x14">
            <control shapeId="69913" r:id="rId22" name="Check Box 1305">
              <controlPr defaultSize="0" autoFill="0" autoLine="0" autoPict="0" altText="">
                <anchor moveWithCells="1">
                  <from>
                    <xdr:col>1</xdr:col>
                    <xdr:colOff>0</xdr:colOff>
                    <xdr:row>67</xdr:row>
                    <xdr:rowOff>0</xdr:rowOff>
                  </from>
                  <to>
                    <xdr:col>2</xdr:col>
                    <xdr:colOff>0</xdr:colOff>
                    <xdr:row>67</xdr:row>
                    <xdr:rowOff>213360</xdr:rowOff>
                  </to>
                </anchor>
              </controlPr>
            </control>
          </mc:Choice>
        </mc:AlternateContent>
        <mc:AlternateContent xmlns:mc="http://schemas.openxmlformats.org/markup-compatibility/2006">
          <mc:Choice Requires="x14">
            <control shapeId="69914" r:id="rId23" name="Check Box 1306">
              <controlPr defaultSize="0" autoFill="0" autoLine="0" autoPict="0" altText="">
                <anchor moveWithCells="1">
                  <from>
                    <xdr:col>1</xdr:col>
                    <xdr:colOff>0</xdr:colOff>
                    <xdr:row>69</xdr:row>
                    <xdr:rowOff>0</xdr:rowOff>
                  </from>
                  <to>
                    <xdr:col>2</xdr:col>
                    <xdr:colOff>0</xdr:colOff>
                    <xdr:row>69</xdr:row>
                    <xdr:rowOff>213360</xdr:rowOff>
                  </to>
                </anchor>
              </controlPr>
            </control>
          </mc:Choice>
        </mc:AlternateContent>
        <mc:AlternateContent xmlns:mc="http://schemas.openxmlformats.org/markup-compatibility/2006">
          <mc:Choice Requires="x14">
            <control shapeId="69915" r:id="rId24" name="Check Box 1307">
              <controlPr defaultSize="0" autoFill="0" autoLine="0" autoPict="0" altText="">
                <anchor moveWithCells="1">
                  <from>
                    <xdr:col>1</xdr:col>
                    <xdr:colOff>0</xdr:colOff>
                    <xdr:row>71</xdr:row>
                    <xdr:rowOff>0</xdr:rowOff>
                  </from>
                  <to>
                    <xdr:col>2</xdr:col>
                    <xdr:colOff>0</xdr:colOff>
                    <xdr:row>71</xdr:row>
                    <xdr:rowOff>213360</xdr:rowOff>
                  </to>
                </anchor>
              </controlPr>
            </control>
          </mc:Choice>
        </mc:AlternateContent>
        <mc:AlternateContent xmlns:mc="http://schemas.openxmlformats.org/markup-compatibility/2006">
          <mc:Choice Requires="x14">
            <control shapeId="69916" r:id="rId25" name="Check Box 1308">
              <controlPr defaultSize="0" autoFill="0" autoLine="0" autoPict="0" altText="">
                <anchor moveWithCells="1">
                  <from>
                    <xdr:col>1</xdr:col>
                    <xdr:colOff>0</xdr:colOff>
                    <xdr:row>76</xdr:row>
                    <xdr:rowOff>0</xdr:rowOff>
                  </from>
                  <to>
                    <xdr:col>2</xdr:col>
                    <xdr:colOff>0</xdr:colOff>
                    <xdr:row>77</xdr:row>
                    <xdr:rowOff>0</xdr:rowOff>
                  </to>
                </anchor>
              </controlPr>
            </control>
          </mc:Choice>
        </mc:AlternateContent>
        <mc:AlternateContent xmlns:mc="http://schemas.openxmlformats.org/markup-compatibility/2006">
          <mc:Choice Requires="x14">
            <control shapeId="69928" r:id="rId26" name="Check Box 1320">
              <controlPr defaultSize="0" autoFill="0" autoLine="0" autoPict="0" altText="">
                <anchor moveWithCells="1">
                  <from>
                    <xdr:col>1</xdr:col>
                    <xdr:colOff>0</xdr:colOff>
                    <xdr:row>78</xdr:row>
                    <xdr:rowOff>0</xdr:rowOff>
                  </from>
                  <to>
                    <xdr:col>2</xdr:col>
                    <xdr:colOff>0</xdr:colOff>
                    <xdr:row>79</xdr:row>
                    <xdr:rowOff>0</xdr:rowOff>
                  </to>
                </anchor>
              </controlPr>
            </control>
          </mc:Choice>
        </mc:AlternateContent>
        <mc:AlternateContent xmlns:mc="http://schemas.openxmlformats.org/markup-compatibility/2006">
          <mc:Choice Requires="x14">
            <control shapeId="69929" r:id="rId27" name="Check Box 1321">
              <controlPr defaultSize="0" autoFill="0" autoLine="0" autoPict="0" altText="">
                <anchor moveWithCells="1">
                  <from>
                    <xdr:col>1</xdr:col>
                    <xdr:colOff>0</xdr:colOff>
                    <xdr:row>80</xdr:row>
                    <xdr:rowOff>0</xdr:rowOff>
                  </from>
                  <to>
                    <xdr:col>2</xdr:col>
                    <xdr:colOff>0</xdr:colOff>
                    <xdr:row>81</xdr:row>
                    <xdr:rowOff>0</xdr:rowOff>
                  </to>
                </anchor>
              </controlPr>
            </control>
          </mc:Choice>
        </mc:AlternateContent>
        <mc:AlternateContent xmlns:mc="http://schemas.openxmlformats.org/markup-compatibility/2006">
          <mc:Choice Requires="x14">
            <control shapeId="69930" r:id="rId28" name="Check Box 1322">
              <controlPr defaultSize="0" autoFill="0" autoLine="0" autoPict="0" altText="">
                <anchor moveWithCells="1">
                  <from>
                    <xdr:col>1</xdr:col>
                    <xdr:colOff>0</xdr:colOff>
                    <xdr:row>85</xdr:row>
                    <xdr:rowOff>0</xdr:rowOff>
                  </from>
                  <to>
                    <xdr:col>2</xdr:col>
                    <xdr:colOff>0</xdr:colOff>
                    <xdr:row>85</xdr:row>
                    <xdr:rowOff>213360</xdr:rowOff>
                  </to>
                </anchor>
              </controlPr>
            </control>
          </mc:Choice>
        </mc:AlternateContent>
        <mc:AlternateContent xmlns:mc="http://schemas.openxmlformats.org/markup-compatibility/2006">
          <mc:Choice Requires="x14">
            <control shapeId="69931" r:id="rId29" name="Check Box 1323">
              <controlPr defaultSize="0" autoFill="0" autoLine="0" autoPict="0" altText="">
                <anchor moveWithCells="1">
                  <from>
                    <xdr:col>1</xdr:col>
                    <xdr:colOff>0</xdr:colOff>
                    <xdr:row>87</xdr:row>
                    <xdr:rowOff>0</xdr:rowOff>
                  </from>
                  <to>
                    <xdr:col>2</xdr:col>
                    <xdr:colOff>0</xdr:colOff>
                    <xdr:row>88</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62" id="{5B72C5A9-CB8D-4306-9744-215F86AB3726}">
            <xm:f>NOT(Projektgrundlagen!$I$24)</xm:f>
            <x14:dxf>
              <font>
                <strike/>
                <color theme="0" tint="-0.14996795556505021"/>
              </font>
              <fill>
                <patternFill>
                  <bgColor theme="0"/>
                </patternFill>
              </fill>
            </x14:dxf>
          </x14:cfRule>
          <xm:sqref>B41:B46</xm:sqref>
        </x14:conditionalFormatting>
        <x14:conditionalFormatting xmlns:xm="http://schemas.microsoft.com/office/excel/2006/main">
          <x14:cfRule type="expression" priority="1260" id="{D7CB9ED6-F092-4917-B539-F7936D50F54F}">
            <xm:f>NOT(Projektgrundlagen!$I$24)</xm:f>
            <x14:dxf>
              <font>
                <strike/>
                <color theme="0" tint="-0.14996795556505021"/>
              </font>
              <fill>
                <patternFill>
                  <bgColor theme="0"/>
                </patternFill>
              </fill>
            </x14:dxf>
          </x14:cfRule>
          <xm:sqref>B59:B64</xm:sqref>
        </x14:conditionalFormatting>
        <x14:conditionalFormatting xmlns:xm="http://schemas.microsoft.com/office/excel/2006/main">
          <x14:cfRule type="expression" priority="77" id="{5FC077F9-7220-499B-9559-9EB3C32CE2D8}">
            <xm:f>NOT(Projektgrundlagen!$I$24)</xm:f>
            <x14:dxf>
              <font>
                <strike/>
                <color theme="0" tint="-0.14996795556505021"/>
              </font>
              <fill>
                <patternFill>
                  <bgColor theme="0"/>
                </patternFill>
              </fill>
            </x14:dxf>
          </x14:cfRule>
          <xm:sqref>B78:B82</xm:sqref>
        </x14:conditionalFormatting>
        <x14:conditionalFormatting xmlns:xm="http://schemas.microsoft.com/office/excel/2006/main">
          <x14:cfRule type="expression" priority="109" id="{5808818D-12D3-41CF-87CC-C8C021691135}">
            <xm:f>NOT(Projektgrundlagen!$I$24)</xm:f>
            <x14:dxf>
              <font>
                <strike/>
                <color theme="0" tint="-0.14996795556505021"/>
              </font>
              <fill>
                <patternFill>
                  <bgColor theme="0"/>
                </patternFill>
              </fill>
            </x14:dxf>
          </x14:cfRule>
          <xm:sqref>B77:E77</xm:sqref>
        </x14:conditionalFormatting>
        <x14:conditionalFormatting xmlns:xm="http://schemas.microsoft.com/office/excel/2006/main">
          <x14:cfRule type="expression" priority="1" id="{D897ECA8-3BF1-41CB-845A-840190D55FEE}">
            <xm:f>NOT(Projektgrundlagen!$I$24)</xm:f>
            <x14:dxf>
              <font>
                <strike/>
                <color theme="0" tint="-0.14996795556505021"/>
              </font>
              <fill>
                <patternFill>
                  <bgColor theme="0"/>
                </patternFill>
              </fill>
            </x14:dxf>
          </x14:cfRule>
          <xm:sqref>B86:I89</xm:sqref>
        </x14:conditionalFormatting>
        <x14:conditionalFormatting xmlns:xm="http://schemas.microsoft.com/office/excel/2006/main">
          <x14:cfRule type="expression" priority="85" id="{3B8DE357-A3F6-4AE7-9D87-E48FB6793C47}">
            <xm:f>NOT(Projektgrundlagen!$I$24)</xm:f>
            <x14:dxf>
              <font>
                <strike/>
                <color theme="0" tint="-0.14996795556505021"/>
              </font>
              <fill>
                <patternFill>
                  <bgColor theme="0"/>
                </patternFill>
              </fill>
            </x14:dxf>
          </x14:cfRule>
          <xm:sqref>B14:K19 J41:K46 G43 G44:I46 J59:K64 G61 G62:I64 C81:K82 J87:K89</xm:sqref>
        </x14:conditionalFormatting>
        <x14:conditionalFormatting xmlns:xm="http://schemas.microsoft.com/office/excel/2006/main">
          <x14:cfRule type="expression" priority="43" id="{55ACE9D6-6273-4320-9E1F-6E1B2AF4564C}">
            <xm:f>NOT(Projektgrundlagen!$I$24)</xm:f>
            <x14:dxf>
              <font>
                <strike/>
                <color theme="0" tint="-0.14996795556505021"/>
              </font>
              <fill>
                <patternFill>
                  <bgColor theme="0"/>
                </patternFill>
              </fill>
            </x14:dxf>
          </x14:cfRule>
          <xm:sqref>B23:K28</xm:sqref>
        </x14:conditionalFormatting>
        <x14:conditionalFormatting xmlns:xm="http://schemas.microsoft.com/office/excel/2006/main">
          <x14:cfRule type="expression" priority="34" id="{EBB23A2E-B892-45F6-B0A1-0F413DA8D33B}">
            <xm:f>NOT(Projektgrundlagen!$I$24)</xm:f>
            <x14:dxf>
              <font>
                <strike/>
                <color theme="0" tint="-0.14996795556505021"/>
              </font>
              <fill>
                <patternFill>
                  <bgColor theme="0"/>
                </patternFill>
              </fill>
            </x14:dxf>
          </x14:cfRule>
          <xm:sqref>B32:K37</xm:sqref>
        </x14:conditionalFormatting>
        <x14:conditionalFormatting xmlns:xm="http://schemas.microsoft.com/office/excel/2006/main">
          <x14:cfRule type="expression" priority="21" id="{B8336808-A40B-42D7-81CC-D20FBEACD6AB}">
            <xm:f>NOT(Projektgrundlagen!$I$24)</xm:f>
            <x14:dxf>
              <font>
                <strike/>
                <color theme="0" tint="-0.14996795556505021"/>
              </font>
              <fill>
                <patternFill>
                  <bgColor theme="0"/>
                </patternFill>
              </fill>
            </x14:dxf>
          </x14:cfRule>
          <xm:sqref>B50:K55</xm:sqref>
        </x14:conditionalFormatting>
        <x14:conditionalFormatting xmlns:xm="http://schemas.microsoft.com/office/excel/2006/main">
          <x14:cfRule type="expression" priority="17" id="{30063354-F041-42C5-A2B9-586089AC89C6}">
            <xm:f>NOT(Projektgrundlagen!$I$24)</xm:f>
            <x14:dxf>
              <font>
                <strike/>
                <color theme="0" tint="-0.14996795556505021"/>
              </font>
              <fill>
                <patternFill>
                  <bgColor theme="0"/>
                </patternFill>
              </fill>
            </x14:dxf>
          </x14:cfRule>
          <xm:sqref>B68:K73</xm:sqref>
        </x14:conditionalFormatting>
        <x14:conditionalFormatting xmlns:xm="http://schemas.microsoft.com/office/excel/2006/main">
          <x14:cfRule type="expression" priority="78" id="{AF77EBD1-18A7-4E73-A22C-AAC3554B3696}">
            <xm:f>NOT(Projektgrundlagen!$I$24)</xm:f>
            <x14:dxf>
              <font>
                <strike/>
                <color theme="0" tint="-0.14996795556505021"/>
              </font>
              <fill>
                <patternFill>
                  <bgColor theme="0"/>
                </patternFill>
              </fill>
            </x14:dxf>
          </x14:cfRule>
          <xm:sqref>C78:E80</xm:sqref>
        </x14:conditionalFormatting>
        <x14:conditionalFormatting xmlns:xm="http://schemas.microsoft.com/office/excel/2006/main">
          <x14:cfRule type="expression" priority="384" id="{0F9F93E9-284F-4CAF-9CA2-CF4EAF6D318E}">
            <xm:f>NOT(Projektgrundlagen!$I$24)</xm:f>
            <x14:dxf>
              <font>
                <strike/>
                <color theme="0" tint="-0.14996795556505021"/>
              </font>
              <fill>
                <patternFill>
                  <bgColor theme="0"/>
                </patternFill>
              </fill>
            </x14:dxf>
          </x14:cfRule>
          <xm:sqref>C43:F46</xm:sqref>
        </x14:conditionalFormatting>
        <x14:conditionalFormatting xmlns:xm="http://schemas.microsoft.com/office/excel/2006/main">
          <x14:cfRule type="expression" priority="312" id="{E0D2F9C8-4720-444B-B4A9-3731EC1AB394}">
            <xm:f>NOT(Projektgrundlagen!$I$24)</xm:f>
            <x14:dxf>
              <font>
                <strike/>
                <color theme="0" tint="-0.14996795556505021"/>
              </font>
              <fill>
                <patternFill>
                  <bgColor theme="0"/>
                </patternFill>
              </fill>
            </x14:dxf>
          </x14:cfRule>
          <xm:sqref>C61:F64</xm:sqref>
        </x14:conditionalFormatting>
        <x14:conditionalFormatting xmlns:xm="http://schemas.microsoft.com/office/excel/2006/main">
          <x14:cfRule type="expression" priority="52" id="{1D15110F-31D0-400A-8E43-B6EBE86D3449}">
            <xm:f>NOT(Projektgrundlagen!$I$24)</xm:f>
            <x14:dxf>
              <font>
                <strike/>
                <color theme="0" tint="-0.14996795556505021"/>
              </font>
              <fill>
                <patternFill>
                  <bgColor theme="0"/>
                </patternFill>
              </fill>
            </x14:dxf>
          </x14:cfRule>
          <xm:sqref>C41:G42</xm:sqref>
        </x14:conditionalFormatting>
        <x14:conditionalFormatting xmlns:xm="http://schemas.microsoft.com/office/excel/2006/main">
          <x14:cfRule type="expression" priority="19" id="{F09EE56E-6A6F-4FCE-9622-8C424EFB4477}">
            <xm:f>NOT(Projektgrundlagen!$I$24)</xm:f>
            <x14:dxf>
              <font>
                <strike/>
                <color theme="0" tint="-0.14996795556505021"/>
              </font>
              <fill>
                <patternFill>
                  <bgColor theme="0"/>
                </patternFill>
              </fill>
            </x14:dxf>
          </x14:cfRule>
          <xm:sqref>C59:G60</xm:sqref>
        </x14:conditionalFormatting>
        <x14:conditionalFormatting xmlns:xm="http://schemas.microsoft.com/office/excel/2006/main">
          <x14:cfRule type="expression" priority="9" id="{C98347DB-0094-4308-B578-08CC190AC968}">
            <xm:f>NOT(Projektgrundlagen!$I$24)</xm:f>
            <x14:dxf>
              <font>
                <strike/>
                <color theme="0" tint="-0.14996795556505021"/>
              </font>
              <fill>
                <patternFill>
                  <bgColor theme="0"/>
                </patternFill>
              </fill>
            </x14:dxf>
          </x14:cfRule>
          <xm:sqref>F77:K80</xm:sqref>
        </x14:conditionalFormatting>
        <x14:conditionalFormatting xmlns:xm="http://schemas.microsoft.com/office/excel/2006/main">
          <x14:cfRule type="expression" priority="147" id="{81885A42-455C-42B0-9403-4BE4892E4CC1}">
            <xm:f>NOT(Projektgrundlagen!$I$24)</xm:f>
            <x14:dxf>
              <font>
                <strike/>
                <color theme="0" tint="-0.14996795556505021"/>
              </font>
              <fill>
                <patternFill>
                  <bgColor theme="0"/>
                </patternFill>
              </fill>
            </x14:dxf>
          </x14:cfRule>
          <xm:sqref>H41:I43</xm:sqref>
        </x14:conditionalFormatting>
        <x14:conditionalFormatting xmlns:xm="http://schemas.microsoft.com/office/excel/2006/main">
          <x14:cfRule type="expression" priority="116" id="{8D0A8290-A8C0-4C31-9F14-09D1CFC5E620}">
            <xm:f>NOT(Projektgrundlagen!$I$24)</xm:f>
            <x14:dxf>
              <font>
                <strike/>
                <color theme="0" tint="-0.14996795556505021"/>
              </font>
              <fill>
                <patternFill>
                  <bgColor theme="0"/>
                </patternFill>
              </fill>
            </x14:dxf>
          </x14:cfRule>
          <xm:sqref>H59:I61</xm:sqref>
        </x14:conditionalFormatting>
        <x14:conditionalFormatting xmlns:xm="http://schemas.microsoft.com/office/excel/2006/main">
          <x14:cfRule type="expression" priority="658" id="{C77E76EF-CCCA-4FA7-AFF6-057131368751}">
            <xm:f>NOT(Projektgrundlagen!$I$24)</xm:f>
            <x14:dxf>
              <font>
                <strike/>
                <color theme="0" tint="-0.14996795556505021"/>
              </font>
              <fill>
                <patternFill>
                  <bgColor theme="0"/>
                </patternFill>
              </fill>
            </x14:dxf>
          </x14:cfRule>
          <xm:sqref>J86:K86</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tabColor theme="9" tint="0.79998168889431442"/>
    <pageSetUpPr fitToPage="1"/>
  </sheetPr>
  <dimension ref="A1:P227"/>
  <sheetViews>
    <sheetView showGridLines="0" showRuler="0" topLeftCell="A68" zoomScaleNormal="100" zoomScaleSheetLayoutView="110" workbookViewId="0">
      <selection activeCell="J76" activeCellId="4" sqref="J14 J57 J63 J74 J76"/>
    </sheetView>
  </sheetViews>
  <sheetFormatPr baseColWidth="10" defaultColWidth="0" defaultRowHeight="16.8" zeroHeight="1"/>
  <cols>
    <col min="1" max="1" width="5.6640625" style="531" customWidth="1"/>
    <col min="2" max="2" width="3.33203125" style="94" customWidth="1"/>
    <col min="3" max="3" width="4.109375" style="94" customWidth="1"/>
    <col min="4" max="4" width="3.33203125" style="94" customWidth="1"/>
    <col min="5" max="5" width="2.6640625" style="94" customWidth="1"/>
    <col min="6" max="6" width="44.44140625" style="94" customWidth="1"/>
    <col min="7" max="7" width="12.33203125" style="94" customWidth="1"/>
    <col min="8" max="9" width="7.33203125" style="94" customWidth="1"/>
    <col min="10" max="10" width="12.33203125" style="94" customWidth="1"/>
    <col min="11" max="11" width="12.6640625" style="95" customWidth="1"/>
    <col min="12" max="12" width="2.6640625" style="126" customWidth="1"/>
    <col min="13" max="13" width="11.44140625" style="1891" hidden="1" customWidth="1"/>
    <col min="14" max="14" width="10.6640625" style="132" hidden="1" customWidth="1"/>
    <col min="15" max="16" width="0" style="132" hidden="1" customWidth="1"/>
    <col min="17" max="16384" width="10.6640625" style="132" hidden="1"/>
  </cols>
  <sheetData>
    <row r="1" spans="1:16"/>
    <row r="2" spans="1:16" s="129" customFormat="1" ht="16.5" customHeight="1">
      <c r="A2" s="469"/>
      <c r="B2" s="1515" t="str">
        <f>Projektgrundlagen!L20</f>
        <v xml:space="preserve">Objektplanung Gebäude </v>
      </c>
      <c r="C2" s="1515"/>
      <c r="D2" s="1515"/>
      <c r="E2" s="1515"/>
      <c r="F2" s="1515"/>
      <c r="G2" s="1516"/>
      <c r="H2" s="1635" t="str">
        <f>IF(Projektgrundlagen!F2="","",Projektgrundlagen!F2)</f>
        <v>VII.10.4</v>
      </c>
      <c r="I2" s="1599"/>
      <c r="J2" s="1599" t="s">
        <v>329</v>
      </c>
      <c r="K2" s="1600"/>
      <c r="L2" s="1728" t="s">
        <v>841</v>
      </c>
      <c r="M2" s="1892" t="s">
        <v>59</v>
      </c>
      <c r="P2" s="207" t="s">
        <v>169</v>
      </c>
    </row>
    <row r="3" spans="1:16" s="129" customFormat="1">
      <c r="A3" s="469"/>
      <c r="B3" s="1529" t="s">
        <v>474</v>
      </c>
      <c r="C3" s="1529"/>
      <c r="D3" s="1529"/>
      <c r="E3" s="1529"/>
      <c r="F3" s="1529"/>
      <c r="G3" s="1530"/>
      <c r="H3" s="1636" t="str">
        <f>IF(Projektgrundlagen!F3="","",Projektgrundlagen!F3)</f>
        <v>Vertrags-Nr.:</v>
      </c>
      <c r="I3" s="1637"/>
      <c r="J3" s="1632" t="str">
        <f>IF(Projektgrundlagen!G3="","",Projektgrundlagen!G3)</f>
        <v>000.792.717</v>
      </c>
      <c r="K3" s="1633"/>
      <c r="L3" s="1728"/>
      <c r="P3" s="129" t="str">
        <f ca="1">MID(CELL("dateiname",A2),FIND("]",CELL("dateiname",A2))+1,255)</f>
        <v>HB-D1 Besondere Lstg Land</v>
      </c>
    </row>
    <row r="4" spans="1:16" s="129" customFormat="1" ht="7.5" customHeight="1">
      <c r="A4" s="469"/>
      <c r="B4" s="373"/>
      <c r="C4" s="373"/>
      <c r="D4" s="373"/>
      <c r="E4" s="373"/>
      <c r="F4" s="373"/>
      <c r="G4" s="392"/>
      <c r="H4" s="146"/>
      <c r="I4" s="146"/>
      <c r="J4" s="189"/>
      <c r="K4" s="189"/>
      <c r="L4" s="1728"/>
    </row>
    <row r="5" spans="1:16" s="129" customFormat="1">
      <c r="A5" s="469"/>
      <c r="B5" s="1641" t="str">
        <f>IF(Projektgrundlagen!B5="","",Projektgrundlagen!B5)</f>
        <v>Maßnahmennr:</v>
      </c>
      <c r="C5" s="1642"/>
      <c r="D5" s="1642"/>
      <c r="E5" s="1642"/>
      <c r="F5" s="1707" t="str">
        <f>IF(Projektgrundlagen!E5="","",Projektgrundlagen!E5)</f>
        <v>B14HA150700001</v>
      </c>
      <c r="G5" s="1707"/>
      <c r="H5" s="1638" t="str">
        <f>IF(Projektgrundlagen!F5="","",Projektgrundlagen!F5)</f>
        <v>Vergabe-Nr.:</v>
      </c>
      <c r="I5" s="1638"/>
      <c r="J5" s="1607" t="str">
        <f>IF(Projektgrundlagen!G5="","",Projektgrundlagen!G5)</f>
        <v>26-004187</v>
      </c>
      <c r="K5" s="1634"/>
      <c r="L5" s="1728"/>
    </row>
    <row r="6" spans="1:16" s="129" customFormat="1">
      <c r="A6" s="469"/>
      <c r="B6" s="1643" t="str">
        <f>IF(Projektgrundlagen!B6="","",Projektgrundlagen!B6)</f>
        <v>Maßnahme:</v>
      </c>
      <c r="C6" s="1644"/>
      <c r="D6" s="1644"/>
      <c r="E6" s="1644"/>
      <c r="F6" s="1647" t="str">
        <f>IF(Projektgrundlagen!E6="","",Projektgrundlagen!E6)</f>
        <v>Neubau ASG TUM Campus Taufkirchen / Ottobrunn</v>
      </c>
      <c r="G6" s="1647"/>
      <c r="H6" s="1647"/>
      <c r="I6" s="1647"/>
      <c r="J6" s="1647"/>
      <c r="K6" s="1648"/>
      <c r="L6" s="1728"/>
    </row>
    <row r="7" spans="1:16" s="129" customFormat="1">
      <c r="A7" s="469"/>
      <c r="B7" s="1645" t="str">
        <f>IF(Projektgrundlagen!B7="","",Projektgrundlagen!B7)</f>
        <v/>
      </c>
      <c r="C7" s="1646"/>
      <c r="D7" s="1646"/>
      <c r="E7" s="1646"/>
      <c r="F7" s="1649" t="str">
        <f>IF(Projektgrundlagen!E7="","",Projektgrundlagen!E7)</f>
        <v/>
      </c>
      <c r="G7" s="1649"/>
      <c r="H7" s="1649"/>
      <c r="I7" s="1649"/>
      <c r="J7" s="1649"/>
      <c r="K7" s="1650"/>
      <c r="L7" s="1728"/>
    </row>
    <row r="8" spans="1:16" s="129" customFormat="1">
      <c r="A8" s="469"/>
      <c r="B8" s="1618" t="str">
        <f>IF(Projektgrundlagen!B8="","",Projektgrundlagen!B8)</f>
        <v>Bieter:</v>
      </c>
      <c r="C8" s="1619"/>
      <c r="D8" s="1619"/>
      <c r="E8" s="1619"/>
      <c r="F8" s="1708" t="str">
        <f>IF(Projektgrundlagen!E8="","",Projektgrundlagen!E8)</f>
        <v/>
      </c>
      <c r="G8" s="1708"/>
      <c r="H8" s="1708"/>
      <c r="I8" s="1708"/>
      <c r="J8" s="1708"/>
      <c r="K8" s="1709"/>
      <c r="L8" s="1728"/>
    </row>
    <row r="9" spans="1:16" s="129" customFormat="1">
      <c r="A9" s="469"/>
      <c r="B9" s="374"/>
      <c r="C9" s="353"/>
      <c r="D9" s="353"/>
      <c r="E9" s="374"/>
      <c r="F9" s="374"/>
      <c r="G9" s="374"/>
      <c r="H9" s="374"/>
      <c r="I9" s="374"/>
      <c r="J9" s="374"/>
      <c r="K9" s="374"/>
      <c r="L9" s="125"/>
    </row>
    <row r="10" spans="1:16" s="129" customFormat="1" ht="27" customHeight="1">
      <c r="A10" s="469"/>
      <c r="B10" s="1733" t="s">
        <v>856</v>
      </c>
      <c r="C10" s="1733"/>
      <c r="D10" s="1733"/>
      <c r="E10" s="1733"/>
      <c r="F10" s="1733"/>
      <c r="G10" s="793" t="s">
        <v>375</v>
      </c>
      <c r="H10" s="1735" t="s">
        <v>859</v>
      </c>
      <c r="I10" s="1736"/>
      <c r="J10" s="598" t="s">
        <v>376</v>
      </c>
      <c r="K10" s="597" t="s">
        <v>377</v>
      </c>
      <c r="L10" s="125"/>
      <c r="O10" s="937" t="s">
        <v>420</v>
      </c>
    </row>
    <row r="11" spans="1:16" s="129" customFormat="1" ht="27" customHeight="1">
      <c r="A11" s="469"/>
      <c r="B11" s="1734" t="str">
        <f>IF(Projektgrundlagen!I25,"","Besondere Leistungen Hochbau Land sind nicht Teil dieser Honorarermittlung!")</f>
        <v/>
      </c>
      <c r="C11" s="1734"/>
      <c r="D11" s="1734"/>
      <c r="E11" s="1734"/>
      <c r="F11" s="1734"/>
      <c r="G11" s="599"/>
      <c r="H11" s="796" t="str">
        <f>IF(AND('E Honorarberechnung'!I22=0,'E Honorarberechnung'!L14,NOT('E Honorarberechnung'!M14)),"Fehlende Angabe des Basishonorarsatzes!",IF(AND('E Honorarberechnung'!I23=0,'E Honorarberechnung'!M14,NOT('E Honorarberechnung'!L14)),"Fehlende Angabe des Honorarsatzes!",""))</f>
        <v/>
      </c>
      <c r="I11" s="797"/>
      <c r="J11" s="600"/>
      <c r="K11" s="596"/>
      <c r="L11" s="125"/>
      <c r="O11" s="1723">
        <f>IF(AND('E Honorarberechnung'!L14,NOT('E Honorarberechnung'!M14)),'E Honorarberechnung'!P36,IF(AND('E Honorarberechnung'!M14,NOT('E Honorarberechnung'!L14)),'E Honorarberechnung'!P36,""))</f>
        <v>5605210.5375046246</v>
      </c>
      <c r="P11" s="1723"/>
    </row>
    <row r="12" spans="1:16" ht="7.5" customHeight="1">
      <c r="B12" s="269"/>
      <c r="C12" s="1001"/>
      <c r="D12" s="176"/>
      <c r="E12" s="176"/>
      <c r="F12" s="173"/>
      <c r="G12" s="177"/>
      <c r="H12" s="173"/>
      <c r="I12" s="173"/>
      <c r="J12" s="178"/>
      <c r="K12" s="174"/>
    </row>
    <row r="13" spans="1:16" ht="22.65" customHeight="1">
      <c r="B13" s="585" t="s">
        <v>156</v>
      </c>
      <c r="C13" s="183"/>
      <c r="D13" s="183"/>
      <c r="E13" s="183"/>
      <c r="F13" s="183"/>
      <c r="G13" s="183"/>
      <c r="H13" s="541"/>
      <c r="I13" s="541"/>
      <c r="J13" s="586"/>
      <c r="K13" s="587"/>
      <c r="O13" s="429" t="s">
        <v>255</v>
      </c>
      <c r="P13" s="429" t="s">
        <v>257</v>
      </c>
    </row>
    <row r="14" spans="1:16" ht="17.399999999999999">
      <c r="B14" s="100"/>
      <c r="C14" s="1144" t="s">
        <v>43</v>
      </c>
      <c r="D14" s="939"/>
      <c r="E14" s="1893"/>
      <c r="F14" s="1894" t="s">
        <v>1058</v>
      </c>
      <c r="G14" s="1895" t="s">
        <v>1105</v>
      </c>
      <c r="H14" s="1896"/>
      <c r="I14" s="1897"/>
      <c r="J14" s="961"/>
      <c r="K14" s="440">
        <f>IF(M14,IF(O14,$O$11*H14%,IF(P14,J14)),"")</f>
        <v>0</v>
      </c>
      <c r="M14" s="1891" t="b">
        <v>1</v>
      </c>
      <c r="O14" s="132" t="b">
        <f>AND(M14,OR(AND(G14="",J14=""),G14="v.H.-Satz"))</f>
        <v>0</v>
      </c>
      <c r="P14" s="132" t="b">
        <f>AND(M14,OR(G14="",G14="pauschal"))</f>
        <v>1</v>
      </c>
    </row>
    <row r="15" spans="1:16" s="134" customFormat="1" ht="16.5" customHeight="1">
      <c r="A15" s="584"/>
      <c r="B15" s="188"/>
      <c r="C15" s="998"/>
      <c r="D15" s="672"/>
      <c r="E15" s="442"/>
      <c r="F15" s="1899"/>
      <c r="G15" s="1900"/>
      <c r="H15" s="970"/>
      <c r="I15" s="971"/>
      <c r="J15" s="1901"/>
      <c r="K15" s="447"/>
      <c r="L15" s="127"/>
    </row>
    <row r="16" spans="1:16" s="134" customFormat="1" ht="16.5" customHeight="1">
      <c r="A16" s="584"/>
      <c r="B16" s="188"/>
      <c r="C16" s="1501"/>
      <c r="D16" s="1500"/>
      <c r="E16" s="204"/>
      <c r="F16" s="1718" t="s">
        <v>1078</v>
      </c>
      <c r="G16" s="1719"/>
      <c r="H16" s="962"/>
      <c r="I16" s="963"/>
      <c r="J16" s="1900"/>
      <c r="K16" s="447"/>
      <c r="L16" s="127"/>
    </row>
    <row r="17" spans="1:12" s="134" customFormat="1" ht="16.5" customHeight="1">
      <c r="A17" s="584"/>
      <c r="B17" s="188"/>
      <c r="C17" s="1501"/>
      <c r="D17" s="1500"/>
      <c r="E17" s="1500"/>
      <c r="F17" s="1726" t="s">
        <v>1079</v>
      </c>
      <c r="G17" s="1727"/>
      <c r="H17" s="962"/>
      <c r="I17" s="963"/>
      <c r="J17" s="1900"/>
      <c r="K17" s="447"/>
      <c r="L17" s="127"/>
    </row>
    <row r="18" spans="1:12" s="134" customFormat="1" ht="16.5" customHeight="1">
      <c r="A18" s="584"/>
      <c r="B18" s="188"/>
      <c r="C18" s="1501"/>
      <c r="D18" s="1500"/>
      <c r="E18" s="204"/>
      <c r="F18" s="1724" t="s">
        <v>1095</v>
      </c>
      <c r="G18" s="1725"/>
      <c r="H18" s="962"/>
      <c r="I18" s="963"/>
      <c r="J18" s="1900"/>
      <c r="K18" s="447"/>
      <c r="L18" s="127"/>
    </row>
    <row r="19" spans="1:12" s="134" customFormat="1" ht="16.5" customHeight="1">
      <c r="A19" s="584"/>
      <c r="B19" s="188"/>
      <c r="C19" s="1501"/>
      <c r="D19" s="1500"/>
      <c r="E19" s="1500"/>
      <c r="F19" s="1505" t="s">
        <v>1096</v>
      </c>
      <c r="G19" s="1506"/>
      <c r="H19" s="962"/>
      <c r="I19" s="963"/>
      <c r="J19" s="1900"/>
      <c r="K19" s="447"/>
      <c r="L19" s="127"/>
    </row>
    <row r="20" spans="1:12" s="134" customFormat="1" ht="16.5" customHeight="1">
      <c r="A20" s="584"/>
      <c r="B20" s="188"/>
      <c r="C20" s="1501"/>
      <c r="D20" s="1500"/>
      <c r="E20" s="204"/>
      <c r="F20" s="1505" t="s">
        <v>1086</v>
      </c>
      <c r="G20" s="1506"/>
      <c r="H20" s="962"/>
      <c r="I20" s="963"/>
      <c r="J20" s="1900"/>
      <c r="K20" s="447"/>
      <c r="L20" s="127"/>
    </row>
    <row r="21" spans="1:12" s="134" customFormat="1" ht="16.5" customHeight="1">
      <c r="A21" s="584"/>
      <c r="B21" s="188"/>
      <c r="C21" s="1501"/>
      <c r="D21" s="1500"/>
      <c r="E21" s="1500"/>
      <c r="F21" s="1505" t="s">
        <v>1094</v>
      </c>
      <c r="G21" s="1506"/>
      <c r="H21" s="962"/>
      <c r="I21" s="963"/>
      <c r="J21" s="1900"/>
      <c r="K21" s="447"/>
      <c r="L21" s="127"/>
    </row>
    <row r="22" spans="1:12" s="134" customFormat="1" ht="16.5" customHeight="1">
      <c r="A22" s="584"/>
      <c r="B22" s="188"/>
      <c r="C22" s="1501"/>
      <c r="D22" s="1500"/>
      <c r="E22" s="204"/>
      <c r="F22" s="1724" t="s">
        <v>1086</v>
      </c>
      <c r="G22" s="1725"/>
      <c r="H22" s="962"/>
      <c r="I22" s="963"/>
      <c r="J22" s="1900"/>
      <c r="K22" s="447"/>
      <c r="L22" s="127"/>
    </row>
    <row r="23" spans="1:12" s="134" customFormat="1" ht="16.5" customHeight="1">
      <c r="A23" s="584"/>
      <c r="B23" s="188"/>
      <c r="C23" s="1501"/>
      <c r="D23" s="1500"/>
      <c r="E23" s="1500"/>
      <c r="F23" s="1729" t="s">
        <v>1092</v>
      </c>
      <c r="G23" s="1730"/>
      <c r="H23" s="962"/>
      <c r="I23" s="963"/>
      <c r="J23" s="1900"/>
      <c r="K23" s="447"/>
      <c r="L23" s="127"/>
    </row>
    <row r="24" spans="1:12" s="134" customFormat="1" ht="16.5" customHeight="1">
      <c r="A24" s="584"/>
      <c r="B24" s="188"/>
      <c r="C24" s="1501"/>
      <c r="D24" s="1500"/>
      <c r="E24" s="1500"/>
      <c r="F24" s="1505" t="s">
        <v>1093</v>
      </c>
      <c r="G24" s="1506"/>
      <c r="H24" s="962"/>
      <c r="I24" s="963"/>
      <c r="J24" s="1900"/>
      <c r="K24" s="447"/>
      <c r="L24" s="127"/>
    </row>
    <row r="25" spans="1:12" s="134" customFormat="1" ht="16.5" customHeight="1">
      <c r="A25" s="584"/>
      <c r="B25" s="188"/>
      <c r="C25" s="1501"/>
      <c r="D25" s="1500"/>
      <c r="E25" s="204"/>
      <c r="F25" s="1724" t="s">
        <v>1092</v>
      </c>
      <c r="G25" s="1725"/>
      <c r="H25" s="962"/>
      <c r="I25" s="963"/>
      <c r="J25" s="1900"/>
      <c r="K25" s="447"/>
      <c r="L25" s="127"/>
    </row>
    <row r="26" spans="1:12" s="134" customFormat="1" ht="16.5" customHeight="1">
      <c r="A26" s="584"/>
      <c r="B26" s="188"/>
      <c r="C26" s="1501"/>
      <c r="D26" s="1500"/>
      <c r="E26" s="204"/>
      <c r="F26" s="1726" t="s">
        <v>1074</v>
      </c>
      <c r="G26" s="1727"/>
      <c r="H26" s="962"/>
      <c r="I26" s="963"/>
      <c r="J26" s="1900"/>
      <c r="K26" s="447"/>
      <c r="L26" s="127"/>
    </row>
    <row r="27" spans="1:12" s="134" customFormat="1" ht="16.5" customHeight="1">
      <c r="A27" s="584"/>
      <c r="B27" s="188"/>
      <c r="C27" s="1501"/>
      <c r="D27" s="1500"/>
      <c r="E27" s="1388"/>
      <c r="F27" s="1718" t="s">
        <v>1075</v>
      </c>
      <c r="G27" s="1719"/>
      <c r="H27" s="962"/>
      <c r="I27" s="963"/>
      <c r="J27" s="1900"/>
      <c r="K27" s="447"/>
      <c r="L27" s="127"/>
    </row>
    <row r="28" spans="1:12" s="134" customFormat="1" ht="16.5" customHeight="1">
      <c r="A28" s="584"/>
      <c r="B28" s="188"/>
      <c r="C28" s="1501"/>
      <c r="D28" s="1500"/>
      <c r="E28" s="204"/>
      <c r="F28" s="1718" t="s">
        <v>1085</v>
      </c>
      <c r="G28" s="1719"/>
      <c r="H28" s="962"/>
      <c r="I28" s="963"/>
      <c r="J28" s="1900"/>
      <c r="K28" s="447"/>
      <c r="L28" s="127"/>
    </row>
    <row r="29" spans="1:12" s="134" customFormat="1" ht="16.5" customHeight="1">
      <c r="A29" s="584"/>
      <c r="B29" s="188"/>
      <c r="C29" s="1501"/>
      <c r="D29" s="1500"/>
      <c r="E29" s="204"/>
      <c r="F29" s="1718" t="s">
        <v>1073</v>
      </c>
      <c r="G29" s="1719"/>
      <c r="H29" s="962"/>
      <c r="I29" s="963"/>
      <c r="J29" s="1900"/>
      <c r="K29" s="447"/>
      <c r="L29" s="127"/>
    </row>
    <row r="30" spans="1:12" s="134" customFormat="1" ht="16.5" customHeight="1">
      <c r="A30" s="584"/>
      <c r="B30" s="188"/>
      <c r="C30" s="1501"/>
      <c r="D30" s="1388"/>
      <c r="E30" s="204"/>
      <c r="F30" s="1718" t="s">
        <v>1097</v>
      </c>
      <c r="G30" s="1719"/>
      <c r="H30" s="962"/>
      <c r="I30" s="963"/>
      <c r="J30" s="1900"/>
      <c r="K30" s="447"/>
      <c r="L30" s="127"/>
    </row>
    <row r="31" spans="1:12" s="134" customFormat="1" ht="16.5" customHeight="1">
      <c r="A31" s="584"/>
      <c r="B31" s="188"/>
      <c r="C31" s="1501"/>
      <c r="D31" s="1388"/>
      <c r="E31" s="204"/>
      <c r="F31" s="1718" t="s">
        <v>1098</v>
      </c>
      <c r="G31" s="1719"/>
      <c r="H31" s="962"/>
      <c r="I31" s="963"/>
      <c r="J31" s="1900"/>
      <c r="K31" s="447"/>
      <c r="L31" s="127"/>
    </row>
    <row r="32" spans="1:12" s="134" customFormat="1" ht="16.5" customHeight="1">
      <c r="A32" s="584"/>
      <c r="B32" s="188"/>
      <c r="C32" s="1501"/>
      <c r="D32" s="1388"/>
      <c r="E32" s="204"/>
      <c r="F32" s="1718" t="s">
        <v>1099</v>
      </c>
      <c r="G32" s="1719"/>
      <c r="H32" s="962"/>
      <c r="I32" s="963"/>
      <c r="J32" s="1900"/>
      <c r="K32" s="447"/>
      <c r="L32" s="127"/>
    </row>
    <row r="33" spans="1:16" s="134" customFormat="1" ht="16.5" customHeight="1">
      <c r="A33" s="584"/>
      <c r="B33" s="188"/>
      <c r="C33" s="1501"/>
      <c r="D33" s="1388"/>
      <c r="E33" s="204"/>
      <c r="F33" s="1718" t="s">
        <v>1100</v>
      </c>
      <c r="G33" s="1719"/>
      <c r="H33" s="962"/>
      <c r="I33" s="963"/>
      <c r="J33" s="1900"/>
      <c r="K33" s="447"/>
      <c r="L33" s="127"/>
    </row>
    <row r="34" spans="1:16" s="134" customFormat="1" ht="16.5" customHeight="1">
      <c r="A34" s="584"/>
      <c r="B34" s="188"/>
      <c r="C34" s="1501"/>
      <c r="D34" s="1388"/>
      <c r="E34" s="204"/>
      <c r="F34" s="1718" t="s">
        <v>1076</v>
      </c>
      <c r="G34" s="1719"/>
      <c r="H34" s="962"/>
      <c r="I34" s="963"/>
      <c r="J34" s="1900"/>
      <c r="K34" s="447"/>
      <c r="L34" s="127"/>
    </row>
    <row r="35" spans="1:16" s="134" customFormat="1" ht="16.5" customHeight="1">
      <c r="A35" s="584"/>
      <c r="B35" s="188"/>
      <c r="C35" s="1501"/>
      <c r="D35" s="1500"/>
      <c r="E35" s="204"/>
      <c r="F35" s="1718" t="s">
        <v>1083</v>
      </c>
      <c r="G35" s="1719"/>
      <c r="H35" s="962"/>
      <c r="I35" s="963"/>
      <c r="J35" s="1900"/>
      <c r="K35" s="447"/>
      <c r="L35" s="127"/>
    </row>
    <row r="36" spans="1:16" s="134" customFormat="1" ht="16.5" customHeight="1">
      <c r="A36" s="584"/>
      <c r="B36" s="188"/>
      <c r="C36" s="1501"/>
      <c r="D36" s="1388"/>
      <c r="E36" s="204"/>
      <c r="F36" s="1718" t="s">
        <v>1077</v>
      </c>
      <c r="G36" s="1719"/>
      <c r="H36" s="962"/>
      <c r="I36" s="963"/>
      <c r="J36" s="1900"/>
      <c r="K36" s="447"/>
      <c r="L36" s="127"/>
    </row>
    <row r="37" spans="1:16" s="134" customFormat="1" ht="16.5" customHeight="1">
      <c r="A37" s="584"/>
      <c r="B37" s="188"/>
      <c r="C37" s="1501"/>
      <c r="D37" s="1388"/>
      <c r="E37" s="442"/>
      <c r="F37" s="1718" t="s">
        <v>1080</v>
      </c>
      <c r="G37" s="1719"/>
      <c r="H37" s="962"/>
      <c r="I37" s="963"/>
      <c r="J37" s="1900"/>
      <c r="K37" s="447"/>
      <c r="L37" s="127"/>
    </row>
    <row r="38" spans="1:16" s="134" customFormat="1" ht="16.5" customHeight="1">
      <c r="A38" s="584"/>
      <c r="B38" s="188"/>
      <c r="C38" s="1501"/>
      <c r="D38" s="1388"/>
      <c r="E38" s="442"/>
      <c r="F38" s="1718" t="s">
        <v>1081</v>
      </c>
      <c r="G38" s="1719"/>
      <c r="H38" s="962"/>
      <c r="I38" s="963"/>
      <c r="J38" s="1900"/>
      <c r="K38" s="447"/>
      <c r="L38" s="127"/>
    </row>
    <row r="39" spans="1:16" s="134" customFormat="1" ht="16.5" customHeight="1">
      <c r="A39" s="584"/>
      <c r="B39" s="188"/>
      <c r="C39" s="998"/>
      <c r="D39" s="672"/>
      <c r="E39" s="204"/>
      <c r="F39" s="1718" t="s">
        <v>1082</v>
      </c>
      <c r="G39" s="1719"/>
      <c r="H39" s="962"/>
      <c r="I39" s="963"/>
      <c r="J39" s="1900"/>
      <c r="K39" s="447"/>
      <c r="L39" s="127"/>
    </row>
    <row r="40" spans="1:16" s="134" customFormat="1" ht="16.5" customHeight="1">
      <c r="A40" s="584"/>
      <c r="B40" s="188"/>
      <c r="C40" s="998"/>
      <c r="D40" s="672"/>
      <c r="E40" s="204"/>
      <c r="F40" s="1718" t="s">
        <v>1084</v>
      </c>
      <c r="G40" s="1719"/>
      <c r="H40" s="962"/>
      <c r="I40" s="963"/>
      <c r="J40" s="1900"/>
      <c r="K40" s="447"/>
      <c r="L40" s="127"/>
    </row>
    <row r="41" spans="1:16" s="134" customFormat="1" ht="16.5" customHeight="1">
      <c r="A41" s="584"/>
      <c r="B41" s="188"/>
      <c r="C41" s="998"/>
      <c r="D41" s="672"/>
      <c r="E41" s="204"/>
      <c r="F41" s="1718"/>
      <c r="G41" s="1719"/>
      <c r="H41" s="962"/>
      <c r="I41" s="963"/>
      <c r="J41" s="1900"/>
      <c r="K41" s="447"/>
      <c r="L41" s="127"/>
    </row>
    <row r="42" spans="1:16" s="134" customFormat="1" ht="16.5" customHeight="1">
      <c r="A42" s="584"/>
      <c r="B42" s="188"/>
      <c r="C42" s="998"/>
      <c r="D42" s="672"/>
      <c r="E42" s="204"/>
      <c r="F42" s="1718"/>
      <c r="G42" s="1719"/>
      <c r="H42" s="962"/>
      <c r="I42" s="963"/>
      <c r="J42" s="1900"/>
      <c r="K42" s="447"/>
      <c r="L42" s="127"/>
    </row>
    <row r="43" spans="1:16" s="134" customFormat="1" ht="16.5" customHeight="1">
      <c r="A43" s="584"/>
      <c r="B43" s="188"/>
      <c r="C43" s="998"/>
      <c r="D43" s="672"/>
      <c r="E43" s="442"/>
      <c r="F43" s="1899"/>
      <c r="G43" s="1900"/>
      <c r="H43" s="962"/>
      <c r="I43" s="963"/>
      <c r="J43" s="1900"/>
      <c r="K43" s="447"/>
      <c r="L43" s="127"/>
    </row>
    <row r="44" spans="1:16" ht="17.399999999999999">
      <c r="B44" s="100"/>
      <c r="C44" s="1157" t="s">
        <v>42</v>
      </c>
      <c r="D44" s="1504"/>
      <c r="E44" s="1902"/>
      <c r="F44" s="1903" t="s">
        <v>1059</v>
      </c>
      <c r="G44" s="1904"/>
      <c r="H44" s="1905"/>
      <c r="I44" s="1906"/>
      <c r="J44" s="1907"/>
      <c r="K44" s="439" t="str">
        <f>IF(M44,IF(O44,$O$11*H44%,IF(P44,J44)),"")</f>
        <v/>
      </c>
      <c r="M44" s="1891" t="b">
        <v>0</v>
      </c>
      <c r="O44" s="132" t="b">
        <f>AND(M44,OR(AND(G44="",J44=""),G44="v.H.-Satz"))</f>
        <v>0</v>
      </c>
      <c r="P44" s="132" t="b">
        <f>AND(M44,OR(G44="",G44="pauschal"))</f>
        <v>0</v>
      </c>
    </row>
    <row r="45" spans="1:16" s="134" customFormat="1" ht="16.5" customHeight="1">
      <c r="A45" s="584"/>
      <c r="B45" s="188"/>
      <c r="C45" s="1501"/>
      <c r="D45" s="1388"/>
      <c r="E45" s="442"/>
      <c r="F45" s="1908" t="s">
        <v>1087</v>
      </c>
      <c r="G45" s="1900"/>
      <c r="H45" s="965"/>
      <c r="I45" s="966"/>
      <c r="J45" s="1901"/>
      <c r="K45" s="446"/>
      <c r="L45" s="127"/>
    </row>
    <row r="46" spans="1:16" s="134" customFormat="1" ht="16.5" customHeight="1">
      <c r="A46" s="584"/>
      <c r="B46" s="188"/>
      <c r="C46" s="1501"/>
      <c r="D46" s="1388"/>
      <c r="E46" s="204"/>
      <c r="F46" s="1718" t="s">
        <v>1088</v>
      </c>
      <c r="G46" s="1719"/>
      <c r="H46" s="962"/>
      <c r="I46" s="963"/>
      <c r="J46" s="1900"/>
      <c r="K46" s="447"/>
      <c r="L46" s="127"/>
    </row>
    <row r="47" spans="1:16" s="134" customFormat="1" ht="16.5" customHeight="1">
      <c r="A47" s="584"/>
      <c r="B47" s="188"/>
      <c r="C47" s="1501"/>
      <c r="D47" s="1388"/>
      <c r="E47" s="204"/>
      <c r="F47" s="1718" t="s">
        <v>1089</v>
      </c>
      <c r="G47" s="1719"/>
      <c r="H47" s="962"/>
      <c r="I47" s="963"/>
      <c r="J47" s="1900"/>
      <c r="K47" s="447"/>
      <c r="L47" s="127"/>
    </row>
    <row r="48" spans="1:16" s="134" customFormat="1" ht="16.5" customHeight="1">
      <c r="A48" s="584"/>
      <c r="B48" s="188"/>
      <c r="C48" s="1501"/>
      <c r="D48" s="1388"/>
      <c r="E48" s="204"/>
      <c r="F48" s="1718" t="s">
        <v>1090</v>
      </c>
      <c r="G48" s="1719"/>
      <c r="H48" s="962"/>
      <c r="I48" s="963"/>
      <c r="J48" s="1900"/>
      <c r="K48" s="447"/>
      <c r="L48" s="127"/>
    </row>
    <row r="49" spans="1:16" s="134" customFormat="1" ht="16.5" customHeight="1">
      <c r="A49" s="584"/>
      <c r="B49" s="1503"/>
      <c r="C49" s="992"/>
      <c r="D49" s="673"/>
      <c r="E49" s="432"/>
      <c r="F49" s="1909"/>
      <c r="G49" s="1901"/>
      <c r="H49" s="965"/>
      <c r="I49" s="966"/>
      <c r="J49" s="1901"/>
      <c r="K49" s="446"/>
      <c r="L49" s="127"/>
    </row>
    <row r="50" spans="1:16" ht="27">
      <c r="B50" s="1502"/>
      <c r="C50" s="1143" t="s">
        <v>41</v>
      </c>
      <c r="D50" s="945"/>
      <c r="E50" s="1910"/>
      <c r="F50" s="1911" t="s">
        <v>1062</v>
      </c>
      <c r="G50" s="1912"/>
      <c r="H50" s="1913"/>
      <c r="I50" s="1914"/>
      <c r="J50" s="1915"/>
      <c r="K50" s="1349" t="str">
        <f>IF(M50,IF(O50,$O$11*H50%,IF(P50,J50)),"")</f>
        <v/>
      </c>
      <c r="M50" s="1891" t="b">
        <v>0</v>
      </c>
      <c r="O50" s="132" t="b">
        <f>AND(M50,OR(AND(G50="",J50=""),G50="v.H.-Satz"))</f>
        <v>0</v>
      </c>
      <c r="P50" s="132" t="b">
        <f>AND(M50,OR(G50="",G50="pauschal"))</f>
        <v>0</v>
      </c>
    </row>
    <row r="51" spans="1:16" s="134" customFormat="1" ht="16.5" customHeight="1" thickBot="1">
      <c r="A51" s="584"/>
      <c r="B51" s="188"/>
      <c r="C51" s="992"/>
      <c r="D51" s="674"/>
      <c r="E51" s="442"/>
      <c r="F51" s="1909"/>
      <c r="G51" s="1901"/>
      <c r="H51" s="965"/>
      <c r="I51" s="966"/>
      <c r="J51" s="1916"/>
      <c r="K51" s="446"/>
      <c r="L51" s="127"/>
    </row>
    <row r="52" spans="1:16" ht="22.65" customHeight="1" thickBot="1">
      <c r="B52" s="535"/>
      <c r="C52" s="1002" t="s">
        <v>10</v>
      </c>
      <c r="D52" s="592"/>
      <c r="E52" s="594"/>
      <c r="F52" s="427"/>
      <c r="G52" s="1679" t="s">
        <v>517</v>
      </c>
      <c r="H52" s="1679"/>
      <c r="I52" s="1679"/>
      <c r="J52" s="1713"/>
      <c r="K52" s="552">
        <f>IF(Projektgrundlagen!I25,IF(COUNT(K14:K51)&gt;0,SUM(K14:K51),""),0)</f>
        <v>0</v>
      </c>
    </row>
    <row r="53" spans="1:16">
      <c r="B53" s="241"/>
      <c r="C53" s="1003"/>
      <c r="D53" s="138"/>
      <c r="E53" s="138"/>
      <c r="F53" s="33"/>
      <c r="G53" s="139"/>
      <c r="H53" s="33"/>
      <c r="I53" s="33"/>
      <c r="J53" s="36"/>
      <c r="K53" s="174"/>
    </row>
    <row r="54" spans="1:16" ht="22.65" customHeight="1">
      <c r="B54" s="585" t="s">
        <v>157</v>
      </c>
      <c r="C54" s="183"/>
      <c r="D54" s="183"/>
      <c r="E54" s="183"/>
      <c r="F54" s="183"/>
      <c r="G54" s="183"/>
      <c r="H54" s="541"/>
      <c r="I54" s="541"/>
      <c r="J54" s="586"/>
      <c r="K54" s="588"/>
    </row>
    <row r="55" spans="1:16" ht="16.5" customHeight="1">
      <c r="B55" s="100"/>
      <c r="C55" s="1144" t="s">
        <v>40</v>
      </c>
      <c r="D55" s="939"/>
      <c r="E55" s="1893"/>
      <c r="F55" s="1917" t="s">
        <v>639</v>
      </c>
      <c r="G55" s="1895"/>
      <c r="H55" s="1896"/>
      <c r="I55" s="1897"/>
      <c r="J55" s="1898"/>
      <c r="K55" s="440" t="str">
        <f>IF(M55,IF(O55,$O$11*H55%,IF(P55,J55)),"")</f>
        <v/>
      </c>
      <c r="M55" s="1891" t="b">
        <v>0</v>
      </c>
      <c r="O55" s="132" t="b">
        <f>AND(M55,OR(AND(G55="",J55=""),G55="v.H.-Satz"))</f>
        <v>0</v>
      </c>
      <c r="P55" s="132" t="b">
        <f>AND(M55,OR(G55="",G55="pauschal"))</f>
        <v>0</v>
      </c>
    </row>
    <row r="56" spans="1:16" s="134" customFormat="1">
      <c r="A56" s="584"/>
      <c r="B56" s="188"/>
      <c r="C56" s="998"/>
      <c r="D56" s="672"/>
      <c r="E56" s="442"/>
      <c r="F56" s="1899"/>
      <c r="G56" s="1900"/>
      <c r="H56" s="962"/>
      <c r="I56" s="963"/>
      <c r="J56" s="1900"/>
      <c r="K56" s="447"/>
      <c r="L56" s="127"/>
    </row>
    <row r="57" spans="1:16" ht="17.399999999999999">
      <c r="B57" s="100"/>
      <c r="C57" s="1145" t="s">
        <v>39</v>
      </c>
      <c r="D57" s="941"/>
      <c r="E57" s="1902"/>
      <c r="F57" s="1918" t="s">
        <v>645</v>
      </c>
      <c r="G57" s="1904" t="s">
        <v>1105</v>
      </c>
      <c r="H57" s="1905"/>
      <c r="I57" s="1906"/>
      <c r="J57" s="964"/>
      <c r="K57" s="439">
        <f>IF(M57,IF(O57,$O$11*H57%,IF(P57,J57)),"")</f>
        <v>0</v>
      </c>
      <c r="M57" s="1891" t="b">
        <v>1</v>
      </c>
      <c r="O57" s="132" t="b">
        <f>AND(M57,OR(AND(G57="",J57=""),G57="v.H.-Satz"))</f>
        <v>0</v>
      </c>
      <c r="P57" s="132" t="b">
        <f>AND(M57,OR(G57="",G57="pauschal"))</f>
        <v>1</v>
      </c>
    </row>
    <row r="58" spans="1:16" s="134" customFormat="1" ht="66">
      <c r="A58" s="584"/>
      <c r="B58" s="188"/>
      <c r="C58" s="992"/>
      <c r="D58" s="673"/>
      <c r="E58" s="432"/>
      <c r="F58" s="676" t="s">
        <v>644</v>
      </c>
      <c r="G58" s="1901"/>
      <c r="H58" s="965"/>
      <c r="I58" s="966"/>
      <c r="J58" s="1901"/>
      <c r="K58" s="446"/>
      <c r="L58" s="127"/>
    </row>
    <row r="59" spans="1:16" ht="27">
      <c r="B59" s="100"/>
      <c r="C59" s="1143" t="s">
        <v>38</v>
      </c>
      <c r="D59" s="945"/>
      <c r="E59" s="1910"/>
      <c r="F59" s="1919" t="s">
        <v>1060</v>
      </c>
      <c r="G59" s="1912"/>
      <c r="H59" s="1913"/>
      <c r="I59" s="1914"/>
      <c r="J59" s="1915"/>
      <c r="K59" s="439" t="str">
        <f>IF(M59,IF(O59,$O$11*H59%,IF(P59,J59)),"")</f>
        <v/>
      </c>
      <c r="M59" s="1891" t="b">
        <v>0</v>
      </c>
      <c r="O59" s="132" t="b">
        <f>AND(M59,OR(AND(G59="",J59=""),G59="v.H.-Satz"))</f>
        <v>0</v>
      </c>
      <c r="P59" s="132" t="b">
        <f>AND(M59,OR(G59="",G59="pauschal"))</f>
        <v>0</v>
      </c>
    </row>
    <row r="60" spans="1:16" s="134" customFormat="1">
      <c r="A60" s="584"/>
      <c r="B60" s="188"/>
      <c r="C60" s="998"/>
      <c r="D60" s="672"/>
      <c r="E60" s="442"/>
      <c r="F60" s="1909"/>
      <c r="G60" s="1900"/>
      <c r="H60" s="962"/>
      <c r="I60" s="963"/>
      <c r="J60" s="1900"/>
      <c r="K60" s="446"/>
      <c r="L60" s="127"/>
    </row>
    <row r="61" spans="1:16" ht="17.399999999999999">
      <c r="B61" s="100"/>
      <c r="C61" s="1146" t="s">
        <v>196</v>
      </c>
      <c r="D61" s="941"/>
      <c r="E61" s="1902"/>
      <c r="F61" s="1919" t="s">
        <v>1061</v>
      </c>
      <c r="G61" s="1904"/>
      <c r="H61" s="1905"/>
      <c r="I61" s="1906"/>
      <c r="J61" s="1907"/>
      <c r="K61" s="439" t="str">
        <f>IF(M61,IF(O61,$O$11*H61%,IF(P61,J61)),"")</f>
        <v/>
      </c>
      <c r="M61" s="1891" t="b">
        <v>0</v>
      </c>
      <c r="O61" s="132" t="b">
        <f>AND(M61,OR(AND(G61="",J61=""),G61="v.H.-Satz"))</f>
        <v>0</v>
      </c>
      <c r="P61" s="132" t="b">
        <f>AND(M61,OR(G61="",G61="pauschal"))</f>
        <v>0</v>
      </c>
    </row>
    <row r="62" spans="1:16" s="134" customFormat="1">
      <c r="A62" s="584"/>
      <c r="B62" s="188"/>
      <c r="C62" s="992"/>
      <c r="D62" s="673"/>
      <c r="E62" s="432"/>
      <c r="F62" s="1909"/>
      <c r="G62" s="1901"/>
      <c r="H62" s="965"/>
      <c r="I62" s="966"/>
      <c r="J62" s="1901"/>
      <c r="K62" s="446"/>
      <c r="L62" s="127"/>
    </row>
    <row r="63" spans="1:16" ht="17.399999999999999">
      <c r="B63" s="100"/>
      <c r="C63" s="1156" t="s">
        <v>197</v>
      </c>
      <c r="D63" s="945"/>
      <c r="E63" s="1910"/>
      <c r="F63" s="1920" t="s">
        <v>1102</v>
      </c>
      <c r="G63" s="1912" t="s">
        <v>1105</v>
      </c>
      <c r="H63" s="1913"/>
      <c r="I63" s="1914"/>
      <c r="J63" s="967"/>
      <c r="K63" s="439">
        <f>IF(M63,IF(O63,$O$11*H63%,IF(P63,J63)),"")</f>
        <v>0</v>
      </c>
      <c r="M63" s="1891" t="b">
        <v>1</v>
      </c>
      <c r="O63" s="132" t="b">
        <f>AND(M63,OR(AND(G63="",J63=""),G63="v.H.-Satz"))</f>
        <v>0</v>
      </c>
      <c r="P63" s="132" t="b">
        <f>AND(M63,OR(G63="",G63="pauschal"))</f>
        <v>1</v>
      </c>
    </row>
    <row r="64" spans="1:16" s="134" customFormat="1" ht="17.399999999999999" thickBot="1">
      <c r="A64" s="584"/>
      <c r="B64" s="188"/>
      <c r="C64" s="992"/>
      <c r="D64" s="674"/>
      <c r="E64" s="442"/>
      <c r="F64" s="1909"/>
      <c r="G64" s="1901"/>
      <c r="H64" s="965"/>
      <c r="I64" s="966"/>
      <c r="J64" s="1916"/>
      <c r="K64" s="446"/>
      <c r="L64" s="127"/>
    </row>
    <row r="65" spans="1:16" ht="22.65" customHeight="1" thickBot="1">
      <c r="B65" s="535"/>
      <c r="C65" s="1002" t="s">
        <v>10</v>
      </c>
      <c r="D65" s="592"/>
      <c r="E65" s="594"/>
      <c r="F65" s="427"/>
      <c r="G65" s="1679" t="s">
        <v>518</v>
      </c>
      <c r="H65" s="1679"/>
      <c r="I65" s="1679"/>
      <c r="J65" s="1713"/>
      <c r="K65" s="552">
        <f>IF(Projektgrundlagen!I25,IF(COUNT(K55:K64)&gt;0,SUM(K55:K64),""),0)</f>
        <v>0</v>
      </c>
    </row>
    <row r="66" spans="1:16">
      <c r="B66" s="241"/>
      <c r="C66" s="1003"/>
      <c r="D66" s="138"/>
      <c r="E66" s="138"/>
      <c r="F66" s="33"/>
      <c r="G66" s="139"/>
      <c r="H66" s="33"/>
      <c r="I66" s="33"/>
      <c r="J66" s="36"/>
      <c r="K66" s="174"/>
    </row>
    <row r="67" spans="1:16" ht="22.65" customHeight="1">
      <c r="B67" s="585" t="s">
        <v>158</v>
      </c>
      <c r="C67" s="183"/>
      <c r="D67" s="183"/>
      <c r="E67" s="183"/>
      <c r="F67" s="183"/>
      <c r="G67" s="183"/>
      <c r="H67" s="541"/>
      <c r="I67" s="541"/>
      <c r="J67" s="586"/>
      <c r="K67" s="588"/>
    </row>
    <row r="68" spans="1:16" ht="17.399999999999999">
      <c r="B68" s="102"/>
      <c r="C68" s="1144" t="s">
        <v>37</v>
      </c>
      <c r="D68" s="939"/>
      <c r="E68" s="1893"/>
      <c r="F68" s="1918" t="s">
        <v>640</v>
      </c>
      <c r="G68" s="1895"/>
      <c r="H68" s="1896"/>
      <c r="I68" s="1897"/>
      <c r="J68" s="1898"/>
      <c r="K68" s="440" t="str">
        <f>IF(M68,IF(O68,$O$11*H68%,IF(P68,J68)),"")</f>
        <v/>
      </c>
      <c r="M68" s="1891" t="b">
        <v>0</v>
      </c>
      <c r="O68" s="132" t="b">
        <f>AND(M68,OR(AND(G68="",J68=""),G68="v.H.-Satz"))</f>
        <v>0</v>
      </c>
      <c r="P68" s="132" t="b">
        <f>AND(M68,OR(G68="",G68="pauschal"))</f>
        <v>0</v>
      </c>
    </row>
    <row r="69" spans="1:16" s="134" customFormat="1">
      <c r="A69" s="584"/>
      <c r="B69" s="267"/>
      <c r="C69" s="998"/>
      <c r="D69" s="672"/>
      <c r="E69" s="442"/>
      <c r="F69" s="676"/>
      <c r="G69" s="1900"/>
      <c r="H69" s="962"/>
      <c r="I69" s="963"/>
      <c r="J69" s="1900"/>
      <c r="K69" s="447"/>
      <c r="L69" s="127"/>
    </row>
    <row r="70" spans="1:16" ht="17.399999999999999">
      <c r="B70" s="102"/>
      <c r="C70" s="1145" t="s">
        <v>36</v>
      </c>
      <c r="D70" s="941"/>
      <c r="E70" s="1902"/>
      <c r="F70" s="1918" t="s">
        <v>641</v>
      </c>
      <c r="G70" s="1904"/>
      <c r="H70" s="1905"/>
      <c r="I70" s="1906"/>
      <c r="J70" s="1907"/>
      <c r="K70" s="439" t="str">
        <f>IF(M70,IF(O70,$O$11*H70%,IF(P70,J70)),"")</f>
        <v/>
      </c>
      <c r="M70" s="1891" t="b">
        <v>0</v>
      </c>
      <c r="O70" s="132" t="b">
        <f>AND(M70,OR(AND(G70="",J70=""),G70="v.H.-Satz"))</f>
        <v>0</v>
      </c>
      <c r="P70" s="132" t="b">
        <f>AND(M70,OR(G70="",G70="pauschal"))</f>
        <v>0</v>
      </c>
    </row>
    <row r="71" spans="1:16" s="134" customFormat="1" ht="105.6">
      <c r="A71" s="584"/>
      <c r="B71" s="267"/>
      <c r="C71" s="992"/>
      <c r="D71" s="673"/>
      <c r="E71" s="432"/>
      <c r="F71" s="676" t="s">
        <v>642</v>
      </c>
      <c r="G71" s="1901"/>
      <c r="H71" s="965"/>
      <c r="I71" s="966"/>
      <c r="J71" s="1901"/>
      <c r="K71" s="446"/>
      <c r="L71" s="127"/>
    </row>
    <row r="72" spans="1:16" ht="17.399999999999999">
      <c r="B72" s="102"/>
      <c r="C72" s="1146" t="s">
        <v>35</v>
      </c>
      <c r="D72" s="941"/>
      <c r="E72" s="1902"/>
      <c r="F72" s="1918" t="s">
        <v>645</v>
      </c>
      <c r="G72" s="1904"/>
      <c r="H72" s="1905"/>
      <c r="I72" s="1906"/>
      <c r="J72" s="1907"/>
      <c r="K72" s="439" t="str">
        <f>IF(M72,IF(O72,$O$11*H72%,IF(P72,J72)),"")</f>
        <v/>
      </c>
      <c r="M72" s="1891" t="b">
        <v>0</v>
      </c>
      <c r="O72" s="132" t="b">
        <f>AND(M72,OR(AND(G72="",J72=""),G72="v.H.-Satz"))</f>
        <v>0</v>
      </c>
      <c r="P72" s="132" t="b">
        <f>AND(M72,OR(G72="",G72="pauschal"))</f>
        <v>0</v>
      </c>
    </row>
    <row r="73" spans="1:16" s="134" customFormat="1" ht="66">
      <c r="A73" s="584"/>
      <c r="B73" s="267"/>
      <c r="C73" s="992"/>
      <c r="D73" s="673"/>
      <c r="E73" s="432"/>
      <c r="F73" s="676" t="s">
        <v>644</v>
      </c>
      <c r="G73" s="1901"/>
      <c r="H73" s="965"/>
      <c r="I73" s="966"/>
      <c r="J73" s="1901"/>
      <c r="K73" s="446"/>
      <c r="L73" s="127"/>
    </row>
    <row r="74" spans="1:16" ht="17.399999999999999">
      <c r="B74" s="102"/>
      <c r="C74" s="1146" t="s">
        <v>200</v>
      </c>
      <c r="D74" s="941"/>
      <c r="E74" s="1902"/>
      <c r="F74" s="1920" t="s">
        <v>1103</v>
      </c>
      <c r="G74" s="1904" t="s">
        <v>1105</v>
      </c>
      <c r="H74" s="1905"/>
      <c r="I74" s="1906"/>
      <c r="J74" s="964"/>
      <c r="K74" s="439">
        <f>IF(M74,IF(O74,$O$11*H74%,IF(P74,J74)),"")</f>
        <v>0</v>
      </c>
      <c r="M74" s="1891" t="b">
        <v>1</v>
      </c>
      <c r="O74" s="132" t="b">
        <f>AND(M74,OR(AND(G74="",J74=""),G74="v.H.-Satz"))</f>
        <v>0</v>
      </c>
      <c r="P74" s="132" t="b">
        <f>AND(M74,OR(G74="",G74="pauschal"))</f>
        <v>1</v>
      </c>
    </row>
    <row r="75" spans="1:16" s="134" customFormat="1" ht="26.4">
      <c r="A75" s="584"/>
      <c r="B75" s="267"/>
      <c r="C75" s="992"/>
      <c r="D75" s="673"/>
      <c r="E75" s="432"/>
      <c r="F75" s="1909" t="s">
        <v>1106</v>
      </c>
      <c r="G75" s="1901"/>
      <c r="H75" s="965"/>
      <c r="I75" s="966"/>
      <c r="J75" s="1901"/>
      <c r="K75" s="446"/>
      <c r="L75" s="127"/>
    </row>
    <row r="76" spans="1:16" ht="17.399999999999999">
      <c r="B76" s="102"/>
      <c r="C76" s="1156" t="s">
        <v>201</v>
      </c>
      <c r="D76" s="945"/>
      <c r="E76" s="1910"/>
      <c r="F76" s="1920" t="s">
        <v>1104</v>
      </c>
      <c r="G76" s="1912" t="s">
        <v>1105</v>
      </c>
      <c r="H76" s="1913"/>
      <c r="I76" s="1914"/>
      <c r="J76" s="967"/>
      <c r="K76" s="439">
        <f>IF(M76,IF(O76,$O$11*H76%,IF(P76,J76)),"")</f>
        <v>0</v>
      </c>
      <c r="M76" s="1891" t="b">
        <v>1</v>
      </c>
      <c r="O76" s="132" t="b">
        <f>AND(M76,OR(AND(G76="",J76=""),G76="v.H.-Satz"))</f>
        <v>0</v>
      </c>
      <c r="P76" s="132" t="b">
        <f>AND(M76,OR(G76="",G76="pauschal"))</f>
        <v>1</v>
      </c>
    </row>
    <row r="77" spans="1:16" s="134" customFormat="1" ht="27" thickBot="1">
      <c r="A77" s="584"/>
      <c r="B77" s="267"/>
      <c r="C77" s="992"/>
      <c r="D77" s="674"/>
      <c r="E77" s="442"/>
      <c r="F77" s="1909" t="s">
        <v>1107</v>
      </c>
      <c r="G77" s="1901"/>
      <c r="H77" s="965"/>
      <c r="I77" s="966"/>
      <c r="J77" s="1916"/>
      <c r="K77" s="446"/>
      <c r="L77" s="127"/>
    </row>
    <row r="78" spans="1:16" ht="22.65" customHeight="1" thickBot="1">
      <c r="B78" s="535"/>
      <c r="C78" s="1002" t="s">
        <v>10</v>
      </c>
      <c r="D78" s="592"/>
      <c r="E78" s="594"/>
      <c r="F78" s="427"/>
      <c r="G78" s="1679" t="s">
        <v>519</v>
      </c>
      <c r="H78" s="1679"/>
      <c r="I78" s="1679"/>
      <c r="J78" s="1713"/>
      <c r="K78" s="552">
        <f>IF(Projektgrundlagen!I25,IF(COUNT(K68:K77)&gt;0,SUM(K68:K77),""),0)</f>
        <v>0</v>
      </c>
    </row>
    <row r="79" spans="1:16">
      <c r="B79" s="241"/>
      <c r="C79" s="1003"/>
      <c r="D79" s="138"/>
      <c r="E79" s="138"/>
      <c r="F79" s="33"/>
      <c r="G79" s="139"/>
      <c r="H79" s="33"/>
      <c r="I79" s="33"/>
      <c r="J79" s="36"/>
      <c r="K79" s="174"/>
    </row>
    <row r="80" spans="1:16" ht="22.65" customHeight="1">
      <c r="B80" s="585" t="s">
        <v>159</v>
      </c>
      <c r="C80" s="183"/>
      <c r="D80" s="183"/>
      <c r="E80" s="183"/>
      <c r="F80" s="183"/>
      <c r="G80" s="589"/>
      <c r="H80" s="541"/>
      <c r="I80" s="541"/>
      <c r="J80" s="586"/>
      <c r="K80" s="588"/>
    </row>
    <row r="81" spans="1:16" ht="17.399999999999999">
      <c r="B81" s="100"/>
      <c r="C81" s="1144" t="s">
        <v>34</v>
      </c>
      <c r="D81" s="939"/>
      <c r="E81" s="1893"/>
      <c r="F81" s="1918" t="s">
        <v>609</v>
      </c>
      <c r="G81" s="1895"/>
      <c r="H81" s="1896"/>
      <c r="I81" s="1897"/>
      <c r="J81" s="1898"/>
      <c r="K81" s="440" t="str">
        <f>IF(M81,IF(O81,$O$11*H81%,IF(P81,J81)),"")</f>
        <v/>
      </c>
      <c r="M81" s="1891" t="b">
        <v>0</v>
      </c>
      <c r="O81" s="132" t="b">
        <f>AND(M81,OR(AND(G81="",J81=""),G81="v.H.-Satz"))</f>
        <v>0</v>
      </c>
      <c r="P81" s="132" t="b">
        <f>AND(M81,OR(G81="",G81="pauschal"))</f>
        <v>0</v>
      </c>
    </row>
    <row r="82" spans="1:16" s="134" customFormat="1" ht="132">
      <c r="A82" s="584"/>
      <c r="B82" s="188"/>
      <c r="C82" s="998"/>
      <c r="D82" s="672"/>
      <c r="E82" s="442"/>
      <c r="F82" s="676" t="s">
        <v>646</v>
      </c>
      <c r="G82" s="1900"/>
      <c r="H82" s="962"/>
      <c r="I82" s="963"/>
      <c r="J82" s="1900"/>
      <c r="K82" s="447"/>
      <c r="L82" s="127"/>
    </row>
    <row r="83" spans="1:16" ht="18" customHeight="1">
      <c r="B83" s="100"/>
      <c r="C83" s="1145" t="s">
        <v>222</v>
      </c>
      <c r="D83" s="941"/>
      <c r="E83" s="1902"/>
      <c r="F83" s="1921" t="s">
        <v>647</v>
      </c>
      <c r="G83" s="1904"/>
      <c r="H83" s="1905"/>
      <c r="I83" s="1906"/>
      <c r="J83" s="1907"/>
      <c r="K83" s="439" t="str">
        <f>IF(M83,IF(O83,$O$11*H83%,IF(P83,J83)),"")</f>
        <v/>
      </c>
      <c r="M83" s="1891" t="b">
        <v>0</v>
      </c>
      <c r="O83" s="132" t="b">
        <f>AND(M83,OR(AND(G83="",J83=""),G83="v.H.-Satz"))</f>
        <v>0</v>
      </c>
      <c r="P83" s="132" t="b">
        <f>AND(M83,OR(G83="",G83="pauschal"))</f>
        <v>0</v>
      </c>
    </row>
    <row r="84" spans="1:16" s="134" customFormat="1" ht="66">
      <c r="A84" s="584"/>
      <c r="B84" s="188"/>
      <c r="C84" s="992"/>
      <c r="D84" s="673"/>
      <c r="E84" s="432"/>
      <c r="F84" s="676" t="s">
        <v>610</v>
      </c>
      <c r="G84" s="1901"/>
      <c r="H84" s="965"/>
      <c r="I84" s="966"/>
      <c r="J84" s="1901"/>
      <c r="K84" s="446"/>
      <c r="L84" s="127"/>
    </row>
    <row r="85" spans="1:16" ht="16.5" customHeight="1">
      <c r="B85" s="100"/>
      <c r="C85" s="1143" t="s">
        <v>50</v>
      </c>
      <c r="D85" s="945"/>
      <c r="E85" s="1910"/>
      <c r="F85" s="1918" t="s">
        <v>648</v>
      </c>
      <c r="G85" s="1912"/>
      <c r="H85" s="1913"/>
      <c r="I85" s="1914"/>
      <c r="J85" s="1915"/>
      <c r="K85" s="439" t="str">
        <f>IF(M85,IF(O85,$O$11*H85%,IF(P85,J85)),"")</f>
        <v/>
      </c>
      <c r="M85" s="1891" t="b">
        <v>0</v>
      </c>
      <c r="O85" s="132" t="b">
        <f>AND(M85,OR(AND(G85="",J85=""),G85="v.H.-Satz"))</f>
        <v>0</v>
      </c>
      <c r="P85" s="132" t="b">
        <f>AND(M85,OR(G85="",G85="pauschal"))</f>
        <v>0</v>
      </c>
    </row>
    <row r="86" spans="1:16" s="134" customFormat="1" ht="92.4">
      <c r="A86" s="584"/>
      <c r="B86" s="188"/>
      <c r="C86" s="998"/>
      <c r="D86" s="672"/>
      <c r="E86" s="442"/>
      <c r="F86" s="676" t="s">
        <v>649</v>
      </c>
      <c r="G86" s="1900"/>
      <c r="H86" s="962"/>
      <c r="I86" s="963"/>
      <c r="J86" s="1900"/>
      <c r="K86" s="447"/>
      <c r="L86" s="127"/>
    </row>
    <row r="87" spans="1:16" ht="17.399999999999999">
      <c r="B87" s="100"/>
      <c r="C87" s="1146" t="s">
        <v>223</v>
      </c>
      <c r="D87" s="941"/>
      <c r="E87" s="1902"/>
      <c r="F87" s="1918" t="s">
        <v>650</v>
      </c>
      <c r="G87" s="1904"/>
      <c r="H87" s="1905"/>
      <c r="I87" s="1906"/>
      <c r="J87" s="1907"/>
      <c r="K87" s="439" t="str">
        <f>IF(M87,IF(O87,$O$11*H87%,IF(P87,J87)),"")</f>
        <v/>
      </c>
      <c r="M87" s="1891" t="b">
        <v>0</v>
      </c>
      <c r="O87" s="132" t="b">
        <f>AND(M87,OR(AND(G87="",J87=""),G87="v.H.-Satz"))</f>
        <v>0</v>
      </c>
      <c r="P87" s="132" t="b">
        <f>AND(M87,OR(G87="",G87="pauschal"))</f>
        <v>0</v>
      </c>
    </row>
    <row r="88" spans="1:16" s="134" customFormat="1" ht="39.6">
      <c r="A88" s="584"/>
      <c r="B88" s="188"/>
      <c r="C88" s="992"/>
      <c r="D88" s="673"/>
      <c r="E88" s="432"/>
      <c r="F88" s="676" t="s">
        <v>651</v>
      </c>
      <c r="G88" s="1901"/>
      <c r="H88" s="965"/>
      <c r="I88" s="966"/>
      <c r="J88" s="1901"/>
      <c r="K88" s="446"/>
      <c r="L88" s="127"/>
    </row>
    <row r="89" spans="1:16" ht="17.399999999999999">
      <c r="B89" s="100"/>
      <c r="C89" s="1146" t="s">
        <v>224</v>
      </c>
      <c r="D89" s="941"/>
      <c r="E89" s="1902"/>
      <c r="F89" s="1918" t="s">
        <v>650</v>
      </c>
      <c r="G89" s="1904"/>
      <c r="H89" s="1905"/>
      <c r="I89" s="1906"/>
      <c r="J89" s="1907"/>
      <c r="K89" s="439" t="str">
        <f>IF(M89,IF(O89,$O$11*H89%,IF(P89,J89)),"")</f>
        <v/>
      </c>
      <c r="M89" s="1891" t="b">
        <v>0</v>
      </c>
      <c r="O89" s="132" t="b">
        <f>AND(M89,OR(AND(G89="",J89=""),G89="v.H.-Satz"))</f>
        <v>0</v>
      </c>
      <c r="P89" s="132" t="b">
        <f>AND(M89,OR(G89="",G89="pauschal"))</f>
        <v>0</v>
      </c>
    </row>
    <row r="90" spans="1:16" s="134" customFormat="1" ht="39.6">
      <c r="A90" s="584"/>
      <c r="B90" s="188"/>
      <c r="C90" s="992"/>
      <c r="D90" s="673"/>
      <c r="E90" s="432"/>
      <c r="F90" s="676" t="s">
        <v>652</v>
      </c>
      <c r="G90" s="1901"/>
      <c r="H90" s="965"/>
      <c r="I90" s="966"/>
      <c r="J90" s="1901"/>
      <c r="K90" s="446"/>
      <c r="L90" s="127"/>
    </row>
    <row r="91" spans="1:16" ht="17.399999999999999">
      <c r="B91" s="100"/>
      <c r="C91" s="1156" t="s">
        <v>397</v>
      </c>
      <c r="D91" s="945"/>
      <c r="E91" s="1910"/>
      <c r="F91" s="1918" t="s">
        <v>653</v>
      </c>
      <c r="G91" s="1912"/>
      <c r="H91" s="1913"/>
      <c r="I91" s="1914"/>
      <c r="J91" s="1915"/>
      <c r="K91" s="439" t="str">
        <f>IF(M91,IF(O91,$O$11*H91%,IF(P91,J91)),"")</f>
        <v/>
      </c>
      <c r="M91" s="1891" t="b">
        <v>0</v>
      </c>
      <c r="O91" s="132" t="b">
        <f>AND(M91,OR(AND(G91="",J91=""),G91="v.H.-Satz"))</f>
        <v>0</v>
      </c>
      <c r="P91" s="132" t="b">
        <f>AND(M91,OR(G91="",G91="pauschal"))</f>
        <v>0</v>
      </c>
    </row>
    <row r="92" spans="1:16" s="134" customFormat="1" ht="39.6">
      <c r="A92" s="584"/>
      <c r="B92" s="188"/>
      <c r="C92" s="998"/>
      <c r="D92" s="672"/>
      <c r="E92" s="442"/>
      <c r="F92" s="676" t="s">
        <v>654</v>
      </c>
      <c r="G92" s="1900"/>
      <c r="H92" s="962"/>
      <c r="I92" s="963"/>
      <c r="J92" s="1900"/>
      <c r="K92" s="447"/>
      <c r="L92" s="127"/>
    </row>
    <row r="93" spans="1:16" ht="17.399999999999999">
      <c r="B93" s="100"/>
      <c r="C93" s="1146" t="s">
        <v>398</v>
      </c>
      <c r="D93" s="941"/>
      <c r="E93" s="1902"/>
      <c r="F93" s="1918" t="s">
        <v>616</v>
      </c>
      <c r="G93" s="1904"/>
      <c r="H93" s="1905"/>
      <c r="I93" s="1906"/>
      <c r="J93" s="1907"/>
      <c r="K93" s="439" t="str">
        <f>IF(M93,IF(O93,$O$11*H93%,IF(P93,J93)),"")</f>
        <v/>
      </c>
      <c r="M93" s="1891" t="b">
        <v>0</v>
      </c>
      <c r="O93" s="132" t="b">
        <f>AND(M93,OR(AND(G93="",J93=""),G93="v.H.-Satz"))</f>
        <v>0</v>
      </c>
      <c r="P93" s="132" t="b">
        <f>AND(M93,OR(G93="",G93="pauschal"))</f>
        <v>0</v>
      </c>
    </row>
    <row r="94" spans="1:16" s="134" customFormat="1" ht="39.6">
      <c r="A94" s="584"/>
      <c r="B94" s="188"/>
      <c r="C94" s="992"/>
      <c r="D94" s="673"/>
      <c r="E94" s="432"/>
      <c r="F94" s="676" t="s">
        <v>655</v>
      </c>
      <c r="G94" s="1901"/>
      <c r="H94" s="965"/>
      <c r="I94" s="966"/>
      <c r="J94" s="1901"/>
      <c r="K94" s="446"/>
      <c r="L94" s="127"/>
    </row>
    <row r="95" spans="1:16" ht="17.399999999999999">
      <c r="B95" s="100"/>
      <c r="C95" s="1146" t="s">
        <v>400</v>
      </c>
      <c r="D95" s="941"/>
      <c r="E95" s="1902"/>
      <c r="F95" s="1918"/>
      <c r="G95" s="1904"/>
      <c r="H95" s="1905"/>
      <c r="I95" s="1906"/>
      <c r="J95" s="1907"/>
      <c r="K95" s="439" t="str">
        <f>IF(M95,IF(O95,$O$11*H95%,IF(P95,J95)),"")</f>
        <v/>
      </c>
      <c r="M95" s="1891" t="b">
        <v>0</v>
      </c>
      <c r="O95" s="132" t="b">
        <f>AND(M95,OR(AND(G95="",J95=""),G95="v.H.-Satz"))</f>
        <v>0</v>
      </c>
      <c r="P95" s="132" t="b">
        <f>AND(M95,OR(G95="",G95="pauschal"))</f>
        <v>0</v>
      </c>
    </row>
    <row r="96" spans="1:16" s="134" customFormat="1">
      <c r="A96" s="584"/>
      <c r="B96" s="188"/>
      <c r="C96" s="992"/>
      <c r="D96" s="673"/>
      <c r="E96" s="432"/>
      <c r="F96" s="676"/>
      <c r="G96" s="1901"/>
      <c r="H96" s="965"/>
      <c r="I96" s="966"/>
      <c r="J96" s="1901"/>
      <c r="K96" s="446"/>
      <c r="L96" s="127"/>
    </row>
    <row r="97" spans="1:16" ht="17.399999999999999">
      <c r="B97" s="100"/>
      <c r="C97" s="1156" t="s">
        <v>399</v>
      </c>
      <c r="D97" s="945"/>
      <c r="E97" s="1910"/>
      <c r="F97" s="1920"/>
      <c r="G97" s="1912"/>
      <c r="H97" s="1913"/>
      <c r="I97" s="1914"/>
      <c r="J97" s="1915"/>
      <c r="K97" s="439" t="str">
        <f>IF(M97,IF(O97,$O$11*H97%,IF(P97,J97)),"")</f>
        <v/>
      </c>
      <c r="M97" s="1891" t="b">
        <v>0</v>
      </c>
      <c r="O97" s="132" t="b">
        <f>AND(M97,OR(AND(G97="",J97=""),G97="v.H.-Satz"))</f>
        <v>0</v>
      </c>
      <c r="P97" s="132" t="b">
        <f>AND(M97,OR(G97="",G97="pauschal"))</f>
        <v>0</v>
      </c>
    </row>
    <row r="98" spans="1:16" s="134" customFormat="1">
      <c r="A98" s="584"/>
      <c r="B98" s="188"/>
      <c r="C98" s="998"/>
      <c r="D98" s="672"/>
      <c r="E98" s="442"/>
      <c r="F98" s="1909"/>
      <c r="G98" s="1900"/>
      <c r="H98" s="962"/>
      <c r="I98" s="963"/>
      <c r="J98" s="1900"/>
      <c r="K98" s="447"/>
      <c r="L98" s="127"/>
    </row>
    <row r="99" spans="1:16" ht="17.399999999999999">
      <c r="B99" s="100"/>
      <c r="C99" s="1146" t="s">
        <v>434</v>
      </c>
      <c r="D99" s="941"/>
      <c r="E99" s="1902"/>
      <c r="F99" s="1920"/>
      <c r="G99" s="1904"/>
      <c r="H99" s="1905"/>
      <c r="I99" s="1906"/>
      <c r="J99" s="1907"/>
      <c r="K99" s="439" t="str">
        <f>IF(M99,IF(O99,$O$11*H99%,IF(P99,J99)),"")</f>
        <v/>
      </c>
      <c r="M99" s="1891" t="b">
        <v>0</v>
      </c>
      <c r="O99" s="132" t="b">
        <f>AND(M99,OR(AND(G99="",J99=""),G99="v.H.-Satz"))</f>
        <v>0</v>
      </c>
      <c r="P99" s="132" t="b">
        <f>AND(M99,OR(G99="",G99="pauschal"))</f>
        <v>0</v>
      </c>
    </row>
    <row r="100" spans="1:16" s="134" customFormat="1">
      <c r="A100" s="584"/>
      <c r="B100" s="188"/>
      <c r="C100" s="992"/>
      <c r="D100" s="673"/>
      <c r="E100" s="432"/>
      <c r="F100" s="1909"/>
      <c r="G100" s="1901"/>
      <c r="H100" s="965"/>
      <c r="I100" s="966"/>
      <c r="J100" s="1901"/>
      <c r="K100" s="446"/>
      <c r="L100" s="127"/>
    </row>
    <row r="101" spans="1:16" ht="17.399999999999999">
      <c r="B101" s="100"/>
      <c r="C101" s="1156" t="s">
        <v>643</v>
      </c>
      <c r="D101" s="945"/>
      <c r="E101" s="1910"/>
      <c r="F101" s="1920"/>
      <c r="G101" s="1912"/>
      <c r="H101" s="1913"/>
      <c r="I101" s="1914"/>
      <c r="J101" s="1915"/>
      <c r="K101" s="439" t="str">
        <f>IF(M101,IF(O101,$O$11*H101%,IF(P101,J101)),"")</f>
        <v/>
      </c>
      <c r="M101" s="1891" t="b">
        <v>0</v>
      </c>
      <c r="O101" s="132" t="b">
        <f>AND(M101,OR(AND(G101="",J101=""),G101="v.H.-Satz"))</f>
        <v>0</v>
      </c>
      <c r="P101" s="132" t="b">
        <f>AND(M101,OR(G101="",G101="pauschal"))</f>
        <v>0</v>
      </c>
    </row>
    <row r="102" spans="1:16" s="134" customFormat="1" ht="17.399999999999999" thickBot="1">
      <c r="A102" s="584"/>
      <c r="B102" s="188"/>
      <c r="C102" s="992"/>
      <c r="D102" s="674"/>
      <c r="E102" s="442"/>
      <c r="F102" s="1909"/>
      <c r="G102" s="1901"/>
      <c r="H102" s="965"/>
      <c r="I102" s="966"/>
      <c r="J102" s="1916"/>
      <c r="K102" s="446"/>
      <c r="L102" s="127"/>
    </row>
    <row r="103" spans="1:16" ht="22.65" customHeight="1" thickBot="1">
      <c r="B103" s="595"/>
      <c r="C103" s="1002" t="s">
        <v>10</v>
      </c>
      <c r="D103" s="592"/>
      <c r="E103" s="594"/>
      <c r="F103" s="427"/>
      <c r="G103" s="1679" t="s">
        <v>1026</v>
      </c>
      <c r="H103" s="1679"/>
      <c r="I103" s="1679"/>
      <c r="J103" s="1713"/>
      <c r="K103" s="552" t="str">
        <f>IF(Projektgrundlagen!I25,IF(COUNT(K80:K102)&gt;0,SUM(K80:K102),""),0)</f>
        <v/>
      </c>
    </row>
    <row r="104" spans="1:16" s="1365" customFormat="1" ht="16.5" customHeight="1">
      <c r="A104" s="1362"/>
      <c r="B104" s="1367"/>
      <c r="C104" s="1368"/>
      <c r="D104" s="1369"/>
      <c r="E104" s="1370"/>
      <c r="F104" s="1371"/>
      <c r="G104" s="1372"/>
      <c r="H104" s="1372"/>
      <c r="I104" s="1372"/>
      <c r="J104" s="1372"/>
      <c r="K104" s="1363"/>
      <c r="L104" s="1364"/>
      <c r="M104" s="1922"/>
    </row>
    <row r="105" spans="1:16" ht="22.65" hidden="1" customHeight="1" thickBot="1">
      <c r="B105" s="1378"/>
      <c r="C105" s="1379" t="s">
        <v>10</v>
      </c>
      <c r="D105" s="1380"/>
      <c r="E105" s="1381"/>
      <c r="F105" s="1721" t="s">
        <v>1025</v>
      </c>
      <c r="G105" s="1923"/>
      <c r="H105" s="1923"/>
      <c r="I105" s="1923"/>
      <c r="J105" s="1924"/>
      <c r="K105" s="1282">
        <f>'HB-D2 Besondere Lstg BS'!K81</f>
        <v>0</v>
      </c>
    </row>
    <row r="106" spans="1:16" ht="22.65" hidden="1" customHeight="1" thickBot="1">
      <c r="B106" s="1382"/>
      <c r="C106" s="1383" t="s">
        <v>10</v>
      </c>
      <c r="D106" s="1384"/>
      <c r="E106" s="1385"/>
      <c r="F106" s="1386"/>
      <c r="G106" s="1720" t="s">
        <v>1028</v>
      </c>
      <c r="H106" s="1720"/>
      <c r="I106" s="1720"/>
      <c r="J106" s="1722"/>
      <c r="K106" s="1387">
        <f>IF(Projektgrundlagen!I25,IF(COUNT(K103:K105)&gt;0,SUM(K103:K105),""),0)</f>
        <v>0</v>
      </c>
    </row>
    <row r="107" spans="1:16"/>
    <row r="108" spans="1:16" hidden="1">
      <c r="B108" s="1366"/>
      <c r="C108" s="1366"/>
      <c r="D108" s="889"/>
      <c r="E108" s="889"/>
      <c r="F108" s="890"/>
      <c r="G108" s="891"/>
      <c r="H108" s="890"/>
      <c r="I108" s="890"/>
      <c r="J108" s="892"/>
      <c r="K108" s="174"/>
    </row>
    <row r="109" spans="1:16" ht="22.65" customHeight="1">
      <c r="B109" s="585" t="s">
        <v>160</v>
      </c>
      <c r="C109" s="183"/>
      <c r="D109" s="183"/>
      <c r="E109" s="183"/>
      <c r="F109" s="183"/>
      <c r="G109" s="589"/>
      <c r="H109" s="541"/>
      <c r="I109" s="541"/>
      <c r="J109" s="586"/>
      <c r="K109" s="588"/>
    </row>
    <row r="110" spans="1:16" ht="16.5" customHeight="1">
      <c r="B110" s="96"/>
      <c r="C110" s="1144" t="s">
        <v>33</v>
      </c>
      <c r="D110" s="939"/>
      <c r="E110" s="1893"/>
      <c r="F110" s="1918" t="s">
        <v>656</v>
      </c>
      <c r="G110" s="1895"/>
      <c r="H110" s="1896"/>
      <c r="I110" s="1897"/>
      <c r="J110" s="1898"/>
      <c r="K110" s="440" t="str">
        <f>IF(M110,IF(O110,$O$11*H110%,IF(P110,J110)),"")</f>
        <v/>
      </c>
      <c r="M110" s="1891" t="b">
        <v>0</v>
      </c>
      <c r="O110" s="132" t="b">
        <f>AND(M110,OR(AND(G110="",J110=""),G110="v.H.-Satz"))</f>
        <v>0</v>
      </c>
      <c r="P110" s="132" t="b">
        <f>AND(M110,OR(G110="",G110="pauschal"))</f>
        <v>0</v>
      </c>
    </row>
    <row r="111" spans="1:16" s="134" customFormat="1">
      <c r="A111" s="584"/>
      <c r="B111" s="188"/>
      <c r="C111" s="998"/>
      <c r="D111" s="672"/>
      <c r="E111" s="442"/>
      <c r="F111" s="1899"/>
      <c r="G111" s="1900"/>
      <c r="H111" s="962"/>
      <c r="I111" s="963"/>
      <c r="J111" s="1900"/>
      <c r="K111" s="447"/>
      <c r="L111" s="127"/>
    </row>
    <row r="112" spans="1:16" ht="17.399999999999999">
      <c r="B112" s="101"/>
      <c r="C112" s="1145" t="s">
        <v>32</v>
      </c>
      <c r="D112" s="941"/>
      <c r="E112" s="1902"/>
      <c r="F112" s="1918" t="s">
        <v>618</v>
      </c>
      <c r="G112" s="1904"/>
      <c r="H112" s="1905"/>
      <c r="I112" s="1906"/>
      <c r="J112" s="1907"/>
      <c r="K112" s="439" t="str">
        <f>IF(M112,IF(O112,$O$11*H112%,IF(P112,J112)),"")</f>
        <v/>
      </c>
      <c r="M112" s="1891" t="b">
        <v>0</v>
      </c>
      <c r="O112" s="132" t="b">
        <f>AND(M112,OR(AND(G112="",J112=""),G112="v.H.-Satz"))</f>
        <v>0</v>
      </c>
      <c r="P112" s="132" t="b">
        <f>AND(M112,OR(G112="",G112="pauschal"))</f>
        <v>0</v>
      </c>
    </row>
    <row r="113" spans="1:16" s="134" customFormat="1" ht="132">
      <c r="A113" s="584"/>
      <c r="B113" s="268"/>
      <c r="C113" s="992"/>
      <c r="D113" s="673"/>
      <c r="E113" s="432"/>
      <c r="F113" s="1499" t="s">
        <v>646</v>
      </c>
      <c r="G113" s="1901"/>
      <c r="H113" s="965"/>
      <c r="I113" s="966"/>
      <c r="J113" s="1901"/>
      <c r="K113" s="446"/>
      <c r="L113" s="127"/>
    </row>
    <row r="114" spans="1:16" ht="17.399999999999999">
      <c r="B114" s="101"/>
      <c r="C114" s="1146" t="s">
        <v>31</v>
      </c>
      <c r="D114" s="941"/>
      <c r="E114" s="1902"/>
      <c r="F114" s="1919" t="s">
        <v>1063</v>
      </c>
      <c r="G114" s="1904"/>
      <c r="H114" s="1905"/>
      <c r="I114" s="1906"/>
      <c r="J114" s="1907"/>
      <c r="K114" s="439" t="str">
        <f>IF(M114,IF(O114,$O$11*H114%,IF(P114,J114)),"")</f>
        <v/>
      </c>
      <c r="M114" s="1891" t="b">
        <v>0</v>
      </c>
      <c r="O114" s="132" t="b">
        <f>AND(M114,OR(AND(G114="",J114=""),G114="v.H.-Satz"))</f>
        <v>0</v>
      </c>
      <c r="P114" s="132" t="b">
        <f>AND(M114,OR(G114="",G114="pauschal"))</f>
        <v>0</v>
      </c>
    </row>
    <row r="115" spans="1:16" s="134" customFormat="1" ht="66">
      <c r="A115" s="584"/>
      <c r="B115" s="268"/>
      <c r="C115" s="992"/>
      <c r="D115" s="673"/>
      <c r="E115" s="432"/>
      <c r="F115" s="1499" t="s">
        <v>1065</v>
      </c>
      <c r="G115" s="1901"/>
      <c r="H115" s="965"/>
      <c r="I115" s="966"/>
      <c r="J115" s="1901"/>
      <c r="K115" s="446"/>
      <c r="L115" s="127"/>
    </row>
    <row r="116" spans="1:16" ht="17.399999999999999">
      <c r="B116" s="101"/>
      <c r="C116" s="1146" t="s">
        <v>226</v>
      </c>
      <c r="D116" s="941"/>
      <c r="E116" s="1902"/>
      <c r="F116" s="1919" t="s">
        <v>1063</v>
      </c>
      <c r="G116" s="1904"/>
      <c r="H116" s="1905"/>
      <c r="I116" s="1906"/>
      <c r="J116" s="1907"/>
      <c r="K116" s="439" t="str">
        <f>IF(M116,IF(O116,$O$11*H116%,IF(P116,J116)),"")</f>
        <v/>
      </c>
      <c r="M116" s="1891" t="b">
        <v>0</v>
      </c>
      <c r="O116" s="132" t="b">
        <f>AND(M116,OR(AND(G116="",J116=""),G116="v.H.-Satz"))</f>
        <v>0</v>
      </c>
      <c r="P116" s="132" t="b">
        <f>AND(M116,OR(G116="",G116="pauschal"))</f>
        <v>0</v>
      </c>
    </row>
    <row r="117" spans="1:16" s="134" customFormat="1" ht="92.4">
      <c r="A117" s="584"/>
      <c r="B117" s="268"/>
      <c r="C117" s="992"/>
      <c r="D117" s="673"/>
      <c r="E117" s="432"/>
      <c r="F117" s="1499" t="s">
        <v>1064</v>
      </c>
      <c r="G117" s="1901"/>
      <c r="H117" s="965"/>
      <c r="I117" s="966"/>
      <c r="J117" s="1901"/>
      <c r="K117" s="446"/>
      <c r="L117" s="127"/>
    </row>
    <row r="118" spans="1:16" ht="40.200000000000003">
      <c r="B118" s="101"/>
      <c r="C118" s="1156" t="s">
        <v>227</v>
      </c>
      <c r="D118" s="945"/>
      <c r="E118" s="1910"/>
      <c r="F118" s="1919" t="s">
        <v>1069</v>
      </c>
      <c r="G118" s="1912"/>
      <c r="H118" s="1913"/>
      <c r="I118" s="1914"/>
      <c r="J118" s="1915"/>
      <c r="K118" s="439" t="str">
        <f>IF(M118,IF(O118,$O$11*H118%,IF(P118,J118)),"")</f>
        <v/>
      </c>
      <c r="M118" s="1891" t="b">
        <v>0</v>
      </c>
      <c r="O118" s="132" t="b">
        <f>AND(M118,OR(AND(G118="",J118=""),G118="v.H.-Satz"))</f>
        <v>0</v>
      </c>
      <c r="P118" s="132" t="b">
        <f>AND(M118,OR(G118="",G118="pauschal"))</f>
        <v>0</v>
      </c>
    </row>
    <row r="119" spans="1:16" s="134" customFormat="1" ht="17.399999999999999" thickBot="1">
      <c r="A119" s="584"/>
      <c r="B119" s="268"/>
      <c r="C119" s="998"/>
      <c r="D119" s="672"/>
      <c r="E119" s="442"/>
      <c r="F119" s="1899"/>
      <c r="G119" s="1900"/>
      <c r="H119" s="962"/>
      <c r="I119" s="963"/>
      <c r="J119" s="1900"/>
      <c r="K119" s="447"/>
      <c r="L119" s="127"/>
    </row>
    <row r="120" spans="1:16" ht="22.65" customHeight="1" thickBot="1">
      <c r="B120" s="535"/>
      <c r="C120" s="1002" t="s">
        <v>10</v>
      </c>
      <c r="D120" s="592"/>
      <c r="E120" s="594"/>
      <c r="F120" s="427"/>
      <c r="G120" s="1679" t="s">
        <v>270</v>
      </c>
      <c r="H120" s="1679"/>
      <c r="I120" s="1679"/>
      <c r="J120" s="1679"/>
      <c r="K120" s="552" t="str">
        <f>IF(Projektgrundlagen!I25,IF(COUNT(K110:K119)&gt;0,SUM(K110:K119),""),0)</f>
        <v/>
      </c>
    </row>
    <row r="121" spans="1:16" s="134" customFormat="1">
      <c r="A121" s="584"/>
      <c r="B121" s="1009"/>
      <c r="C121" s="998"/>
      <c r="D121" s="1388"/>
      <c r="E121" s="442"/>
      <c r="F121" s="1925"/>
      <c r="G121" s="1926"/>
      <c r="H121" s="962"/>
      <c r="I121" s="963"/>
      <c r="J121" s="1926"/>
      <c r="K121" s="1285"/>
      <c r="L121" s="127"/>
    </row>
    <row r="122" spans="1:16" ht="22.65" hidden="1" customHeight="1" thickBot="1">
      <c r="B122" s="1378"/>
      <c r="C122" s="1379" t="s">
        <v>10</v>
      </c>
      <c r="D122" s="1380"/>
      <c r="E122" s="1381"/>
      <c r="F122" s="1721" t="s">
        <v>1016</v>
      </c>
      <c r="G122" s="1923"/>
      <c r="H122" s="1923"/>
      <c r="I122" s="1923"/>
      <c r="J122" s="1923"/>
      <c r="K122" s="1282">
        <f>'HB-D2 Besondere Lstg BS'!K105</f>
        <v>0</v>
      </c>
    </row>
    <row r="123" spans="1:16" ht="22.65" hidden="1" customHeight="1" thickBot="1">
      <c r="B123" s="1389"/>
      <c r="C123" s="1383" t="s">
        <v>10</v>
      </c>
      <c r="D123" s="1384"/>
      <c r="E123" s="1385"/>
      <c r="F123" s="1386"/>
      <c r="G123" s="1720" t="s">
        <v>1027</v>
      </c>
      <c r="H123" s="1720"/>
      <c r="I123" s="1720"/>
      <c r="J123" s="1720"/>
      <c r="K123" s="1387">
        <f>IF(Projektgrundlagen!I25,IF(COUNT(K120:K122)&gt;0,SUM(K120:K122),""),0)</f>
        <v>0</v>
      </c>
    </row>
    <row r="124" spans="1:16" s="1365" customFormat="1" ht="16.5" hidden="1" customHeight="1">
      <c r="A124" s="1362"/>
      <c r="B124" s="1373"/>
      <c r="C124" s="1367"/>
      <c r="D124" s="1370"/>
      <c r="E124" s="1370"/>
      <c r="F124" s="1371"/>
      <c r="G124" s="1374"/>
      <c r="H124" s="1371"/>
      <c r="I124" s="1371"/>
      <c r="J124" s="1375"/>
      <c r="K124" s="1363"/>
      <c r="L124" s="1364"/>
      <c r="M124" s="1922"/>
    </row>
    <row r="125" spans="1:16" ht="22.65" customHeight="1">
      <c r="B125" s="590" t="s">
        <v>161</v>
      </c>
      <c r="C125" s="33"/>
      <c r="D125" s="33"/>
      <c r="E125" s="33"/>
      <c r="F125" s="33"/>
      <c r="G125" s="33"/>
      <c r="H125" s="541"/>
      <c r="I125" s="541"/>
      <c r="J125" s="586"/>
      <c r="K125" s="588"/>
    </row>
    <row r="126" spans="1:16" ht="17.399999999999999">
      <c r="B126" s="96"/>
      <c r="C126" s="1144" t="s">
        <v>30</v>
      </c>
      <c r="D126" s="939"/>
      <c r="E126" s="1893"/>
      <c r="F126" s="1919" t="s">
        <v>1072</v>
      </c>
      <c r="G126" s="1895"/>
      <c r="H126" s="1896"/>
      <c r="I126" s="1897"/>
      <c r="J126" s="1898"/>
      <c r="K126" s="440" t="str">
        <f>IF(M126,IF(O126,$O$11*H126%,IF(P126,J126)),"")</f>
        <v/>
      </c>
      <c r="M126" s="1891" t="b">
        <v>0</v>
      </c>
      <c r="O126" s="132" t="b">
        <f>AND(M126,OR(AND(G126="",J126=""),G126="v.H.-Satz"))</f>
        <v>0</v>
      </c>
      <c r="P126" s="132" t="b">
        <f>AND(M126,OR(G126="",G126="pauschal"))</f>
        <v>0</v>
      </c>
    </row>
    <row r="127" spans="1:16" s="134" customFormat="1">
      <c r="A127" s="584"/>
      <c r="B127" s="188"/>
      <c r="C127" s="998"/>
      <c r="D127" s="672"/>
      <c r="E127" s="442"/>
      <c r="F127" s="1909"/>
      <c r="G127" s="1900"/>
      <c r="H127" s="962"/>
      <c r="I127" s="963"/>
      <c r="J127" s="1900"/>
      <c r="K127" s="447"/>
      <c r="L127" s="127"/>
    </row>
    <row r="128" spans="1:16" ht="17.399999999999999">
      <c r="B128" s="100"/>
      <c r="C128" s="1145" t="s">
        <v>29</v>
      </c>
      <c r="D128" s="941"/>
      <c r="E128" s="1902"/>
      <c r="F128" s="1920"/>
      <c r="G128" s="1904"/>
      <c r="H128" s="1905"/>
      <c r="I128" s="1906"/>
      <c r="J128" s="1907"/>
      <c r="K128" s="439" t="str">
        <f>IF(M128,IF(O128,$O$11*H128%,IF(P128,J128)),"")</f>
        <v/>
      </c>
      <c r="M128" s="1891" t="b">
        <v>0</v>
      </c>
      <c r="O128" s="132" t="b">
        <f>AND(M128,OR(AND(G128="",J128=""),G128="v.H.-Satz"))</f>
        <v>0</v>
      </c>
      <c r="P128" s="132" t="b">
        <f>AND(M128,OR(G128="",G128="pauschal"))</f>
        <v>0</v>
      </c>
    </row>
    <row r="129" spans="1:16" s="134" customFormat="1">
      <c r="A129" s="584"/>
      <c r="B129" s="188"/>
      <c r="C129" s="992"/>
      <c r="D129" s="673"/>
      <c r="E129" s="432"/>
      <c r="F129" s="1909"/>
      <c r="G129" s="1901"/>
      <c r="H129" s="965"/>
      <c r="I129" s="966"/>
      <c r="J129" s="1901"/>
      <c r="K129" s="446"/>
      <c r="L129" s="127"/>
    </row>
    <row r="130" spans="1:16" ht="17.399999999999999">
      <c r="B130" s="101"/>
      <c r="C130" s="1143" t="s">
        <v>51</v>
      </c>
      <c r="D130" s="945"/>
      <c r="E130" s="1910"/>
      <c r="F130" s="1920"/>
      <c r="G130" s="1912"/>
      <c r="H130" s="1913"/>
      <c r="I130" s="1914"/>
      <c r="J130" s="1915"/>
      <c r="K130" s="439" t="str">
        <f>IF(M130,IF(O130,$O$11*H130%,IF(P130,J130)),"")</f>
        <v/>
      </c>
      <c r="M130" s="1891" t="b">
        <v>0</v>
      </c>
      <c r="O130" s="132" t="b">
        <f>AND(M130,OR(AND(G130="",J130=""),G130="v.H.-Satz"))</f>
        <v>0</v>
      </c>
      <c r="P130" s="132" t="b">
        <f>AND(M130,OR(G130="",G130="pauschal"))</f>
        <v>0</v>
      </c>
    </row>
    <row r="131" spans="1:16" s="134" customFormat="1" ht="17.399999999999999" thickBot="1">
      <c r="A131" s="584"/>
      <c r="B131" s="268"/>
      <c r="C131" s="992"/>
      <c r="D131" s="674"/>
      <c r="E131" s="442"/>
      <c r="F131" s="1909"/>
      <c r="G131" s="1901"/>
      <c r="H131" s="965"/>
      <c r="I131" s="966"/>
      <c r="J131" s="1916"/>
      <c r="K131" s="446"/>
      <c r="L131" s="127"/>
    </row>
    <row r="132" spans="1:16" ht="22.65" customHeight="1" thickBot="1">
      <c r="B132" s="535"/>
      <c r="C132" s="1002" t="s">
        <v>10</v>
      </c>
      <c r="D132" s="592"/>
      <c r="E132" s="594"/>
      <c r="F132" s="427"/>
      <c r="G132" s="1679" t="s">
        <v>520</v>
      </c>
      <c r="H132" s="1679"/>
      <c r="I132" s="1679"/>
      <c r="J132" s="1713"/>
      <c r="K132" s="552" t="str">
        <f>IF(Projektgrundlagen!I25,IF(COUNT(K126:K131)&gt;0,SUM(K126:K131),""),0)</f>
        <v/>
      </c>
    </row>
    <row r="133" spans="1:16">
      <c r="B133" s="241"/>
      <c r="C133" s="1001"/>
      <c r="D133" s="176"/>
      <c r="E133" s="176"/>
      <c r="F133" s="173"/>
      <c r="G133" s="177"/>
      <c r="H133" s="173"/>
      <c r="I133" s="173"/>
      <c r="J133" s="178"/>
      <c r="K133" s="174"/>
    </row>
    <row r="134" spans="1:16" ht="22.65" customHeight="1">
      <c r="B134" s="591" t="s">
        <v>162</v>
      </c>
      <c r="C134" s="173"/>
      <c r="D134" s="173"/>
      <c r="E134" s="173"/>
      <c r="F134" s="173"/>
      <c r="G134" s="33"/>
      <c r="H134" s="541"/>
      <c r="I134" s="541"/>
      <c r="J134" s="586"/>
      <c r="K134" s="588"/>
    </row>
    <row r="135" spans="1:16" ht="17.399999999999999">
      <c r="B135" s="96"/>
      <c r="C135" s="1144" t="s">
        <v>28</v>
      </c>
      <c r="D135" s="939"/>
      <c r="E135" s="1893"/>
      <c r="F135" s="1918" t="s">
        <v>619</v>
      </c>
      <c r="G135" s="1895"/>
      <c r="H135" s="1896"/>
      <c r="I135" s="1897"/>
      <c r="J135" s="1898"/>
      <c r="K135" s="440" t="str">
        <f>IF(M135,IF(O135,$O$11*H135%,IF(P135,J135)),"")</f>
        <v/>
      </c>
      <c r="M135" s="1891" t="b">
        <v>0</v>
      </c>
      <c r="O135" s="132" t="b">
        <f>AND(M135,OR(AND(G135="",J135=""),G135="v.H.-Satz"))</f>
        <v>0</v>
      </c>
      <c r="P135" s="132" t="b">
        <f>AND(M135,OR(G135="",G135="pauschal"))</f>
        <v>0</v>
      </c>
    </row>
    <row r="136" spans="1:16" s="134" customFormat="1">
      <c r="A136" s="584"/>
      <c r="B136" s="188"/>
      <c r="C136" s="998"/>
      <c r="D136" s="672"/>
      <c r="E136" s="442"/>
      <c r="F136" s="1499" t="s">
        <v>620</v>
      </c>
      <c r="G136" s="1900"/>
      <c r="H136" s="962"/>
      <c r="I136" s="963"/>
      <c r="J136" s="1900"/>
      <c r="K136" s="447"/>
      <c r="L136" s="127"/>
    </row>
    <row r="137" spans="1:16" ht="27">
      <c r="B137" s="100"/>
      <c r="C137" s="1145" t="s">
        <v>27</v>
      </c>
      <c r="D137" s="941"/>
      <c r="E137" s="1902"/>
      <c r="F137" s="1919" t="s">
        <v>1066</v>
      </c>
      <c r="G137" s="1904"/>
      <c r="H137" s="1905"/>
      <c r="I137" s="1906"/>
      <c r="J137" s="1907"/>
      <c r="K137" s="439" t="str">
        <f>IF(M137,IF(O137,$O$11*H137%,IF(P137,J137)),"")</f>
        <v/>
      </c>
      <c r="M137" s="1891" t="b">
        <v>0</v>
      </c>
      <c r="O137" s="132" t="b">
        <f>AND(M137,OR(AND(G137="",J137=""),G137="v.H.-Satz"))</f>
        <v>0</v>
      </c>
      <c r="P137" s="132" t="b">
        <f>AND(M137,OR(G137="",G137="pauschal"))</f>
        <v>0</v>
      </c>
    </row>
    <row r="138" spans="1:16" s="134" customFormat="1">
      <c r="A138" s="584"/>
      <c r="B138" s="188"/>
      <c r="C138" s="992"/>
      <c r="D138" s="673"/>
      <c r="E138" s="432"/>
      <c r="F138" s="1909"/>
      <c r="G138" s="1901"/>
      <c r="H138" s="965"/>
      <c r="I138" s="966"/>
      <c r="J138" s="1901"/>
      <c r="K138" s="446"/>
      <c r="L138" s="127"/>
    </row>
    <row r="139" spans="1:16" ht="27">
      <c r="B139" s="100"/>
      <c r="C139" s="1146" t="s">
        <v>52</v>
      </c>
      <c r="D139" s="941"/>
      <c r="E139" s="1902"/>
      <c r="F139" s="1919" t="s">
        <v>1067</v>
      </c>
      <c r="G139" s="1904"/>
      <c r="H139" s="1905"/>
      <c r="I139" s="1906"/>
      <c r="J139" s="1907"/>
      <c r="K139" s="439" t="str">
        <f>IF(M139,IF(O139,$O$11*H139%,IF(P139,J139)),"")</f>
        <v/>
      </c>
      <c r="M139" s="1891" t="b">
        <v>0</v>
      </c>
      <c r="O139" s="132" t="b">
        <f>AND(M139,OR(AND(G139="",J139=""),G139="v.H.-Satz"))</f>
        <v>0</v>
      </c>
      <c r="P139" s="132" t="b">
        <f>AND(M139,OR(G139="",G139="pauschal"))</f>
        <v>0</v>
      </c>
    </row>
    <row r="140" spans="1:16" s="134" customFormat="1">
      <c r="A140" s="584"/>
      <c r="B140" s="188"/>
      <c r="C140" s="992"/>
      <c r="D140" s="673"/>
      <c r="E140" s="432"/>
      <c r="F140" s="1909"/>
      <c r="G140" s="1901"/>
      <c r="H140" s="965"/>
      <c r="I140" s="966"/>
      <c r="J140" s="1901"/>
      <c r="K140" s="446"/>
      <c r="L140" s="127"/>
    </row>
    <row r="141" spans="1:16" ht="17.399999999999999">
      <c r="B141" s="101"/>
      <c r="C141" s="1156" t="s">
        <v>657</v>
      </c>
      <c r="D141" s="945"/>
      <c r="E141" s="1910"/>
      <c r="F141" s="1919" t="s">
        <v>1072</v>
      </c>
      <c r="G141" s="1912"/>
      <c r="H141" s="1913"/>
      <c r="I141" s="1914"/>
      <c r="J141" s="1915"/>
      <c r="K141" s="439" t="str">
        <f>IF(M141,IF(O141,$O$11*H141%,IF(P141,J141)),"")</f>
        <v/>
      </c>
      <c r="M141" s="1891" t="b">
        <v>0</v>
      </c>
      <c r="O141" s="132" t="b">
        <f>AND(M141,OR(AND(G141="",J141=""),G141="v.H.-Satz"))</f>
        <v>0</v>
      </c>
      <c r="P141" s="132" t="b">
        <f>AND(M141,OR(G141="",G141="pauschal"))</f>
        <v>0</v>
      </c>
    </row>
    <row r="142" spans="1:16" s="134" customFormat="1" ht="17.399999999999999" thickBot="1">
      <c r="A142" s="584"/>
      <c r="B142" s="268"/>
      <c r="C142" s="992"/>
      <c r="D142" s="674"/>
      <c r="E142" s="442"/>
      <c r="F142" s="1909"/>
      <c r="G142" s="1901"/>
      <c r="H142" s="965"/>
      <c r="I142" s="966"/>
      <c r="J142" s="1916"/>
      <c r="K142" s="446"/>
      <c r="L142" s="127"/>
    </row>
    <row r="143" spans="1:16" ht="22.65" customHeight="1" thickBot="1">
      <c r="B143" s="535"/>
      <c r="C143" s="1002" t="s">
        <v>10</v>
      </c>
      <c r="D143" s="592"/>
      <c r="E143" s="594"/>
      <c r="F143" s="427"/>
      <c r="G143" s="1679" t="s">
        <v>521</v>
      </c>
      <c r="H143" s="1679"/>
      <c r="I143" s="1679"/>
      <c r="J143" s="1713"/>
      <c r="K143" s="552" t="str">
        <f>IF(Projektgrundlagen!I25,IF(COUNT(K135:K142)&gt;0,SUM(K135:K142),""),0)</f>
        <v/>
      </c>
    </row>
    <row r="144" spans="1:16" ht="16.5" customHeight="1">
      <c r="B144" s="888"/>
      <c r="C144" s="1005"/>
      <c r="D144" s="140"/>
      <c r="E144" s="140"/>
      <c r="F144" s="141"/>
      <c r="G144" s="142"/>
      <c r="H144" s="141"/>
      <c r="I144" s="141"/>
      <c r="J144" s="175"/>
      <c r="K144" s="179"/>
    </row>
    <row r="145" spans="1:16" ht="22.65" customHeight="1">
      <c r="B145" s="590" t="s">
        <v>163</v>
      </c>
      <c r="C145" s="33"/>
      <c r="D145" s="33"/>
      <c r="E145" s="33"/>
      <c r="F145" s="33"/>
      <c r="G145" s="33"/>
      <c r="H145" s="541"/>
      <c r="I145" s="541"/>
      <c r="J145" s="586"/>
      <c r="K145" s="588"/>
    </row>
    <row r="146" spans="1:16" ht="17.399999999999999">
      <c r="B146" s="98"/>
      <c r="C146" s="1143" t="s">
        <v>26</v>
      </c>
      <c r="D146" s="939"/>
      <c r="E146" s="1910"/>
      <c r="F146" s="1917" t="s">
        <v>658</v>
      </c>
      <c r="G146" s="1912"/>
      <c r="H146" s="1905"/>
      <c r="I146" s="1906"/>
      <c r="J146" s="1898"/>
      <c r="K146" s="440" t="str">
        <f>IF(M146,IF(O146,$O$11*H146%,IF(P146,J146)),"")</f>
        <v/>
      </c>
      <c r="M146" s="1891" t="b">
        <v>0</v>
      </c>
      <c r="O146" s="132" t="b">
        <f>AND(M146,OR(AND(G146="",J146=""),G146="v.H.-Satz"))</f>
        <v>0</v>
      </c>
      <c r="P146" s="132" t="b">
        <f>AND(M146,OR(G146="",G146="pauschal"))</f>
        <v>0</v>
      </c>
    </row>
    <row r="147" spans="1:16" ht="39.6">
      <c r="B147" s="319"/>
      <c r="C147" s="992"/>
      <c r="D147" s="673"/>
      <c r="E147" s="432"/>
      <c r="F147" s="676" t="s">
        <v>659</v>
      </c>
      <c r="G147" s="1901"/>
      <c r="H147" s="965"/>
      <c r="I147" s="966"/>
      <c r="J147" s="1901"/>
      <c r="K147" s="446"/>
    </row>
    <row r="148" spans="1:16" ht="17.399999999999999">
      <c r="B148" s="98"/>
      <c r="C148" s="1143" t="s">
        <v>47</v>
      </c>
      <c r="D148" s="945" t="s">
        <v>74</v>
      </c>
      <c r="E148" s="1910"/>
      <c r="F148" s="1927" t="s">
        <v>633</v>
      </c>
      <c r="G148" s="1904"/>
      <c r="H148" s="1905"/>
      <c r="I148" s="1906"/>
      <c r="J148" s="1907"/>
      <c r="K148" s="439" t="str">
        <f>IF(M148,IF(O148,$O$11*H148%,IF(P148,J148)),"")</f>
        <v/>
      </c>
      <c r="M148" s="1891" t="b">
        <v>0</v>
      </c>
      <c r="O148" s="132" t="b">
        <f>AND(M148,OR(AND(G148="",J148=""),G148="v.H.-Satz"))</f>
        <v>0</v>
      </c>
      <c r="P148" s="132" t="b">
        <f>AND(M148,OR(G148="",G148="pauschal"))</f>
        <v>0</v>
      </c>
    </row>
    <row r="149" spans="1:16" ht="66">
      <c r="B149" s="319"/>
      <c r="C149" s="1006"/>
      <c r="D149" s="678"/>
      <c r="E149" s="450"/>
      <c r="F149" s="676" t="s">
        <v>632</v>
      </c>
      <c r="G149" s="1901"/>
      <c r="H149" s="965"/>
      <c r="I149" s="966"/>
      <c r="J149" s="1901"/>
      <c r="K149" s="451"/>
    </row>
    <row r="150" spans="1:16" ht="17.399999999999999">
      <c r="B150" s="98"/>
      <c r="C150" s="1143" t="s">
        <v>25</v>
      </c>
      <c r="D150" s="945"/>
      <c r="E150" s="1910"/>
      <c r="F150" s="1927" t="s">
        <v>634</v>
      </c>
      <c r="G150" s="1912"/>
      <c r="H150" s="1913"/>
      <c r="I150" s="1914"/>
      <c r="J150" s="1915"/>
      <c r="K150" s="439" t="str">
        <f>IF(M150,IF(O150,$O$11*H150%,IF(P150,J150)),"")</f>
        <v/>
      </c>
      <c r="M150" s="1891" t="b">
        <v>0</v>
      </c>
      <c r="O150" s="132" t="b">
        <f>AND(M150,OR(AND(G150="",J150=""),G150="v.H.-Satz"))</f>
        <v>0</v>
      </c>
      <c r="P150" s="132" t="b">
        <f>AND(M150,OR(G150="",G150="pauschal"))</f>
        <v>0</v>
      </c>
    </row>
    <row r="151" spans="1:16" s="134" customFormat="1" ht="26.4">
      <c r="A151" s="584"/>
      <c r="B151" s="267"/>
      <c r="C151" s="992"/>
      <c r="D151" s="673"/>
      <c r="E151" s="442"/>
      <c r="F151" s="676" t="s">
        <v>635</v>
      </c>
      <c r="G151" s="1901"/>
      <c r="H151" s="965"/>
      <c r="I151" s="966"/>
      <c r="J151" s="1901"/>
      <c r="K151" s="446"/>
      <c r="L151" s="127"/>
    </row>
    <row r="152" spans="1:16" ht="18" customHeight="1">
      <c r="B152" s="98"/>
      <c r="C152" s="1143" t="s">
        <v>24</v>
      </c>
      <c r="D152" s="945"/>
      <c r="E152" s="1902"/>
      <c r="F152" s="1928" t="s">
        <v>660</v>
      </c>
      <c r="G152" s="1912"/>
      <c r="H152" s="1905"/>
      <c r="I152" s="1906"/>
      <c r="J152" s="1907"/>
      <c r="K152" s="439" t="str">
        <f>IF(M152,IF(O152,$O$11*H152%,IF(P152,J152)),"")</f>
        <v/>
      </c>
      <c r="M152" s="1891" t="b">
        <v>0</v>
      </c>
      <c r="O152" s="132" t="b">
        <f>AND(M152,OR(AND(G152="",J152=""),G152="v.H.-Satz"))</f>
        <v>0</v>
      </c>
      <c r="P152" s="132" t="b">
        <f>AND(M152,OR(G152="",G152="pauschal"))</f>
        <v>0</v>
      </c>
    </row>
    <row r="153" spans="1:16" ht="66">
      <c r="B153" s="319"/>
      <c r="C153" s="992"/>
      <c r="D153" s="673"/>
      <c r="E153" s="442"/>
      <c r="F153" s="676" t="s">
        <v>636</v>
      </c>
      <c r="G153" s="1901"/>
      <c r="H153" s="965"/>
      <c r="I153" s="966"/>
      <c r="J153" s="1901"/>
      <c r="K153" s="446"/>
    </row>
    <row r="154" spans="1:16" ht="17.399999999999999">
      <c r="B154" s="99"/>
      <c r="C154" s="1143" t="s">
        <v>46</v>
      </c>
      <c r="D154" s="945"/>
      <c r="E154" s="1902"/>
      <c r="F154" s="1928" t="s">
        <v>661</v>
      </c>
      <c r="G154" s="1904"/>
      <c r="H154" s="1905"/>
      <c r="I154" s="1906"/>
      <c r="J154" s="1907"/>
      <c r="K154" s="439" t="str">
        <f>IF(M154,IF(O154,$O$11*H154%,IF(P154,J154)),"")</f>
        <v/>
      </c>
      <c r="M154" s="1891" t="b">
        <v>0</v>
      </c>
      <c r="O154" s="132" t="b">
        <f>AND(M154,OR(AND(G154="",J154=""),G154="v.H.-Satz"))</f>
        <v>0</v>
      </c>
      <c r="P154" s="132" t="b">
        <f>AND(M154,OR(G154="",G154="pauschal"))</f>
        <v>0</v>
      </c>
    </row>
    <row r="155" spans="1:16" ht="92.4">
      <c r="B155" s="320"/>
      <c r="C155" s="1007"/>
      <c r="D155" s="695"/>
      <c r="E155" s="203"/>
      <c r="F155" s="449" t="s">
        <v>638</v>
      </c>
      <c r="G155" s="1901"/>
      <c r="H155" s="965"/>
      <c r="I155" s="966"/>
      <c r="J155" s="1901"/>
      <c r="K155" s="343"/>
    </row>
    <row r="156" spans="1:16" ht="17.399999999999999">
      <c r="B156" s="96"/>
      <c r="C156" s="1157" t="s">
        <v>23</v>
      </c>
      <c r="D156" s="941"/>
      <c r="E156" s="1902"/>
      <c r="F156" s="1919" t="s">
        <v>1070</v>
      </c>
      <c r="G156" s="1904"/>
      <c r="H156" s="1905"/>
      <c r="I156" s="1906"/>
      <c r="J156" s="1907"/>
      <c r="K156" s="439" t="str">
        <f>IF(M156,IF(O156,$O$11*H156%,IF(P156,J156)),"")</f>
        <v/>
      </c>
      <c r="M156" s="1891" t="b">
        <v>0</v>
      </c>
      <c r="O156" s="132" t="b">
        <f>AND(M156,OR(AND(G156="",J156=""),G156="v.H.-Satz"))</f>
        <v>0</v>
      </c>
      <c r="P156" s="132" t="b">
        <f>AND(M156,OR(G156="",G156="pauschal"))</f>
        <v>0</v>
      </c>
    </row>
    <row r="157" spans="1:16" s="134" customFormat="1" ht="79.2">
      <c r="A157" s="584"/>
      <c r="B157" s="188"/>
      <c r="C157" s="998"/>
      <c r="D157" s="672"/>
      <c r="E157" s="442"/>
      <c r="F157" s="1499" t="s">
        <v>1071</v>
      </c>
      <c r="G157" s="1901"/>
      <c r="H157" s="965"/>
      <c r="I157" s="966"/>
      <c r="J157" s="1901"/>
      <c r="K157" s="447"/>
      <c r="L157" s="127"/>
    </row>
    <row r="158" spans="1:16" ht="17.399999999999999">
      <c r="B158" s="100"/>
      <c r="C158" s="1145" t="s">
        <v>22</v>
      </c>
      <c r="D158" s="941"/>
      <c r="E158" s="1902"/>
      <c r="F158" s="1919" t="s">
        <v>1072</v>
      </c>
      <c r="G158" s="1904"/>
      <c r="H158" s="1905"/>
      <c r="I158" s="1906"/>
      <c r="J158" s="1907"/>
      <c r="K158" s="439" t="str">
        <f>IF(M158,IF(O158,$O$11*H158%,IF(P158,J158)),"")</f>
        <v/>
      </c>
      <c r="M158" s="1891" t="b">
        <v>0</v>
      </c>
      <c r="O158" s="132" t="b">
        <f>AND(M158,OR(AND(G158="",J158=""),G158="v.H.-Satz"))</f>
        <v>0</v>
      </c>
      <c r="P158" s="132" t="b">
        <f>AND(M158,OR(G158="",G158="pauschal"))</f>
        <v>0</v>
      </c>
    </row>
    <row r="159" spans="1:16" s="134" customFormat="1">
      <c r="A159" s="584"/>
      <c r="B159" s="188"/>
      <c r="C159" s="992"/>
      <c r="D159" s="673"/>
      <c r="E159" s="432"/>
      <c r="F159" s="1909"/>
      <c r="G159" s="1901"/>
      <c r="H159" s="965"/>
      <c r="I159" s="966"/>
      <c r="J159" s="1901"/>
      <c r="K159" s="446"/>
      <c r="L159" s="127"/>
    </row>
    <row r="160" spans="1:16" ht="17.399999999999999">
      <c r="B160" s="101"/>
      <c r="C160" s="1143" t="s">
        <v>53</v>
      </c>
      <c r="D160" s="945"/>
      <c r="E160" s="1910"/>
      <c r="F160" s="1920"/>
      <c r="G160" s="1912"/>
      <c r="H160" s="1913"/>
      <c r="I160" s="1914"/>
      <c r="J160" s="1915"/>
      <c r="K160" s="439" t="str">
        <f>IF(M160,IF(O160,$O$11*H160%,IF(P160,J160)),"")</f>
        <v/>
      </c>
      <c r="M160" s="1891" t="b">
        <v>0</v>
      </c>
      <c r="O160" s="132" t="b">
        <f>AND(M160,OR(AND(G160="",J160=""),G160="v.H.-Satz"))</f>
        <v>0</v>
      </c>
      <c r="P160" s="132" t="b">
        <f>AND(M160,OR(G160="",G160="pauschal"))</f>
        <v>0</v>
      </c>
    </row>
    <row r="161" spans="1:16" s="134" customFormat="1" ht="17.399999999999999" thickBot="1">
      <c r="A161" s="584"/>
      <c r="B161" s="267"/>
      <c r="C161" s="992"/>
      <c r="D161" s="674"/>
      <c r="E161" s="442"/>
      <c r="F161" s="1909"/>
      <c r="G161" s="1901"/>
      <c r="H161" s="965"/>
      <c r="I161" s="966"/>
      <c r="J161" s="1916"/>
      <c r="K161" s="446"/>
      <c r="L161" s="127"/>
    </row>
    <row r="162" spans="1:16" ht="22.65" customHeight="1" thickBot="1">
      <c r="B162" s="535"/>
      <c r="C162" s="1002"/>
      <c r="D162" s="592"/>
      <c r="E162" s="594"/>
      <c r="F162" s="427"/>
      <c r="G162" s="1679" t="s">
        <v>522</v>
      </c>
      <c r="H162" s="1679"/>
      <c r="I162" s="1679"/>
      <c r="J162" s="1713"/>
      <c r="K162" s="552" t="str">
        <f>IF(Projektgrundlagen!I25,IF(COUNT(K146:K161)&gt;0,SUM(K146:K161),""),0)</f>
        <v/>
      </c>
    </row>
    <row r="163" spans="1:16" s="134" customFormat="1">
      <c r="A163" s="584"/>
      <c r="B163" s="1009"/>
      <c r="C163" s="998"/>
      <c r="D163" s="1388"/>
      <c r="E163" s="442"/>
      <c r="F163" s="1899"/>
      <c r="G163" s="1926"/>
      <c r="H163" s="962"/>
      <c r="I163" s="963"/>
      <c r="J163" s="1926"/>
      <c r="K163" s="1285"/>
      <c r="L163" s="127"/>
    </row>
    <row r="164" spans="1:16" ht="22.65" hidden="1" customHeight="1" thickBot="1">
      <c r="B164" s="1378"/>
      <c r="C164" s="1379" t="s">
        <v>10</v>
      </c>
      <c r="D164" s="1380"/>
      <c r="E164" s="1381"/>
      <c r="F164" s="1721" t="s">
        <v>1017</v>
      </c>
      <c r="G164" s="1929"/>
      <c r="H164" s="1929"/>
      <c r="I164" s="1929"/>
      <c r="J164" s="1930"/>
      <c r="K164" s="1282" t="str">
        <f>'HB-D2 Besondere Lstg BS'!K139</f>
        <v/>
      </c>
    </row>
    <row r="165" spans="1:16" ht="22.65" hidden="1" customHeight="1" thickBot="1">
      <c r="B165" s="535"/>
      <c r="C165" s="1002"/>
      <c r="D165" s="592"/>
      <c r="E165" s="594"/>
      <c r="F165" s="427"/>
      <c r="G165" s="1679" t="s">
        <v>1029</v>
      </c>
      <c r="H165" s="1679"/>
      <c r="I165" s="1679"/>
      <c r="J165" s="1713"/>
      <c r="K165" s="552" t="str">
        <f>IF(Projektgrundlagen!I25,IF(COUNT(K162:K164)&gt;0,SUM(K162:K164),""),0)</f>
        <v/>
      </c>
    </row>
    <row r="166" spans="1:16" hidden="1">
      <c r="B166" s="95"/>
      <c r="C166" s="1008"/>
      <c r="D166" s="889"/>
      <c r="E166" s="889"/>
      <c r="F166" s="890"/>
      <c r="G166" s="891"/>
      <c r="H166" s="890"/>
      <c r="I166" s="890"/>
      <c r="J166" s="892"/>
      <c r="K166" s="174"/>
    </row>
    <row r="167" spans="1:16" ht="22.65" customHeight="1">
      <c r="B167" s="590" t="s">
        <v>164</v>
      </c>
      <c r="C167" s="33"/>
      <c r="D167" s="33"/>
      <c r="E167" s="33"/>
      <c r="F167" s="33"/>
      <c r="G167" s="33"/>
      <c r="H167" s="541"/>
      <c r="I167" s="541"/>
      <c r="J167" s="586"/>
      <c r="K167" s="588"/>
    </row>
    <row r="168" spans="1:16" ht="17.399999999999999">
      <c r="B168" s="97"/>
      <c r="C168" s="1144" t="s">
        <v>21</v>
      </c>
      <c r="D168" s="939"/>
      <c r="E168" s="1902"/>
      <c r="F168" s="1390" t="s">
        <v>664</v>
      </c>
      <c r="G168" s="1904"/>
      <c r="H168" s="1896"/>
      <c r="I168" s="1897"/>
      <c r="J168" s="1898"/>
      <c r="K168" s="440" t="str">
        <f>IF(M168,IF(O168,$O$11*H168%,IF(P168,J168)),"")</f>
        <v/>
      </c>
      <c r="M168" s="1891" t="b">
        <v>0</v>
      </c>
      <c r="O168" s="132" t="b">
        <f>AND(M168,OR(AND(G168="",J168=""),G168="v.H.-Satz"))</f>
        <v>0</v>
      </c>
      <c r="P168" s="132" t="b">
        <f>AND(M168,OR(G168="",G168="pauschal"))</f>
        <v>0</v>
      </c>
    </row>
    <row r="169" spans="1:16">
      <c r="B169" s="205"/>
      <c r="C169" s="998"/>
      <c r="D169" s="672"/>
      <c r="E169" s="203"/>
      <c r="F169" s="452" t="s">
        <v>665</v>
      </c>
      <c r="G169" s="1900"/>
      <c r="H169" s="962"/>
      <c r="I169" s="963"/>
      <c r="J169" s="1900"/>
      <c r="K169" s="447"/>
    </row>
    <row r="170" spans="1:16" ht="17.399999999999999">
      <c r="B170" s="102"/>
      <c r="C170" s="1145" t="s">
        <v>20</v>
      </c>
      <c r="D170" s="941"/>
      <c r="E170" s="1902"/>
      <c r="F170" s="1391" t="s">
        <v>358</v>
      </c>
      <c r="G170" s="1904"/>
      <c r="H170" s="1905"/>
      <c r="I170" s="1906"/>
      <c r="J170" s="1907"/>
      <c r="K170" s="439" t="str">
        <f>IF(M170,IF(O170,$O$11*H170%,IF(P170,J170)),"")</f>
        <v/>
      </c>
      <c r="M170" s="1891" t="b">
        <v>0</v>
      </c>
      <c r="O170" s="132" t="b">
        <f>AND(M170,OR(AND(G170="",J170=""),G170="v.H.-Satz"))</f>
        <v>0</v>
      </c>
      <c r="P170" s="132" t="b">
        <f>AND(M170,OR(G170="",G170="pauschal"))</f>
        <v>0</v>
      </c>
    </row>
    <row r="171" spans="1:16">
      <c r="B171" s="324"/>
      <c r="C171" s="992"/>
      <c r="D171" s="673"/>
      <c r="E171" s="203"/>
      <c r="F171" s="452" t="s">
        <v>666</v>
      </c>
      <c r="G171" s="1901"/>
      <c r="H171" s="965"/>
      <c r="I171" s="966"/>
      <c r="J171" s="1901"/>
      <c r="K171" s="446"/>
    </row>
    <row r="172" spans="1:16" ht="27">
      <c r="B172" s="102"/>
      <c r="C172" s="1143" t="s">
        <v>143</v>
      </c>
      <c r="D172" s="945"/>
      <c r="E172" s="1902"/>
      <c r="F172" s="1391" t="s">
        <v>1068</v>
      </c>
      <c r="G172" s="1904"/>
      <c r="H172" s="1913"/>
      <c r="I172" s="1914"/>
      <c r="J172" s="1915"/>
      <c r="K172" s="439" t="str">
        <f>IF(M172,IF(O172,$O$11*H172%,IF(P172,J172)),"")</f>
        <v/>
      </c>
      <c r="M172" s="1891" t="b">
        <v>0</v>
      </c>
      <c r="O172" s="132" t="b">
        <f>AND(M172,OR(AND(G172="",J172=""),G172="v.H.-Satz"))</f>
        <v>0</v>
      </c>
      <c r="P172" s="132" t="b">
        <f>AND(M172,OR(G172="",G172="pauschal"))</f>
        <v>0</v>
      </c>
    </row>
    <row r="173" spans="1:16" s="134" customFormat="1">
      <c r="A173" s="584"/>
      <c r="B173" s="267"/>
      <c r="C173" s="992"/>
      <c r="D173" s="673"/>
      <c r="E173" s="442"/>
      <c r="F173" s="1899"/>
      <c r="G173" s="1901"/>
      <c r="H173" s="965"/>
      <c r="I173" s="966"/>
      <c r="J173" s="1901"/>
      <c r="K173" s="446"/>
      <c r="L173" s="127"/>
    </row>
    <row r="174" spans="1:16" ht="18" customHeight="1">
      <c r="B174" s="102"/>
      <c r="C174" s="1143" t="s">
        <v>144</v>
      </c>
      <c r="D174" s="941"/>
      <c r="E174" s="1902"/>
      <c r="F174" s="1149" t="s">
        <v>667</v>
      </c>
      <c r="G174" s="1904"/>
      <c r="H174" s="1913"/>
      <c r="I174" s="1914"/>
      <c r="J174" s="1915"/>
      <c r="K174" s="439" t="str">
        <f>IF(M174,IF(O174,$O$11*H174%,IF(P174,J174)),"")</f>
        <v/>
      </c>
      <c r="M174" s="1891" t="b">
        <v>0</v>
      </c>
      <c r="O174" s="132" t="b">
        <f>AND(M174,OR(AND(G174="",J174=""),G174="v.H.-Satz"))</f>
        <v>0</v>
      </c>
      <c r="P174" s="132" t="b">
        <f>AND(M174,OR(G174="",G174="pauschal"))</f>
        <v>0</v>
      </c>
    </row>
    <row r="175" spans="1:16" s="134" customFormat="1">
      <c r="A175" s="584"/>
      <c r="B175" s="267"/>
      <c r="C175" s="998"/>
      <c r="D175" s="672"/>
      <c r="E175" s="442"/>
      <c r="F175" s="452"/>
      <c r="G175" s="1900"/>
      <c r="H175" s="962"/>
      <c r="I175" s="963"/>
      <c r="J175" s="1900"/>
      <c r="K175" s="447"/>
      <c r="L175" s="127"/>
    </row>
    <row r="176" spans="1:16" ht="18" customHeight="1">
      <c r="B176" s="102"/>
      <c r="C176" s="1145" t="s">
        <v>145</v>
      </c>
      <c r="D176" s="941"/>
      <c r="E176" s="1902"/>
      <c r="F176" s="1149" t="s">
        <v>668</v>
      </c>
      <c r="G176" s="1904"/>
      <c r="H176" s="1905"/>
      <c r="I176" s="1906"/>
      <c r="J176" s="1907"/>
      <c r="K176" s="439" t="str">
        <f>IF(M176,IF(O176,$O$11*H176%,IF(P176,J176)),"")</f>
        <v/>
      </c>
      <c r="M176" s="1891" t="b">
        <v>0</v>
      </c>
      <c r="O176" s="132" t="b">
        <f>AND(M176,OR(AND(G176="",J176=""),G176="v.H.-Satz"))</f>
        <v>0</v>
      </c>
      <c r="P176" s="132" t="b">
        <f>AND(M176,OR(G176="",G176="pauschal"))</f>
        <v>0</v>
      </c>
    </row>
    <row r="177" spans="1:16" s="134" customFormat="1">
      <c r="A177" s="584"/>
      <c r="B177" s="267"/>
      <c r="C177" s="992"/>
      <c r="D177" s="673"/>
      <c r="E177" s="432"/>
      <c r="F177" s="1909"/>
      <c r="G177" s="1901"/>
      <c r="H177" s="965"/>
      <c r="I177" s="966"/>
      <c r="J177" s="1901"/>
      <c r="K177" s="446"/>
      <c r="L177" s="127"/>
    </row>
    <row r="178" spans="1:16" ht="17.399999999999999">
      <c r="B178" s="102"/>
      <c r="C178" s="1156" t="s">
        <v>146</v>
      </c>
      <c r="D178" s="941"/>
      <c r="E178" s="1902"/>
      <c r="F178" s="1920"/>
      <c r="G178" s="1904"/>
      <c r="H178" s="1913"/>
      <c r="I178" s="1914"/>
      <c r="J178" s="1915"/>
      <c r="K178" s="439" t="str">
        <f>IF(M178,IF(O178,$O$11*H178%,IF(P178,J178)),"")</f>
        <v/>
      </c>
      <c r="M178" s="1891" t="b">
        <v>0</v>
      </c>
      <c r="O178" s="132" t="b">
        <f>AND(M178,OR(AND(G178="",J178=""),G178="v.H.-Satz"))</f>
        <v>0</v>
      </c>
      <c r="P178" s="132" t="b">
        <f>AND(M178,OR(G178="",G178="pauschal"))</f>
        <v>0</v>
      </c>
    </row>
    <row r="179" spans="1:16" s="134" customFormat="1">
      <c r="A179" s="584"/>
      <c r="B179" s="267"/>
      <c r="C179" s="998"/>
      <c r="D179" s="672"/>
      <c r="E179" s="442"/>
      <c r="F179" s="1909"/>
      <c r="G179" s="1900"/>
      <c r="H179" s="962"/>
      <c r="I179" s="963"/>
      <c r="J179" s="1900"/>
      <c r="K179" s="447"/>
      <c r="L179" s="127"/>
    </row>
    <row r="180" spans="1:16" ht="17.399999999999999">
      <c r="B180" s="102"/>
      <c r="C180" s="1146" t="s">
        <v>662</v>
      </c>
      <c r="D180" s="941"/>
      <c r="E180" s="1902"/>
      <c r="F180" s="1920"/>
      <c r="G180" s="1904"/>
      <c r="H180" s="1905"/>
      <c r="I180" s="1906"/>
      <c r="J180" s="1907"/>
      <c r="K180" s="439" t="str">
        <f>IF(M180,IF(O180,$O$11*H180%,IF(P180,J180)),"")</f>
        <v/>
      </c>
      <c r="M180" s="1891" t="b">
        <v>0</v>
      </c>
      <c r="O180" s="132" t="b">
        <f>AND(M180,OR(AND(G180="",J180=""),G180="v.H.-Satz"))</f>
        <v>0</v>
      </c>
      <c r="P180" s="132" t="b">
        <f>AND(M180,OR(G180="",G180="pauschal"))</f>
        <v>0</v>
      </c>
    </row>
    <row r="181" spans="1:16" s="134" customFormat="1">
      <c r="A181" s="584"/>
      <c r="B181" s="267"/>
      <c r="C181" s="992"/>
      <c r="D181" s="673"/>
      <c r="E181" s="432"/>
      <c r="F181" s="1909"/>
      <c r="G181" s="1901"/>
      <c r="H181" s="965"/>
      <c r="I181" s="966"/>
      <c r="J181" s="1901"/>
      <c r="K181" s="446"/>
      <c r="L181" s="127"/>
    </row>
    <row r="182" spans="1:16" ht="17.399999999999999">
      <c r="B182" s="102"/>
      <c r="C182" s="1156" t="s">
        <v>663</v>
      </c>
      <c r="D182" s="945"/>
      <c r="E182" s="1910"/>
      <c r="F182" s="1920"/>
      <c r="G182" s="1912"/>
      <c r="H182" s="1913"/>
      <c r="I182" s="1914"/>
      <c r="J182" s="1915"/>
      <c r="K182" s="439" t="str">
        <f>IF(M182,IF(O182,$O$11*H182%,IF(P182,J182)),"")</f>
        <v/>
      </c>
      <c r="M182" s="1891" t="b">
        <v>0</v>
      </c>
      <c r="O182" s="132" t="b">
        <f>AND(M182,OR(AND(G182="",J182=""),G182="v.H.-Satz"))</f>
        <v>0</v>
      </c>
      <c r="P182" s="132" t="b">
        <f>AND(M182,OR(G182="",G182="pauschal"))</f>
        <v>0</v>
      </c>
    </row>
    <row r="183" spans="1:16" s="134" customFormat="1" ht="17.399999999999999" thickBot="1">
      <c r="A183" s="584"/>
      <c r="B183" s="267"/>
      <c r="C183" s="992"/>
      <c r="D183" s="674"/>
      <c r="E183" s="442"/>
      <c r="F183" s="1909"/>
      <c r="G183" s="1901"/>
      <c r="H183" s="965"/>
      <c r="I183" s="966"/>
      <c r="J183" s="1916"/>
      <c r="K183" s="446"/>
      <c r="L183" s="127"/>
    </row>
    <row r="184" spans="1:16" ht="22.65" customHeight="1" thickBot="1">
      <c r="B184" s="535"/>
      <c r="C184" s="1002" t="s">
        <v>10</v>
      </c>
      <c r="D184" s="592"/>
      <c r="E184" s="593"/>
      <c r="F184" s="538"/>
      <c r="G184" s="1679" t="s">
        <v>402</v>
      </c>
      <c r="H184" s="1679"/>
      <c r="I184" s="1679"/>
      <c r="J184" s="1713"/>
      <c r="K184" s="552" t="str">
        <f>IF(Projektgrundlagen!I25,IF(COUNT(K168:K183)&gt;0,SUM(K168:K183),""),0)</f>
        <v/>
      </c>
    </row>
    <row r="185" spans="1:16" ht="17.399999999999999" thickBot="1">
      <c r="B185" s="86"/>
      <c r="C185" s="86"/>
      <c r="D185" s="86"/>
      <c r="E185" s="86"/>
      <c r="F185" s="86"/>
      <c r="G185" s="86"/>
      <c r="H185" s="86"/>
      <c r="I185" s="86"/>
      <c r="J185" s="86"/>
      <c r="K185" s="91"/>
    </row>
    <row r="186" spans="1:16" ht="30" customHeight="1" thickBot="1">
      <c r="B186" s="612"/>
      <c r="C186" s="685" t="s">
        <v>10</v>
      </c>
      <c r="D186" s="1731" t="s">
        <v>1013</v>
      </c>
      <c r="E186" s="1931"/>
      <c r="F186" s="1931"/>
      <c r="G186" s="1931"/>
      <c r="H186" s="1931"/>
      <c r="I186" s="1931"/>
      <c r="J186" s="1932"/>
      <c r="K186" s="807">
        <f>IF(COUNT(K52,K65,K78,K103,K120,K132,K143,K162,K184)&gt;0,SUM(K52,K65,K78,K103,K120,K132,K143,K162,K184),"")</f>
        <v>0</v>
      </c>
    </row>
    <row r="187" spans="1:16" ht="12.75" customHeight="1"/>
    <row r="188" spans="1:16" ht="30" hidden="1" customHeight="1" thickBot="1">
      <c r="B188" s="1376"/>
      <c r="C188" s="1377" t="s">
        <v>10</v>
      </c>
      <c r="D188" s="1732" t="s">
        <v>1014</v>
      </c>
      <c r="E188" s="1933"/>
      <c r="F188" s="1933"/>
      <c r="G188" s="1933"/>
      <c r="H188" s="1933"/>
      <c r="I188" s="1933"/>
      <c r="J188" s="1934"/>
      <c r="K188" s="1361">
        <f>'HB-D2 Besondere Lstg BS'!K144</f>
        <v>0</v>
      </c>
    </row>
    <row r="189" spans="1:16" ht="12.75" hidden="1" customHeight="1" thickBot="1"/>
    <row r="190" spans="1:16" ht="30" hidden="1" customHeight="1" thickBot="1">
      <c r="B190" s="612"/>
      <c r="C190" s="685" t="s">
        <v>10</v>
      </c>
      <c r="D190" s="1731" t="s">
        <v>1015</v>
      </c>
      <c r="E190" s="1935"/>
      <c r="F190" s="1935"/>
      <c r="G190" s="1935"/>
      <c r="H190" s="1935"/>
      <c r="I190" s="1935"/>
      <c r="J190" s="1936"/>
      <c r="K190" s="807">
        <f>IF(COUNT(K186,K188)&gt;0,SUM(K186,K188),"")</f>
        <v>0</v>
      </c>
    </row>
    <row r="191" spans="1:16" ht="12.75" hidden="1" customHeight="1"/>
    <row r="209"/>
    <row r="211"/>
    <row r="212"/>
    <row r="213"/>
    <row r="214"/>
    <row r="215"/>
    <row r="216"/>
    <row r="217"/>
    <row r="218"/>
    <row r="219"/>
    <row r="220"/>
    <row r="221"/>
    <row r="222"/>
    <row r="223"/>
    <row r="224"/>
    <row r="225"/>
    <row r="226"/>
    <row r="227"/>
  </sheetData>
  <sheetProtection algorithmName="SHA-512" hashValue="n5n9Og4cVK7irND+DZrT8ux0zhqfloZbNlgs3XIveahjo/bEedlFjcwFcwBrGR5LHcwniSb5wvDGVEir2t/JEA==" saltValue="I6utRvjdgIiBwlljtobBjg==" spinCount="100000" sheet="1" formatRows="0"/>
  <mergeCells count="117">
    <mergeCell ref="D186:J186"/>
    <mergeCell ref="D188:J188"/>
    <mergeCell ref="D190:J190"/>
    <mergeCell ref="B2:G2"/>
    <mergeCell ref="B3:G3"/>
    <mergeCell ref="H152:I152"/>
    <mergeCell ref="H148:I148"/>
    <mergeCell ref="H150:I150"/>
    <mergeCell ref="H154:I154"/>
    <mergeCell ref="H93:I93"/>
    <mergeCell ref="H83:I83"/>
    <mergeCell ref="H85:I85"/>
    <mergeCell ref="H87:I87"/>
    <mergeCell ref="H114:I114"/>
    <mergeCell ref="H112:I112"/>
    <mergeCell ref="H137:I137"/>
    <mergeCell ref="B10:F10"/>
    <mergeCell ref="B11:F11"/>
    <mergeCell ref="H10:I10"/>
    <mergeCell ref="G120:J120"/>
    <mergeCell ref="F122:J122"/>
    <mergeCell ref="F105:J105"/>
    <mergeCell ref="G103:J103"/>
    <mergeCell ref="H14:I14"/>
    <mergeCell ref="F41:G41"/>
    <mergeCell ref="F42:G42"/>
    <mergeCell ref="F46:G46"/>
    <mergeCell ref="F34:G34"/>
    <mergeCell ref="F35:G35"/>
    <mergeCell ref="F36:G36"/>
    <mergeCell ref="L2:L8"/>
    <mergeCell ref="B8:E8"/>
    <mergeCell ref="F8:K8"/>
    <mergeCell ref="B5:E5"/>
    <mergeCell ref="F5:G5"/>
    <mergeCell ref="H5:I5"/>
    <mergeCell ref="J5:K5"/>
    <mergeCell ref="J2:K2"/>
    <mergeCell ref="J3:K3"/>
    <mergeCell ref="H2:I2"/>
    <mergeCell ref="H3:I3"/>
    <mergeCell ref="B6:E6"/>
    <mergeCell ref="F6:K6"/>
    <mergeCell ref="B7:E7"/>
    <mergeCell ref="F7:K7"/>
    <mergeCell ref="F23:G23"/>
    <mergeCell ref="H44:I44"/>
    <mergeCell ref="F40:G40"/>
    <mergeCell ref="O11:P11"/>
    <mergeCell ref="F16:G16"/>
    <mergeCell ref="F27:G27"/>
    <mergeCell ref="F28:G28"/>
    <mergeCell ref="F29:G29"/>
    <mergeCell ref="F22:G22"/>
    <mergeCell ref="F17:G17"/>
    <mergeCell ref="F39:G39"/>
    <mergeCell ref="F18:G18"/>
    <mergeCell ref="F26:G26"/>
    <mergeCell ref="F30:G30"/>
    <mergeCell ref="F31:G31"/>
    <mergeCell ref="F32:G32"/>
    <mergeCell ref="F33:G33"/>
    <mergeCell ref="F25:G25"/>
    <mergeCell ref="F37:G37"/>
    <mergeCell ref="F38:G38"/>
    <mergeCell ref="G165:J165"/>
    <mergeCell ref="H160:I160"/>
    <mergeCell ref="H156:I156"/>
    <mergeCell ref="H158:I158"/>
    <mergeCell ref="F164:J164"/>
    <mergeCell ref="G162:J162"/>
    <mergeCell ref="H99:I99"/>
    <mergeCell ref="H101:I101"/>
    <mergeCell ref="H61:I61"/>
    <mergeCell ref="G106:J106"/>
    <mergeCell ref="H63:I63"/>
    <mergeCell ref="H72:I72"/>
    <mergeCell ref="H70:I70"/>
    <mergeCell ref="H95:I95"/>
    <mergeCell ref="H97:I97"/>
    <mergeCell ref="H89:I89"/>
    <mergeCell ref="H91:I91"/>
    <mergeCell ref="H68:I68"/>
    <mergeCell ref="H74:I74"/>
    <mergeCell ref="H76:I76"/>
    <mergeCell ref="H81:I81"/>
    <mergeCell ref="G65:J65"/>
    <mergeCell ref="G78:J78"/>
    <mergeCell ref="H110:I110"/>
    <mergeCell ref="G184:J184"/>
    <mergeCell ref="H180:I180"/>
    <mergeCell ref="H182:I182"/>
    <mergeCell ref="H168:I168"/>
    <mergeCell ref="H170:I170"/>
    <mergeCell ref="H172:I172"/>
    <mergeCell ref="H178:I178"/>
    <mergeCell ref="H174:I174"/>
    <mergeCell ref="H176:I176"/>
    <mergeCell ref="H116:I116"/>
    <mergeCell ref="G143:J143"/>
    <mergeCell ref="H118:I118"/>
    <mergeCell ref="H146:I146"/>
    <mergeCell ref="H126:I126"/>
    <mergeCell ref="H128:I128"/>
    <mergeCell ref="H130:I130"/>
    <mergeCell ref="F47:G47"/>
    <mergeCell ref="F48:G48"/>
    <mergeCell ref="H135:I135"/>
    <mergeCell ref="G123:J123"/>
    <mergeCell ref="G132:J132"/>
    <mergeCell ref="H139:I139"/>
    <mergeCell ref="H141:I141"/>
    <mergeCell ref="G52:J52"/>
    <mergeCell ref="H55:I55"/>
    <mergeCell ref="H57:I57"/>
    <mergeCell ref="H59:I59"/>
    <mergeCell ref="H50:I50"/>
  </mergeCells>
  <conditionalFormatting sqref="F15">
    <cfRule type="expression" dxfId="2032" priority="157">
      <formula>NOT($M14)</formula>
    </cfRule>
  </conditionalFormatting>
  <conditionalFormatting sqref="F43">
    <cfRule type="expression" dxfId="2031" priority="2163">
      <formula>NOT($M15)</formula>
    </cfRule>
  </conditionalFormatting>
  <conditionalFormatting sqref="F49">
    <cfRule type="expression" dxfId="2027" priority="2170">
      <formula>NOT($M46)</formula>
    </cfRule>
  </conditionalFormatting>
  <conditionalFormatting sqref="F51">
    <cfRule type="expression" dxfId="2025" priority="135">
      <formula>NOT($M50)</formula>
    </cfRule>
  </conditionalFormatting>
  <conditionalFormatting sqref="F56 F102 F161 F119">
    <cfRule type="expression" dxfId="2023" priority="816">
      <formula>NOT($M55)</formula>
    </cfRule>
  </conditionalFormatting>
  <conditionalFormatting sqref="F60">
    <cfRule type="expression" dxfId="2021" priority="131">
      <formula>NOT($M59)</formula>
    </cfRule>
  </conditionalFormatting>
  <conditionalFormatting sqref="F62">
    <cfRule type="expression" dxfId="2018" priority="127">
      <formula>NOT($M61)</formula>
    </cfRule>
  </conditionalFormatting>
  <conditionalFormatting sqref="F63">
    <cfRule type="expression" dxfId="2016" priority="125">
      <formula>AND($M63,F63="")</formula>
    </cfRule>
    <cfRule type="expression" dxfId="2015" priority="124">
      <formula>NOT($M63)</formula>
    </cfRule>
  </conditionalFormatting>
  <conditionalFormatting sqref="F64">
    <cfRule type="expression" dxfId="2013" priority="123">
      <formula>NOT($M63)</formula>
    </cfRule>
  </conditionalFormatting>
  <conditionalFormatting sqref="F74">
    <cfRule type="expression" dxfId="2012" priority="116">
      <formula>NOT($M74)</formula>
    </cfRule>
    <cfRule type="expression" dxfId="2011" priority="117">
      <formula>AND($M74,F74="")</formula>
    </cfRule>
  </conditionalFormatting>
  <conditionalFormatting sqref="F75">
    <cfRule type="expression" dxfId="2009" priority="115">
      <formula>NOT($M74)</formula>
    </cfRule>
  </conditionalFormatting>
  <conditionalFormatting sqref="F76">
    <cfRule type="expression" dxfId="2008" priority="112">
      <formula>NOT($M76)</formula>
    </cfRule>
    <cfRule type="expression" dxfId="2007" priority="113">
      <formula>AND($M76,F76="")</formula>
    </cfRule>
  </conditionalFormatting>
  <conditionalFormatting sqref="F77">
    <cfRule type="expression" dxfId="2005" priority="111">
      <formula>NOT($M76)</formula>
    </cfRule>
  </conditionalFormatting>
  <conditionalFormatting sqref="F97">
    <cfRule type="expression" dxfId="2002" priority="108">
      <formula>NOT($M97)</formula>
    </cfRule>
    <cfRule type="expression" dxfId="2001" priority="109">
      <formula>AND($M97,F97="")</formula>
    </cfRule>
  </conditionalFormatting>
  <conditionalFormatting sqref="F98">
    <cfRule type="expression" dxfId="2000" priority="107">
      <formula>NOT($M97)</formula>
    </cfRule>
  </conditionalFormatting>
  <conditionalFormatting sqref="F99">
    <cfRule type="expression" dxfId="1999" priority="104">
      <formula>NOT($M99)</formula>
    </cfRule>
    <cfRule type="expression" dxfId="1998" priority="105">
      <formula>AND($M99,F99="")</formula>
    </cfRule>
  </conditionalFormatting>
  <conditionalFormatting sqref="F100">
    <cfRule type="expression" dxfId="1996" priority="103">
      <formula>NOT($M99)</formula>
    </cfRule>
  </conditionalFormatting>
  <conditionalFormatting sqref="F101">
    <cfRule type="expression" dxfId="1995" priority="101">
      <formula>AND($M101,F101="")</formula>
    </cfRule>
    <cfRule type="expression" dxfId="1994" priority="100">
      <formula>NOT($M101)</formula>
    </cfRule>
  </conditionalFormatting>
  <conditionalFormatting sqref="F111">
    <cfRule type="expression" dxfId="1992" priority="777">
      <formula>NOT($M110)</formula>
    </cfRule>
  </conditionalFormatting>
  <conditionalFormatting sqref="F121 F163">
    <cfRule type="expression" dxfId="1991" priority="2157">
      <formula>NOT($M119)</formula>
    </cfRule>
  </conditionalFormatting>
  <conditionalFormatting sqref="F127">
    <cfRule type="expression" dxfId="1988" priority="83">
      <formula>NOT($M126)</formula>
    </cfRule>
  </conditionalFormatting>
  <conditionalFormatting sqref="F128">
    <cfRule type="expression" dxfId="1987" priority="81">
      <formula>AND($M128,F128="")</formula>
    </cfRule>
    <cfRule type="expression" dxfId="1986" priority="80">
      <formula>NOT($M128)</formula>
    </cfRule>
  </conditionalFormatting>
  <conditionalFormatting sqref="F129">
    <cfRule type="expression" dxfId="1984" priority="79">
      <formula>NOT($M128)</formula>
    </cfRule>
  </conditionalFormatting>
  <conditionalFormatting sqref="F130">
    <cfRule type="expression" dxfId="1983" priority="77">
      <formula>AND($M130,F130="")</formula>
    </cfRule>
    <cfRule type="expression" dxfId="1982" priority="76">
      <formula>NOT($M130)</formula>
    </cfRule>
  </conditionalFormatting>
  <conditionalFormatting sqref="F131">
    <cfRule type="expression" dxfId="1980" priority="75">
      <formula>NOT($M130)</formula>
    </cfRule>
  </conditionalFormatting>
  <conditionalFormatting sqref="F138">
    <cfRule type="expression" dxfId="1977" priority="71">
      <formula>NOT($M137)</formula>
    </cfRule>
  </conditionalFormatting>
  <conditionalFormatting sqref="F140">
    <cfRule type="expression" dxfId="1974" priority="67">
      <formula>NOT($M139)</formula>
    </cfRule>
  </conditionalFormatting>
  <conditionalFormatting sqref="F142">
    <cfRule type="expression" dxfId="1971" priority="63">
      <formula>NOT($M141)</formula>
    </cfRule>
  </conditionalFormatting>
  <conditionalFormatting sqref="F159">
    <cfRule type="expression" dxfId="1967" priority="55">
      <formula>NOT($M158)</formula>
    </cfRule>
  </conditionalFormatting>
  <conditionalFormatting sqref="F160">
    <cfRule type="expression" dxfId="1965" priority="53">
      <formula>AND($M160,F160="")</formula>
    </cfRule>
    <cfRule type="expression" dxfId="1964" priority="52">
      <formula>NOT($M160)</formula>
    </cfRule>
  </conditionalFormatting>
  <conditionalFormatting sqref="F173">
    <cfRule type="expression" dxfId="1962" priority="322">
      <formula>NOT($M172)</formula>
    </cfRule>
  </conditionalFormatting>
  <conditionalFormatting sqref="F177">
    <cfRule type="expression" dxfId="1960" priority="324">
      <formula>NOT($M176)</formula>
    </cfRule>
  </conditionalFormatting>
  <conditionalFormatting sqref="F178">
    <cfRule type="expression" dxfId="1959" priority="48">
      <formula>NOT($M178)</formula>
    </cfRule>
    <cfRule type="expression" dxfId="1958" priority="49">
      <formula>AND($M178,F178="")</formula>
    </cfRule>
  </conditionalFormatting>
  <conditionalFormatting sqref="F179">
    <cfRule type="expression" dxfId="1956" priority="47">
      <formula>NOT($M178)</formula>
    </cfRule>
  </conditionalFormatting>
  <conditionalFormatting sqref="F180">
    <cfRule type="expression" dxfId="1955" priority="45">
      <formula>AND($M180,F180="")</formula>
    </cfRule>
    <cfRule type="expression" dxfId="1954" priority="44">
      <formula>NOT($M180)</formula>
    </cfRule>
  </conditionalFormatting>
  <conditionalFormatting sqref="F181">
    <cfRule type="expression" dxfId="1952" priority="43">
      <formula>NOT($M180)</formula>
    </cfRule>
  </conditionalFormatting>
  <conditionalFormatting sqref="F182">
    <cfRule type="expression" dxfId="1951" priority="41">
      <formula>AND($M182,F182="")</formula>
    </cfRule>
    <cfRule type="expression" dxfId="1950" priority="40">
      <formula>NOT($M182)</formula>
    </cfRule>
  </conditionalFormatting>
  <conditionalFormatting sqref="F183">
    <cfRule type="expression" dxfId="1948" priority="39">
      <formula>NOT($M182)</formula>
    </cfRule>
  </conditionalFormatting>
  <conditionalFormatting sqref="G14">
    <cfRule type="expression" dxfId="1941" priority="830">
      <formula>NOT($M14)</formula>
    </cfRule>
  </conditionalFormatting>
  <conditionalFormatting sqref="G44">
    <cfRule type="expression" dxfId="1940" priority="825">
      <formula>NOT($M44)</formula>
    </cfRule>
  </conditionalFormatting>
  <conditionalFormatting sqref="G50">
    <cfRule type="expression" dxfId="1939" priority="821">
      <formula>NOT($M50)</formula>
    </cfRule>
  </conditionalFormatting>
  <conditionalFormatting sqref="G55">
    <cfRule type="expression" dxfId="1938" priority="817">
      <formula>NOT($M55)</formula>
    </cfRule>
  </conditionalFormatting>
  <conditionalFormatting sqref="G57">
    <cfRule type="expression" dxfId="1937" priority="657">
      <formula>NOT($M57)</formula>
    </cfRule>
  </conditionalFormatting>
  <conditionalFormatting sqref="G59">
    <cfRule type="expression" dxfId="1935" priority="653">
      <formula>NOT($M59)</formula>
    </cfRule>
  </conditionalFormatting>
  <conditionalFormatting sqref="G61">
    <cfRule type="expression" dxfId="1934" priority="812">
      <formula>NOT($M61)</formula>
    </cfRule>
  </conditionalFormatting>
  <conditionalFormatting sqref="G63">
    <cfRule type="expression" dxfId="1933" priority="808">
      <formula>NOT($M63)</formula>
    </cfRule>
  </conditionalFormatting>
  <conditionalFormatting sqref="G68">
    <cfRule type="expression" dxfId="1932" priority="804">
      <formula>NOT($M68)</formula>
    </cfRule>
  </conditionalFormatting>
  <conditionalFormatting sqref="G70">
    <cfRule type="expression" dxfId="1931" priority="610">
      <formula>NOT($M70)</formula>
    </cfRule>
  </conditionalFormatting>
  <conditionalFormatting sqref="G72">
    <cfRule type="expression" dxfId="1930" priority="629">
      <formula>NOT($M72)</formula>
    </cfRule>
  </conditionalFormatting>
  <conditionalFormatting sqref="G74">
    <cfRule type="expression" dxfId="1929" priority="799">
      <formula>NOT($M74)</formula>
    </cfRule>
  </conditionalFormatting>
  <conditionalFormatting sqref="G76">
    <cfRule type="expression" dxfId="1928" priority="795">
      <formula>NOT($M76)</formula>
    </cfRule>
  </conditionalFormatting>
  <conditionalFormatting sqref="G81">
    <cfRule type="expression" dxfId="1927" priority="791">
      <formula>NOT($M81)</formula>
    </cfRule>
  </conditionalFormatting>
  <conditionalFormatting sqref="G83">
    <cfRule type="expression" dxfId="1926" priority="484">
      <formula>NOT($M83)</formula>
    </cfRule>
  </conditionalFormatting>
  <conditionalFormatting sqref="G85">
    <cfRule type="expression" dxfId="1925" priority="480">
      <formula>NOT($M85)</formula>
    </cfRule>
  </conditionalFormatting>
  <conditionalFormatting sqref="G87">
    <cfRule type="expression" dxfId="1924" priority="510">
      <formula>NOT($M87)</formula>
    </cfRule>
  </conditionalFormatting>
  <conditionalFormatting sqref="G89">
    <cfRule type="expression" dxfId="1923" priority="532">
      <formula>NOT($M89)</formula>
    </cfRule>
  </conditionalFormatting>
  <conditionalFormatting sqref="G91">
    <cfRule type="expression" dxfId="1922" priority="528">
      <formula>NOT($M91)</formula>
    </cfRule>
  </conditionalFormatting>
  <conditionalFormatting sqref="G93">
    <cfRule type="expression" dxfId="1921" priority="558">
      <formula>NOT($M93)</formula>
    </cfRule>
  </conditionalFormatting>
  <conditionalFormatting sqref="G95">
    <cfRule type="expression" dxfId="1920" priority="580">
      <formula>NOT($M95)</formula>
    </cfRule>
  </conditionalFormatting>
  <conditionalFormatting sqref="G97">
    <cfRule type="expression" dxfId="1919" priority="576">
      <formula>NOT($M97)</formula>
    </cfRule>
  </conditionalFormatting>
  <conditionalFormatting sqref="G99">
    <cfRule type="expression" dxfId="1918" priority="786">
      <formula>NOT($M99)</formula>
    </cfRule>
  </conditionalFormatting>
  <conditionalFormatting sqref="G101">
    <cfRule type="expression" dxfId="1917" priority="782">
      <formula>NOT($M101)</formula>
    </cfRule>
  </conditionalFormatting>
  <conditionalFormatting sqref="G110">
    <cfRule type="expression" dxfId="1916" priority="778">
      <formula>NOT($M110)</formula>
    </cfRule>
  </conditionalFormatting>
  <conditionalFormatting sqref="G112">
    <cfRule type="expression" dxfId="1915" priority="427">
      <formula>NOT($M112)</formula>
    </cfRule>
  </conditionalFormatting>
  <conditionalFormatting sqref="G114">
    <cfRule type="expression" dxfId="1914" priority="446">
      <formula>NOT($M114)</formula>
    </cfRule>
  </conditionalFormatting>
  <conditionalFormatting sqref="G116">
    <cfRule type="expression" dxfId="1913" priority="773">
      <formula>NOT($M116)</formula>
    </cfRule>
  </conditionalFormatting>
  <conditionalFormatting sqref="G118">
    <cfRule type="expression" dxfId="1912" priority="769">
      <formula>NOT($M118)</formula>
    </cfRule>
  </conditionalFormatting>
  <conditionalFormatting sqref="G126">
    <cfRule type="expression" dxfId="1911" priority="765">
      <formula>NOT($M126)</formula>
    </cfRule>
  </conditionalFormatting>
  <conditionalFormatting sqref="G128">
    <cfRule type="expression" dxfId="1910" priority="760">
      <formula>NOT($M128)</formula>
    </cfRule>
  </conditionalFormatting>
  <conditionalFormatting sqref="G130">
    <cfRule type="expression" dxfId="1909" priority="756">
      <formula>NOT($M130)</formula>
    </cfRule>
  </conditionalFormatting>
  <conditionalFormatting sqref="G135">
    <cfRule type="expression" dxfId="1908" priority="752">
      <formula>NOT($M135)</formula>
    </cfRule>
  </conditionalFormatting>
  <conditionalFormatting sqref="G137">
    <cfRule type="expression" dxfId="1907" priority="405">
      <formula>NOT($M137)</formula>
    </cfRule>
  </conditionalFormatting>
  <conditionalFormatting sqref="G139">
    <cfRule type="expression" dxfId="1906" priority="747">
      <formula>NOT($M139)</formula>
    </cfRule>
  </conditionalFormatting>
  <conditionalFormatting sqref="G141">
    <cfRule type="expression" dxfId="1905" priority="743">
      <formula>NOT($M141)</formula>
    </cfRule>
  </conditionalFormatting>
  <conditionalFormatting sqref="G146">
    <cfRule type="expression" dxfId="1904" priority="708">
      <formula>NOT($M146)</formula>
    </cfRule>
  </conditionalFormatting>
  <conditionalFormatting sqref="G148">
    <cfRule type="expression" dxfId="1903" priority="357">
      <formula>NOT($M148)</formula>
    </cfRule>
  </conditionalFormatting>
  <conditionalFormatting sqref="G150">
    <cfRule type="expression" dxfId="1902" priority="704">
      <formula>NOT($M150)</formula>
    </cfRule>
  </conditionalFormatting>
  <conditionalFormatting sqref="G152">
    <cfRule type="expression" dxfId="1901" priority="702">
      <formula>NOT($M152)</formula>
    </cfRule>
  </conditionalFormatting>
  <conditionalFormatting sqref="G154">
    <cfRule type="expression" dxfId="1900" priority="387">
      <formula>NOT($M154)</formula>
    </cfRule>
  </conditionalFormatting>
  <conditionalFormatting sqref="G156">
    <cfRule type="expression" dxfId="1899" priority="372">
      <formula>NOT($M156)</formula>
    </cfRule>
  </conditionalFormatting>
  <conditionalFormatting sqref="G158">
    <cfRule type="expression" dxfId="1898" priority="734">
      <formula>NOT($M158)</formula>
    </cfRule>
  </conditionalFormatting>
  <conditionalFormatting sqref="G160">
    <cfRule type="expression" dxfId="1897" priority="730">
      <formula>NOT($M160)</formula>
    </cfRule>
  </conditionalFormatting>
  <conditionalFormatting sqref="G168">
    <cfRule type="expression" dxfId="1896" priority="711">
      <formula>NOT($M168)</formula>
    </cfRule>
  </conditionalFormatting>
  <conditionalFormatting sqref="G170">
    <cfRule type="expression" dxfId="1895" priority="713">
      <formula>NOT($M170)</formula>
    </cfRule>
  </conditionalFormatting>
  <conditionalFormatting sqref="G172">
    <cfRule type="expression" dxfId="1894" priority="715">
      <formula>NOT($M172)</formula>
    </cfRule>
  </conditionalFormatting>
  <conditionalFormatting sqref="G174">
    <cfRule type="expression" dxfId="1893" priority="329">
      <formula>NOT($M174)</formula>
    </cfRule>
  </conditionalFormatting>
  <conditionalFormatting sqref="G176">
    <cfRule type="expression" dxfId="1892" priority="325">
      <formula>NOT($M176)</formula>
    </cfRule>
  </conditionalFormatting>
  <conditionalFormatting sqref="G178">
    <cfRule type="expression" dxfId="1891" priority="726">
      <formula>NOT($M178)</formula>
    </cfRule>
  </conditionalFormatting>
  <conditionalFormatting sqref="G180">
    <cfRule type="expression" dxfId="1890" priority="721">
      <formula>NOT($M180)</formula>
    </cfRule>
  </conditionalFormatting>
  <conditionalFormatting sqref="G182">
    <cfRule type="expression" dxfId="1889" priority="717">
      <formula>NOT($M182)</formula>
    </cfRule>
  </conditionalFormatting>
  <conditionalFormatting sqref="H14:I14">
    <cfRule type="expression" dxfId="1871" priority="1443">
      <formula>M14=FALSE</formula>
    </cfRule>
    <cfRule type="expression" dxfId="1870" priority="1927">
      <formula>AND(M14,OR(G14="pauschal",J14&lt;&gt;""))</formula>
    </cfRule>
    <cfRule type="expression" dxfId="1869" priority="1610">
      <formula>AND(M14,H14="",G14&lt;&gt;"pauschal",J14="")</formula>
    </cfRule>
  </conditionalFormatting>
  <conditionalFormatting sqref="H44:I44 H50:I50">
    <cfRule type="expression" dxfId="1868" priority="1213">
      <formula>M44=FALSE</formula>
    </cfRule>
    <cfRule type="expression" dxfId="1867" priority="1214">
      <formula>AND(M44,H44="",G44&lt;&gt;"pauschal",J44="")</formula>
    </cfRule>
    <cfRule type="expression" dxfId="1866" priority="1218">
      <formula>AND(M44,OR(G44="pauschal",J44&lt;&gt;""))</formula>
    </cfRule>
  </conditionalFormatting>
  <conditionalFormatting sqref="H44:I44">
    <cfRule type="expression" dxfId="1865" priority="1441">
      <formula>AND(M44,OR(G44="pauschal",J44&lt;&gt;""))</formula>
    </cfRule>
    <cfRule type="expression" dxfId="1864" priority="1437">
      <formula>M44=FALSE</formula>
    </cfRule>
    <cfRule type="expression" dxfId="1863" priority="1438">
      <formula>AND(M44,H44="",G44&lt;&gt;"pauschal",J44="")</formula>
    </cfRule>
  </conditionalFormatting>
  <conditionalFormatting sqref="H50:I50">
    <cfRule type="expression" dxfId="1862" priority="1431">
      <formula>M50=FALSE</formula>
    </cfRule>
    <cfRule type="expression" dxfId="1861" priority="1432">
      <formula>AND(M50,H50="",G50&lt;&gt;"pauschal",J50="")</formula>
    </cfRule>
    <cfRule type="expression" dxfId="1860" priority="1435">
      <formula>AND(M50,OR(G50="pauschal",J50&lt;&gt;""))</formula>
    </cfRule>
  </conditionalFormatting>
  <conditionalFormatting sqref="H55:I55">
    <cfRule type="expression" dxfId="1859" priority="1204">
      <formula>M55=FALSE</formula>
    </cfRule>
    <cfRule type="expression" dxfId="1858" priority="1207">
      <formula>AND(M55,H55="",G55&lt;&gt;"pauschal",J55="")</formula>
    </cfRule>
    <cfRule type="expression" dxfId="1857" priority="1211">
      <formula>AND(M55,OR(G55="pauschal",J55&lt;&gt;""))</formula>
    </cfRule>
  </conditionalFormatting>
  <conditionalFormatting sqref="H57:I57 H59:I59">
    <cfRule type="expression" dxfId="1856" priority="664">
      <formula>AND(M57,H57="",G57&lt;&gt;"pauschal",J57="")</formula>
    </cfRule>
    <cfRule type="expression" dxfId="1855" priority="667">
      <formula>AND(M57,OR(G57="pauschal",J57&lt;&gt;""))</formula>
    </cfRule>
    <cfRule type="expression" dxfId="1854" priority="663">
      <formula>M57=FALSE</formula>
    </cfRule>
  </conditionalFormatting>
  <conditionalFormatting sqref="H57:I57">
    <cfRule type="expression" dxfId="1853" priority="680">
      <formula>AND(M57,OR(G57="pauschal",J57&lt;&gt;""))</formula>
    </cfRule>
    <cfRule type="expression" dxfId="1852" priority="676">
      <formula>M57=FALSE</formula>
    </cfRule>
    <cfRule type="expression" dxfId="1851" priority="677">
      <formula>AND(M57,H57="",G57&lt;&gt;"pauschal",J57="")</formula>
    </cfRule>
  </conditionalFormatting>
  <conditionalFormatting sqref="H59:I59">
    <cfRule type="expression" dxfId="1850" priority="670">
      <formula>M59=FALSE</formula>
    </cfRule>
    <cfRule type="expression" dxfId="1849" priority="671">
      <formula>AND(M59,H59="",G59&lt;&gt;"pauschal",J59="")</formula>
    </cfRule>
    <cfRule type="expression" dxfId="1848" priority="674">
      <formula>AND(M59,OR(G59="pauschal",J59&lt;&gt;""))</formula>
    </cfRule>
  </conditionalFormatting>
  <conditionalFormatting sqref="H61:I61 H63:I63">
    <cfRule type="expression" dxfId="1847" priority="1189">
      <formula>AND(M61,OR(G61="pauschal",J61&lt;&gt;""))</formula>
    </cfRule>
    <cfRule type="expression" dxfId="1846" priority="1185">
      <formula>AND(M61,H61="",G61&lt;&gt;"pauschal",J61="")</formula>
    </cfRule>
    <cfRule type="expression" dxfId="1845" priority="1184">
      <formula>M61=FALSE</formula>
    </cfRule>
  </conditionalFormatting>
  <conditionalFormatting sqref="H61:I61">
    <cfRule type="expression" dxfId="1844" priority="1199">
      <formula>AND(M61,H61="",G61&lt;&gt;"pauschal",J61="")</formula>
    </cfRule>
    <cfRule type="expression" dxfId="1843" priority="1198">
      <formula>M61=FALSE</formula>
    </cfRule>
    <cfRule type="expression" dxfId="1842" priority="1202">
      <formula>AND(M61,OR(G61="pauschal",J61&lt;&gt;""))</formula>
    </cfRule>
  </conditionalFormatting>
  <conditionalFormatting sqref="H63:I63">
    <cfRule type="expression" dxfId="1841" priority="1196">
      <formula>AND(M63,OR(G63="pauschal",J63&lt;&gt;""))</formula>
    </cfRule>
    <cfRule type="expression" dxfId="1840" priority="1193">
      <formula>AND(M63,H63="",G63&lt;&gt;"pauschal",J63="")</formula>
    </cfRule>
    <cfRule type="expression" dxfId="1839" priority="1192">
      <formula>M63=FALSE</formula>
    </cfRule>
  </conditionalFormatting>
  <conditionalFormatting sqref="H68:I68">
    <cfRule type="expression" dxfId="1838" priority="1182">
      <formula>AND(M68,OR(G68="pauschal",J68&lt;&gt;""))</formula>
    </cfRule>
    <cfRule type="expression" dxfId="1837" priority="1178">
      <formula>AND(M68,H68="",G68&lt;&gt;"pauschal",J68="")</formula>
    </cfRule>
    <cfRule type="expression" dxfId="1836" priority="1175">
      <formula>M68=FALSE</formula>
    </cfRule>
  </conditionalFormatting>
  <conditionalFormatting sqref="H70:I70">
    <cfRule type="expression" dxfId="1835" priority="615">
      <formula>M70=FALSE</formula>
    </cfRule>
    <cfRule type="expression" dxfId="1834" priority="616">
      <formula>AND(M70,H70="",G70&lt;&gt;"pauschal",J70="")</formula>
    </cfRule>
    <cfRule type="expression" dxfId="1833" priority="622">
      <formula>AND(M70,H70="",G70&lt;&gt;"pauschal",J70="")</formula>
    </cfRule>
    <cfRule type="expression" dxfId="1832" priority="621">
      <formula>M70=FALSE</formula>
    </cfRule>
    <cfRule type="expression" dxfId="1831" priority="619">
      <formula>AND(M70,OR(G70="pauschal",J70&lt;&gt;""))</formula>
    </cfRule>
    <cfRule type="expression" dxfId="1830" priority="625">
      <formula>AND(M70,OR(G70="pauschal",J70&lt;&gt;""))</formula>
    </cfRule>
  </conditionalFormatting>
  <conditionalFormatting sqref="H72:I72">
    <cfRule type="expression" dxfId="1829" priority="634">
      <formula>M72=FALSE</formula>
    </cfRule>
    <cfRule type="expression" dxfId="1828" priority="635">
      <formula>AND(M72,H72="",G72&lt;&gt;"pauschal",J72="")</formula>
    </cfRule>
    <cfRule type="expression" dxfId="1827" priority="638">
      <formula>AND(M72,OR(G72="pauschal",J72&lt;&gt;""))</formula>
    </cfRule>
    <cfRule type="expression" dxfId="1826" priority="641">
      <formula>AND(M72,H72="",G72&lt;&gt;"pauschal",J72="")</formula>
    </cfRule>
    <cfRule type="expression" dxfId="1825" priority="644">
      <formula>AND(M72,OR(G72="pauschal",J72&lt;&gt;""))</formula>
    </cfRule>
    <cfRule type="expression" dxfId="1824" priority="640">
      <formula>M72=FALSE</formula>
    </cfRule>
  </conditionalFormatting>
  <conditionalFormatting sqref="H74:I74 H76:I76">
    <cfRule type="expression" dxfId="1823" priority="1155">
      <formula>M74=FALSE</formula>
    </cfRule>
    <cfRule type="expression" dxfId="1822" priority="1156">
      <formula>AND(M74,H74="",G74&lt;&gt;"pauschal",J74="")</formula>
    </cfRule>
    <cfRule type="expression" dxfId="1821" priority="1160">
      <formula>AND(M74,OR(G74="pauschal",J74&lt;&gt;""))</formula>
    </cfRule>
  </conditionalFormatting>
  <conditionalFormatting sqref="H74:I74">
    <cfRule type="expression" dxfId="1820" priority="1173">
      <formula>AND(M74,OR(G74="pauschal",J74&lt;&gt;""))</formula>
    </cfRule>
    <cfRule type="expression" dxfId="1819" priority="1169">
      <formula>M74=FALSE</formula>
    </cfRule>
    <cfRule type="expression" dxfId="1818" priority="1170">
      <formula>AND(M74,H74="",G74&lt;&gt;"pauschal",J74="")</formula>
    </cfRule>
  </conditionalFormatting>
  <conditionalFormatting sqref="H76:I76">
    <cfRule type="expression" dxfId="1817" priority="1167">
      <formula>AND(M76,OR(G76="pauschal",J76&lt;&gt;""))</formula>
    </cfRule>
    <cfRule type="expression" dxfId="1816" priority="1164">
      <formula>AND(M76,H76="",G76&lt;&gt;"pauschal",J76="")</formula>
    </cfRule>
    <cfRule type="expression" dxfId="1815" priority="1163">
      <formula>M76=FALSE</formula>
    </cfRule>
  </conditionalFormatting>
  <conditionalFormatting sqref="H81:I81">
    <cfRule type="expression" dxfId="1814" priority="1153">
      <formula>AND(M81,OR(G81="pauschal",J81&lt;&gt;""))</formula>
    </cfRule>
    <cfRule type="expression" dxfId="1813" priority="1146">
      <formula>M81=FALSE</formula>
    </cfRule>
    <cfRule type="expression" dxfId="1812" priority="1149">
      <formula>AND(M81,H81="",G81&lt;&gt;"pauschal",J81="")</formula>
    </cfRule>
  </conditionalFormatting>
  <conditionalFormatting sqref="H83:I83 H85:I85">
    <cfRule type="expression" dxfId="1811" priority="490">
      <formula>M83=FALSE</formula>
    </cfRule>
    <cfRule type="expression" dxfId="1810" priority="491">
      <formula>AND(M83,H83="",G83&lt;&gt;"pauschal",J83="")</formula>
    </cfRule>
    <cfRule type="expression" dxfId="1809" priority="494">
      <formula>AND(M83,OR(G83="pauschal",J83&lt;&gt;""))</formula>
    </cfRule>
  </conditionalFormatting>
  <conditionalFormatting sqref="H83:I83">
    <cfRule type="expression" dxfId="1808" priority="503">
      <formula>AND(M83,H83="",G83&lt;&gt;"pauschal",J83="")</formula>
    </cfRule>
    <cfRule type="expression" dxfId="1807" priority="506">
      <formula>AND(M83,OR(G83="pauschal",J83&lt;&gt;""))</formula>
    </cfRule>
    <cfRule type="expression" dxfId="1806" priority="502">
      <formula>M83=FALSE</formula>
    </cfRule>
  </conditionalFormatting>
  <conditionalFormatting sqref="H85:I85">
    <cfRule type="expression" dxfId="1805" priority="496">
      <formula>M85=FALSE</formula>
    </cfRule>
    <cfRule type="expression" dxfId="1804" priority="497">
      <formula>AND(M85,H85="",G85&lt;&gt;"pauschal",J85="")</formula>
    </cfRule>
    <cfRule type="expression" dxfId="1803" priority="500">
      <formula>AND(M85,OR(G85="pauschal",J85&lt;&gt;""))</formula>
    </cfRule>
  </conditionalFormatting>
  <conditionalFormatting sqref="H87:I87">
    <cfRule type="expression" dxfId="1802" priority="525">
      <formula>AND(M87,OR(G87="pauschal",J87&lt;&gt;""))</formula>
    </cfRule>
    <cfRule type="expression" dxfId="1801" priority="515">
      <formula>M87=FALSE</formula>
    </cfRule>
    <cfRule type="expression" dxfId="1800" priority="521">
      <formula>M87=FALSE</formula>
    </cfRule>
    <cfRule type="expression" dxfId="1799" priority="522">
      <formula>AND(M87,H87="",G87&lt;&gt;"pauschal",J87="")</formula>
    </cfRule>
    <cfRule type="expression" dxfId="1798" priority="516">
      <formula>AND(M87,H87="",G87&lt;&gt;"pauschal",J87="")</formula>
    </cfRule>
    <cfRule type="expression" dxfId="1797" priority="519">
      <formula>AND(M87,OR(G87="pauschal",J87&lt;&gt;""))</formula>
    </cfRule>
  </conditionalFormatting>
  <conditionalFormatting sqref="H89:I89 H91:I91">
    <cfRule type="expression" dxfId="1796" priority="542">
      <formula>AND(M89,OR(G89="pauschal",J89&lt;&gt;""))</formula>
    </cfRule>
    <cfRule type="expression" dxfId="1795" priority="539">
      <formula>AND(M89,H89="",G89&lt;&gt;"pauschal",J89="")</formula>
    </cfRule>
    <cfRule type="expression" dxfId="1794" priority="538">
      <formula>M89=FALSE</formula>
    </cfRule>
  </conditionalFormatting>
  <conditionalFormatting sqref="H89:I89">
    <cfRule type="expression" dxfId="1793" priority="554">
      <formula>AND(M89,OR(G89="pauschal",J89&lt;&gt;""))</formula>
    </cfRule>
    <cfRule type="expression" dxfId="1792" priority="551">
      <formula>AND(M89,H89="",G89&lt;&gt;"pauschal",J89="")</formula>
    </cfRule>
    <cfRule type="expression" dxfId="1791" priority="550">
      <formula>M89=FALSE</formula>
    </cfRule>
  </conditionalFormatting>
  <conditionalFormatting sqref="H91:I91">
    <cfRule type="expression" dxfId="1790" priority="544">
      <formula>M91=FALSE</formula>
    </cfRule>
    <cfRule type="expression" dxfId="1789" priority="545">
      <formula>AND(M91,H91="",G91&lt;&gt;"pauschal",J91="")</formula>
    </cfRule>
    <cfRule type="expression" dxfId="1788" priority="548">
      <formula>AND(M91,OR(G91="pauschal",J91&lt;&gt;""))</formula>
    </cfRule>
  </conditionalFormatting>
  <conditionalFormatting sqref="H93:I93">
    <cfRule type="expression" dxfId="1787" priority="570">
      <formula>AND(M93,H93="",G93&lt;&gt;"pauschal",J93="")</formula>
    </cfRule>
    <cfRule type="expression" dxfId="1786" priority="573">
      <formula>AND(M93,OR(G93="pauschal",J93&lt;&gt;""))</formula>
    </cfRule>
    <cfRule type="expression" dxfId="1785" priority="563">
      <formula>M93=FALSE</formula>
    </cfRule>
    <cfRule type="expression" dxfId="1784" priority="564">
      <formula>AND(M93,H93="",G93&lt;&gt;"pauschal",J93="")</formula>
    </cfRule>
    <cfRule type="expression" dxfId="1783" priority="567">
      <formula>AND(M93,OR(G93="pauschal",J93&lt;&gt;""))</formula>
    </cfRule>
    <cfRule type="expression" dxfId="1782" priority="569">
      <formula>M93=FALSE</formula>
    </cfRule>
  </conditionalFormatting>
  <conditionalFormatting sqref="H95:I95 H97:I97">
    <cfRule type="expression" dxfId="1781" priority="586">
      <formula>M95=FALSE</formula>
    </cfRule>
    <cfRule type="expression" dxfId="1780" priority="587">
      <formula>AND(M95,H95="",G95&lt;&gt;"pauschal",J95="")</formula>
    </cfRule>
    <cfRule type="expression" dxfId="1779" priority="590">
      <formula>AND(M95,OR(G95="pauschal",J95&lt;&gt;""))</formula>
    </cfRule>
  </conditionalFormatting>
  <conditionalFormatting sqref="H95:I95">
    <cfRule type="expression" dxfId="1778" priority="602">
      <formula>AND(M95,OR(G95="pauschal",J95&lt;&gt;""))</formula>
    </cfRule>
    <cfRule type="expression" dxfId="1777" priority="598">
      <formula>M95=FALSE</formula>
    </cfRule>
    <cfRule type="expression" dxfId="1776" priority="599">
      <formula>AND(M95,H95="",G95&lt;&gt;"pauschal",J95="")</formula>
    </cfRule>
  </conditionalFormatting>
  <conditionalFormatting sqref="H97:I97">
    <cfRule type="expression" dxfId="1775" priority="592">
      <formula>M97=FALSE</formula>
    </cfRule>
    <cfRule type="expression" dxfId="1774" priority="593">
      <formula>AND(M97,H97="",G97&lt;&gt;"pauschal",J97="")</formula>
    </cfRule>
    <cfRule type="expression" dxfId="1773" priority="596">
      <formula>AND(M97,OR(G97="pauschal",J97&lt;&gt;""))</formula>
    </cfRule>
  </conditionalFormatting>
  <conditionalFormatting sqref="H99:I99 H101:I101">
    <cfRule type="expression" dxfId="1772" priority="1126">
      <formula>M99=FALSE</formula>
    </cfRule>
    <cfRule type="expression" dxfId="1771" priority="1127">
      <formula>AND(M99,H99="",G99&lt;&gt;"pauschal",J99="")</formula>
    </cfRule>
    <cfRule type="expression" dxfId="1770" priority="1131">
      <formula>AND(M99,OR(G99="pauschal",J99&lt;&gt;""))</formula>
    </cfRule>
  </conditionalFormatting>
  <conditionalFormatting sqref="H99:I99">
    <cfRule type="expression" dxfId="1769" priority="1140">
      <formula>M99=FALSE</formula>
    </cfRule>
    <cfRule type="expression" dxfId="1768" priority="1141">
      <formula>AND(M99,H99="",G99&lt;&gt;"pauschal",J99="")</formula>
    </cfRule>
    <cfRule type="expression" dxfId="1767" priority="1144">
      <formula>AND(M99,OR(G99="pauschal",J99&lt;&gt;""))</formula>
    </cfRule>
  </conditionalFormatting>
  <conditionalFormatting sqref="H101:I101">
    <cfRule type="expression" dxfId="1766" priority="1134">
      <formula>M101=FALSE</formula>
    </cfRule>
    <cfRule type="expression" dxfId="1765" priority="1138">
      <formula>AND(M101,OR(G101="pauschal",J101&lt;&gt;""))</formula>
    </cfRule>
    <cfRule type="expression" dxfId="1764" priority="1135">
      <formula>AND(M101,H101="",G101&lt;&gt;"pauschal",J101="")</formula>
    </cfRule>
  </conditionalFormatting>
  <conditionalFormatting sqref="H110:I110">
    <cfRule type="expression" dxfId="1763" priority="1117">
      <formula>M110=FALSE</formula>
    </cfRule>
    <cfRule type="expression" dxfId="1762" priority="1120">
      <formula>AND(M110,H110="",G110&lt;&gt;"pauschal",J110="")</formula>
    </cfRule>
    <cfRule type="expression" dxfId="1761" priority="1124">
      <formula>AND(M110,OR(G110="pauschal",J110&lt;&gt;""))</formula>
    </cfRule>
  </conditionalFormatting>
  <conditionalFormatting sqref="H112:I112">
    <cfRule type="expression" dxfId="1760" priority="436">
      <formula>AND(M112,OR(G112="pauschal",J112&lt;&gt;""))</formula>
    </cfRule>
    <cfRule type="expression" dxfId="1759" priority="438">
      <formula>M112=FALSE</formula>
    </cfRule>
    <cfRule type="expression" dxfId="1758" priority="442">
      <formula>AND(M112,OR(G112="pauschal",J112&lt;&gt;""))</formula>
    </cfRule>
    <cfRule type="expression" dxfId="1757" priority="439">
      <formula>AND(M112,H112="",G112&lt;&gt;"pauschal",J112="")</formula>
    </cfRule>
    <cfRule type="expression" dxfId="1756" priority="432">
      <formula>M112=FALSE</formula>
    </cfRule>
    <cfRule type="expression" dxfId="1755" priority="433">
      <formula>AND(M112,H112="",G112&lt;&gt;"pauschal",J112="")</formula>
    </cfRule>
  </conditionalFormatting>
  <conditionalFormatting sqref="H114:I114">
    <cfRule type="expression" dxfId="1754" priority="455">
      <formula>AND(M114,OR(G114="pauschal",J114&lt;&gt;""))</formula>
    </cfRule>
    <cfRule type="expression" dxfId="1753" priority="457">
      <formula>M114=FALSE</formula>
    </cfRule>
    <cfRule type="expression" dxfId="1752" priority="458">
      <formula>AND(M114,H114="",G114&lt;&gt;"pauschal",J114="")</formula>
    </cfRule>
    <cfRule type="expression" dxfId="1751" priority="461">
      <formula>AND(M114,OR(G114="pauschal",J114&lt;&gt;""))</formula>
    </cfRule>
    <cfRule type="expression" dxfId="1750" priority="451">
      <formula>M114=FALSE</formula>
    </cfRule>
    <cfRule type="expression" dxfId="1749" priority="452">
      <formula>AND(M114,H114="",G114&lt;&gt;"pauschal",J114="")</formula>
    </cfRule>
  </conditionalFormatting>
  <conditionalFormatting sqref="H116:I116 H118:I118">
    <cfRule type="expression" dxfId="1748" priority="1102">
      <formula>AND(M116,OR(G116="pauschal",J116&lt;&gt;""))</formula>
    </cfRule>
    <cfRule type="expression" dxfId="1747" priority="1098">
      <formula>AND(M116,H116="",G116&lt;&gt;"pauschal",J116="")</formula>
    </cfRule>
    <cfRule type="expression" dxfId="1746" priority="1097">
      <formula>M116=FALSE</formula>
    </cfRule>
  </conditionalFormatting>
  <conditionalFormatting sqref="H116:I116">
    <cfRule type="expression" dxfId="1745" priority="1115">
      <formula>AND(M116,OR(G116="pauschal",J116&lt;&gt;""))</formula>
    </cfRule>
    <cfRule type="expression" dxfId="1744" priority="1111">
      <formula>M116=FALSE</formula>
    </cfRule>
    <cfRule type="expression" dxfId="1743" priority="1112">
      <formula>AND(M116,H116="",G116&lt;&gt;"pauschal",J116="")</formula>
    </cfRule>
  </conditionalFormatting>
  <conditionalFormatting sqref="H118:I118">
    <cfRule type="expression" dxfId="1742" priority="1106">
      <formula>AND(M118,H118="",G118&lt;&gt;"pauschal",J118="")</formula>
    </cfRule>
    <cfRule type="expression" dxfId="1741" priority="1109">
      <formula>AND(M118,OR(G118="pauschal",J118&lt;&gt;""))</formula>
    </cfRule>
    <cfRule type="expression" dxfId="1740" priority="1105">
      <formula>M118=FALSE</formula>
    </cfRule>
  </conditionalFormatting>
  <conditionalFormatting sqref="H126:I126">
    <cfRule type="expression" dxfId="1739" priority="1088">
      <formula>M126=FALSE</formula>
    </cfRule>
    <cfRule type="expression" dxfId="1738" priority="1095">
      <formula>AND(M126,OR(G126="pauschal",J126&lt;&gt;""))</formula>
    </cfRule>
    <cfRule type="expression" dxfId="1737" priority="1091">
      <formula>AND(M126,H126="",G126&lt;&gt;"pauschal",J126="")</formula>
    </cfRule>
  </conditionalFormatting>
  <conditionalFormatting sqref="H128:I128 H130:I130">
    <cfRule type="expression" dxfId="1736" priority="1073">
      <formula>AND(M128,OR(G128="pauschal",J128&lt;&gt;""))</formula>
    </cfRule>
    <cfRule type="expression" dxfId="1735" priority="1068">
      <formula>M128=FALSE</formula>
    </cfRule>
    <cfRule type="expression" dxfId="1734" priority="1069">
      <formula>AND(M128,H128="",G128&lt;&gt;"pauschal",J128="")</formula>
    </cfRule>
  </conditionalFormatting>
  <conditionalFormatting sqref="H128:I128">
    <cfRule type="expression" dxfId="1733" priority="1086">
      <formula>AND(M128,OR(G128="pauschal",J128&lt;&gt;""))</formula>
    </cfRule>
    <cfRule type="expression" dxfId="1732" priority="1082">
      <formula>M128=FALSE</formula>
    </cfRule>
    <cfRule type="expression" dxfId="1731" priority="1083">
      <formula>AND(M128,H128="",G128&lt;&gt;"pauschal",J128="")</formula>
    </cfRule>
  </conditionalFormatting>
  <conditionalFormatting sqref="H130:I130">
    <cfRule type="expression" dxfId="1730" priority="1076">
      <formula>M130=FALSE</formula>
    </cfRule>
    <cfRule type="expression" dxfId="1729" priority="1077">
      <formula>AND(M130,H130="",G130&lt;&gt;"pauschal",J130="")</formula>
    </cfRule>
    <cfRule type="expression" dxfId="1728" priority="1080">
      <formula>AND(M130,OR(G130="pauschal",J130&lt;&gt;""))</formula>
    </cfRule>
  </conditionalFormatting>
  <conditionalFormatting sqref="H135:I135">
    <cfRule type="expression" dxfId="1727" priority="1062">
      <formula>AND(M135,H135="",G135&lt;&gt;"pauschal",J135="")</formula>
    </cfRule>
    <cfRule type="expression" dxfId="1726" priority="1059">
      <formula>M135=FALSE</formula>
    </cfRule>
    <cfRule type="expression" dxfId="1725" priority="1066">
      <formula>AND(M135,OR(G135="pauschal",J135&lt;&gt;""))</formula>
    </cfRule>
  </conditionalFormatting>
  <conditionalFormatting sqref="H137:I137">
    <cfRule type="expression" dxfId="1724" priority="414">
      <formula>AND(M137,OR(G137="pauschal",J137&lt;&gt;""))</formula>
    </cfRule>
    <cfRule type="expression" dxfId="1723" priority="417">
      <formula>AND(M137,H137="",G137&lt;&gt;"pauschal",J137="")</formula>
    </cfRule>
    <cfRule type="expression" dxfId="1722" priority="416">
      <formula>M137=FALSE</formula>
    </cfRule>
    <cfRule type="expression" dxfId="1721" priority="420">
      <formula>AND(M137,OR(G137="pauschal",J137&lt;&gt;""))</formula>
    </cfRule>
    <cfRule type="expression" dxfId="1720" priority="410">
      <formula>M137=FALSE</formula>
    </cfRule>
    <cfRule type="expression" dxfId="1719" priority="411">
      <formula>AND(M137,H137="",G137&lt;&gt;"pauschal",J137="")</formula>
    </cfRule>
  </conditionalFormatting>
  <conditionalFormatting sqref="H139:I139 H141:I141">
    <cfRule type="expression" dxfId="1718" priority="1044">
      <formula>AND(M139,OR(G139="pauschal",J139&lt;&gt;""))</formula>
    </cfRule>
    <cfRule type="expression" dxfId="1717" priority="1040">
      <formula>AND(M139,H139="",G139&lt;&gt;"pauschal",J139="")</formula>
    </cfRule>
    <cfRule type="expression" dxfId="1716" priority="1039">
      <formula>M139=FALSE</formula>
    </cfRule>
  </conditionalFormatting>
  <conditionalFormatting sqref="H139:I139">
    <cfRule type="expression" dxfId="1715" priority="1054">
      <formula>AND(M139,H139="",G139&lt;&gt;"pauschal",J139="")</formula>
    </cfRule>
    <cfRule type="expression" dxfId="1714" priority="1053">
      <formula>M139=FALSE</formula>
    </cfRule>
    <cfRule type="expression" dxfId="1713" priority="1057">
      <formula>AND(M139,OR(G139="pauschal",J139&lt;&gt;""))</formula>
    </cfRule>
  </conditionalFormatting>
  <conditionalFormatting sqref="H141:I141">
    <cfRule type="expression" dxfId="1712" priority="1051">
      <formula>AND(M141,OR(G141="pauschal",J141&lt;&gt;""))</formula>
    </cfRule>
    <cfRule type="expression" dxfId="1711" priority="1048">
      <formula>AND(M141,H141="",G141&lt;&gt;"pauschal",J141="")</formula>
    </cfRule>
    <cfRule type="expression" dxfId="1710" priority="1047">
      <formula>M141=FALSE</formula>
    </cfRule>
  </conditionalFormatting>
  <conditionalFormatting sqref="H146:I146">
    <cfRule type="expression" dxfId="1709" priority="948">
      <formula>AND(M146,H146="",G146&lt;&gt;"pauschal",J146="")</formula>
    </cfRule>
    <cfRule type="expression" dxfId="1708" priority="951">
      <formula>AND(M146,OR(G146="pauschal",J146&lt;&gt;""))</formula>
    </cfRule>
    <cfRule type="expression" dxfId="1707" priority="940">
      <formula>M146=FALSE</formula>
    </cfRule>
    <cfRule type="expression" dxfId="1706" priority="941">
      <formula>AND(M146,H146="",G146&lt;&gt;"pauschal",J146="")</formula>
    </cfRule>
    <cfRule type="expression" dxfId="1705" priority="944">
      <formula>AND(M146,OR(G146="pauschal",J146&lt;&gt;""))</formula>
    </cfRule>
    <cfRule type="expression" dxfId="1704" priority="947">
      <formula>M146=FALSE</formula>
    </cfRule>
  </conditionalFormatting>
  <conditionalFormatting sqref="H148:I148">
    <cfRule type="expression" dxfId="1703" priority="370">
      <formula>AND(M148,OR(G148="pauschal",J148&lt;&gt;""))</formula>
    </cfRule>
    <cfRule type="expression" dxfId="1702" priority="367">
      <formula>AND(M148,H148="",G148&lt;&gt;"pauschal",J148="")</formula>
    </cfRule>
    <cfRule type="expression" dxfId="1701" priority="364">
      <formula>AND(M148,OR(G148="pauschal",J148&lt;&gt;""))</formula>
    </cfRule>
    <cfRule type="expression" dxfId="1700" priority="361">
      <formula>AND(M148,H148="",G148&lt;&gt;"pauschal",J148="")</formula>
    </cfRule>
    <cfRule type="expression" dxfId="1699" priority="360">
      <formula>M148=FALSE</formula>
    </cfRule>
    <cfRule type="expression" dxfId="1698" priority="366">
      <formula>M148=FALSE</formula>
    </cfRule>
  </conditionalFormatting>
  <conditionalFormatting sqref="H150:I150">
    <cfRule type="expression" dxfId="1697" priority="918">
      <formula>AND(M150,H150="",G150&lt;&gt;"pauschal",J150="")</formula>
    </cfRule>
    <cfRule type="expression" dxfId="1696" priority="911">
      <formula>AND(M150,H150="",G150&lt;&gt;"pauschal",J150="")</formula>
    </cfRule>
    <cfRule type="expression" dxfId="1695" priority="914">
      <formula>AND(M150,OR(G150="pauschal",J150&lt;&gt;""))</formula>
    </cfRule>
    <cfRule type="expression" dxfId="1694" priority="910">
      <formula>M150=FALSE</formula>
    </cfRule>
    <cfRule type="expression" dxfId="1693" priority="917">
      <formula>M150=FALSE</formula>
    </cfRule>
    <cfRule type="expression" dxfId="1692" priority="921">
      <formula>AND(M150,OR(G150="pauschal",J150&lt;&gt;""))</formula>
    </cfRule>
  </conditionalFormatting>
  <conditionalFormatting sqref="H152:I152">
    <cfRule type="expression" dxfId="1691" priority="902">
      <formula>M152=FALSE</formula>
    </cfRule>
    <cfRule type="expression" dxfId="1690" priority="906">
      <formula>AND(M152,OR(G152="pauschal",J152&lt;&gt;""))</formula>
    </cfRule>
    <cfRule type="expression" dxfId="1689" priority="903">
      <formula>AND(M152,H152="",G152&lt;&gt;"pauschal",J152="")</formula>
    </cfRule>
    <cfRule type="expression" dxfId="1688" priority="895">
      <formula>M152=FALSE</formula>
    </cfRule>
    <cfRule type="expression" dxfId="1687" priority="896">
      <formula>AND(M152,H152="",G152&lt;&gt;"pauschal",J152="")</formula>
    </cfRule>
    <cfRule type="expression" dxfId="1686" priority="899">
      <formula>AND(M152,OR(G152="pauschal",J152&lt;&gt;""))</formula>
    </cfRule>
  </conditionalFormatting>
  <conditionalFormatting sqref="H154:I154">
    <cfRule type="expression" dxfId="1685" priority="390">
      <formula>M154=FALSE</formula>
    </cfRule>
    <cfRule type="expression" dxfId="1684" priority="391">
      <formula>AND(M154,H154="",G154&lt;&gt;"pauschal",J154="")</formula>
    </cfRule>
    <cfRule type="expression" dxfId="1683" priority="396">
      <formula>M154=FALSE</formula>
    </cfRule>
    <cfRule type="expression" dxfId="1682" priority="400">
      <formula>AND(M154,OR(G154="pauschal",J154&lt;&gt;""))</formula>
    </cfRule>
    <cfRule type="expression" dxfId="1681" priority="397">
      <formula>AND(M154,H154="",G154&lt;&gt;"pauschal",J154="")</formula>
    </cfRule>
    <cfRule type="expression" dxfId="1680" priority="394">
      <formula>AND(M154,OR(G154="pauschal",J154&lt;&gt;""))</formula>
    </cfRule>
  </conditionalFormatting>
  <conditionalFormatting sqref="H156:I156">
    <cfRule type="expression" dxfId="1679" priority="385">
      <formula>AND(M156,OR(G156="pauschal",J156&lt;&gt;""))</formula>
    </cfRule>
    <cfRule type="expression" dxfId="1678" priority="382">
      <formula>AND(M156,H156="",G156&lt;&gt;"pauschal",J156="")</formula>
    </cfRule>
    <cfRule type="expression" dxfId="1677" priority="381">
      <formula>M156=FALSE</formula>
    </cfRule>
    <cfRule type="expression" dxfId="1676" priority="379">
      <formula>AND(M156,OR(G156="pauschal",J156&lt;&gt;""))</formula>
    </cfRule>
    <cfRule type="expression" dxfId="1675" priority="376">
      <formula>AND(M156,H156="",G156&lt;&gt;"pauschal",J156="")</formula>
    </cfRule>
    <cfRule type="expression" dxfId="1674" priority="375">
      <formula>M156=FALSE</formula>
    </cfRule>
  </conditionalFormatting>
  <conditionalFormatting sqref="H158:I158 H160:I160">
    <cfRule type="expression" dxfId="1673" priority="981">
      <formula>M158=FALSE</formula>
    </cfRule>
    <cfRule type="expression" dxfId="1672" priority="982">
      <formula>AND(M158,H158="",G158&lt;&gt;"pauschal",J158="")</formula>
    </cfRule>
    <cfRule type="expression" dxfId="1671" priority="986">
      <formula>AND(M158,OR(G158="pauschal",J158&lt;&gt;""))</formula>
    </cfRule>
  </conditionalFormatting>
  <conditionalFormatting sqref="H158:I158">
    <cfRule type="expression" dxfId="1670" priority="995">
      <formula>M158=FALSE</formula>
    </cfRule>
    <cfRule type="expression" dxfId="1669" priority="996">
      <formula>AND(M158,H158="",G158&lt;&gt;"pauschal",J158="")</formula>
    </cfRule>
    <cfRule type="expression" dxfId="1668" priority="999">
      <formula>AND(M158,OR(G158="pauschal",J158&lt;&gt;""))</formula>
    </cfRule>
  </conditionalFormatting>
  <conditionalFormatting sqref="H160:I160">
    <cfRule type="expression" dxfId="1667" priority="993">
      <formula>AND(M160,OR(G160="pauschal",J160&lt;&gt;""))</formula>
    </cfRule>
    <cfRule type="expression" dxfId="1666" priority="990">
      <formula>AND(M160,H160="",G160&lt;&gt;"pauschal",J160="")</formula>
    </cfRule>
    <cfRule type="expression" dxfId="1665" priority="989">
      <formula>M160=FALSE</formula>
    </cfRule>
  </conditionalFormatting>
  <conditionalFormatting sqref="H168:I168">
    <cfRule type="expression" dxfId="1664" priority="974">
      <formula>AND(M168,H168="",G168&lt;&gt;"pauschal",J168="")</formula>
    </cfRule>
    <cfRule type="expression" dxfId="1663" priority="973">
      <formula>M168=FALSE</formula>
    </cfRule>
    <cfRule type="expression" dxfId="1662" priority="977">
      <formula>AND(M168,OR(G168="pauschal",J168&lt;&gt;""))</formula>
    </cfRule>
  </conditionalFormatting>
  <conditionalFormatting sqref="H170:I170 H172:I172">
    <cfRule type="expression" dxfId="1661" priority="955">
      <formula>AND(M170,H170="",G170&lt;&gt;"pauschal",J170="")</formula>
    </cfRule>
    <cfRule type="expression" dxfId="1660" priority="958">
      <formula>AND(M170,OR(G170="pauschal",J170&lt;&gt;""))</formula>
    </cfRule>
  </conditionalFormatting>
  <conditionalFormatting sqref="H170:I170">
    <cfRule type="expression" dxfId="1659" priority="971">
      <formula>AND(M170,OR(G170="pauschal",J170&lt;&gt;""))</formula>
    </cfRule>
    <cfRule type="expression" dxfId="1658" priority="968">
      <formula>AND(M170,H170="",G170&lt;&gt;"pauschal",J170="")</formula>
    </cfRule>
    <cfRule type="expression" dxfId="1657" priority="967">
      <formula>M170=FALSE</formula>
    </cfRule>
  </conditionalFormatting>
  <conditionalFormatting sqref="H172:I172 H170:I170">
    <cfRule type="expression" dxfId="1656" priority="954">
      <formula>M170=FALSE</formula>
    </cfRule>
  </conditionalFormatting>
  <conditionalFormatting sqref="H172:I172">
    <cfRule type="expression" dxfId="1655" priority="961">
      <formula>M172=FALSE</formula>
    </cfRule>
    <cfRule type="expression" dxfId="1654" priority="962">
      <formula>AND(M172,H172="",G172&lt;&gt;"pauschal",J172="")</formula>
    </cfRule>
    <cfRule type="expression" dxfId="1653" priority="965">
      <formula>AND(M172,OR(G172="pauschal",J172&lt;&gt;""))</formula>
    </cfRule>
  </conditionalFormatting>
  <conditionalFormatting sqref="H174:I174">
    <cfRule type="expression" dxfId="1652" priority="347">
      <formula>M174=FALSE</formula>
    </cfRule>
    <cfRule type="expression" dxfId="1651" priority="348">
      <formula>AND(M174,H174="",G174&lt;&gt;"pauschal",J174="")</formula>
    </cfRule>
    <cfRule type="expression" dxfId="1650" priority="351">
      <formula>AND(M174,OR(G174="pauschal",J174&lt;&gt;""))</formula>
    </cfRule>
  </conditionalFormatting>
  <conditionalFormatting sqref="H176:I176">
    <cfRule type="expression" dxfId="1649" priority="335">
      <formula>AND(M176,H176="",G176&lt;&gt;"pauschal",J176="")</formula>
    </cfRule>
    <cfRule type="expression" dxfId="1648" priority="334">
      <formula>M176=FALSE</formula>
    </cfRule>
    <cfRule type="expression" dxfId="1647" priority="342">
      <formula>AND(M176,H176="",G176&lt;&gt;"pauschal",J176="")</formula>
    </cfRule>
    <cfRule type="expression" dxfId="1646" priority="341">
      <formula>M176=FALSE</formula>
    </cfRule>
    <cfRule type="expression" dxfId="1645" priority="338">
      <formula>AND(M176,OR(G176="pauschal",J176&lt;&gt;""))</formula>
    </cfRule>
    <cfRule type="expression" dxfId="1644" priority="345">
      <formula>AND(M176,OR(G176="pauschal",J176&lt;&gt;""))</formula>
    </cfRule>
  </conditionalFormatting>
  <conditionalFormatting sqref="H178:I178">
    <cfRule type="expression" dxfId="1643" priority="1033">
      <formula>AND(M178,H178="",G178&lt;&gt;"pauschal",J178="")</formula>
    </cfRule>
    <cfRule type="expression" dxfId="1642" priority="1030">
      <formula>M178=FALSE</formula>
    </cfRule>
    <cfRule type="expression" dxfId="1641" priority="1037">
      <formula>AND(M178,OR(G178="pauschal",J178&lt;&gt;""))</formula>
    </cfRule>
  </conditionalFormatting>
  <conditionalFormatting sqref="H180:I180 H182:I182">
    <cfRule type="expression" dxfId="1640" priority="1015">
      <formula>AND(M180,OR(G180="pauschal",J180&lt;&gt;""))</formula>
    </cfRule>
    <cfRule type="expression" dxfId="1639" priority="1011">
      <formula>AND(M180,H180="",G180&lt;&gt;"pauschal",J180="")</formula>
    </cfRule>
    <cfRule type="expression" dxfId="1638" priority="1010">
      <formula>M180=FALSE</formula>
    </cfRule>
  </conditionalFormatting>
  <conditionalFormatting sqref="H180:I180">
    <cfRule type="expression" dxfId="1637" priority="1028">
      <formula>AND(M180,OR(G180="pauschal",J180&lt;&gt;""))</formula>
    </cfRule>
    <cfRule type="expression" dxfId="1636" priority="1025">
      <formula>AND(M180,H180="",G180&lt;&gt;"pauschal",J180="")</formula>
    </cfRule>
    <cfRule type="expression" dxfId="1635" priority="1024">
      <formula>M180=FALSE</formula>
    </cfRule>
  </conditionalFormatting>
  <conditionalFormatting sqref="H182:I182">
    <cfRule type="expression" dxfId="1634" priority="1022">
      <formula>AND(M182,OR(G182="pauschal",J182&lt;&gt;""))</formula>
    </cfRule>
    <cfRule type="expression" dxfId="1633" priority="1019">
      <formula>AND(M182,H182="",G182&lt;&gt;"pauschal",J182="")</formula>
    </cfRule>
    <cfRule type="expression" dxfId="1632" priority="1018">
      <formula>M182=FALSE</formula>
    </cfRule>
  </conditionalFormatting>
  <conditionalFormatting sqref="J14">
    <cfRule type="expression" dxfId="1627" priority="1925">
      <formula>AND(M14,G14="v.H.-Satz")</formula>
    </cfRule>
    <cfRule type="expression" dxfId="1626" priority="1611">
      <formula>AND(M14,J14="",G14&lt;&gt;"v.H.-Satz",H14="")</formula>
    </cfRule>
    <cfRule type="expression" dxfId="1625" priority="1442">
      <formula>M14=FALSE</formula>
    </cfRule>
  </conditionalFormatting>
  <conditionalFormatting sqref="J44 J50">
    <cfRule type="expression" dxfId="1624" priority="1215">
      <formula>AND(M44,J44="",G44&lt;&gt;"v.H.-Satz",H44="")</formula>
    </cfRule>
    <cfRule type="expression" dxfId="1623" priority="1212">
      <formula>M44=FALSE</formula>
    </cfRule>
    <cfRule type="expression" dxfId="1622" priority="1217">
      <formula>AND(M44,G44="v.H.-Satz")</formula>
    </cfRule>
  </conditionalFormatting>
  <conditionalFormatting sqref="J44">
    <cfRule type="expression" dxfId="1621" priority="1440">
      <formula>AND(M44,G44="v.H.-Satz")</formula>
    </cfRule>
    <cfRule type="expression" dxfId="1620" priority="1439">
      <formula>AND(M44,J44="",G44&lt;&gt;"v.H.-Satz",H44="")</formula>
    </cfRule>
    <cfRule type="expression" dxfId="1619" priority="1436">
      <formula>M44=FALSE</formula>
    </cfRule>
  </conditionalFormatting>
  <conditionalFormatting sqref="J50">
    <cfRule type="expression" dxfId="1618" priority="1434">
      <formula>AND(M50,G50="v.H.-Satz")</formula>
    </cfRule>
    <cfRule type="expression" dxfId="1617" priority="1433">
      <formula>AND(M50,J50="",G50&lt;&gt;"v.H.-Satz",H50="")</formula>
    </cfRule>
    <cfRule type="expression" dxfId="1616" priority="1430">
      <formula>M50=FALSE</formula>
    </cfRule>
  </conditionalFormatting>
  <conditionalFormatting sqref="J55">
    <cfRule type="expression" dxfId="1615" priority="1203">
      <formula>M55=FALSE</formula>
    </cfRule>
    <cfRule type="expression" dxfId="1614" priority="1208">
      <formula>AND(M55,J55="",G55&lt;&gt;"v.H.-Satz",H55="")</formula>
    </cfRule>
    <cfRule type="expression" dxfId="1613" priority="1210">
      <formula>AND(M55,G55="v.H.-Satz")</formula>
    </cfRule>
  </conditionalFormatting>
  <conditionalFormatting sqref="J57 J59">
    <cfRule type="expression" dxfId="1612" priority="666">
      <formula>AND(M57,G57="v.H.-Satz")</formula>
    </cfRule>
    <cfRule type="expression" dxfId="1611" priority="665">
      <formula>AND(M57,J57="",G57&lt;&gt;"v.H.-Satz",H57="")</formula>
    </cfRule>
    <cfRule type="expression" dxfId="1610" priority="662">
      <formula>M57=FALSE</formula>
    </cfRule>
  </conditionalFormatting>
  <conditionalFormatting sqref="J57">
    <cfRule type="expression" dxfId="1609" priority="675">
      <formula>M57=FALSE</formula>
    </cfRule>
    <cfRule type="expression" dxfId="1608" priority="678">
      <formula>AND(M57,J57="",G57&lt;&gt;"v.H.-Satz",H57="")</formula>
    </cfRule>
    <cfRule type="expression" dxfId="1607" priority="679">
      <formula>AND(M57,G57="v.H.-Satz")</formula>
    </cfRule>
  </conditionalFormatting>
  <conditionalFormatting sqref="J59">
    <cfRule type="expression" dxfId="1606" priority="673">
      <formula>AND(M59,G59="v.H.-Satz")</formula>
    </cfRule>
    <cfRule type="expression" dxfId="1605" priority="672">
      <formula>AND(M59,J59="",G59&lt;&gt;"v.H.-Satz",H59="")</formula>
    </cfRule>
    <cfRule type="expression" dxfId="1604" priority="669">
      <formula>M59=FALSE</formula>
    </cfRule>
  </conditionalFormatting>
  <conditionalFormatting sqref="J61 J63">
    <cfRule type="expression" dxfId="1603" priority="1186">
      <formula>AND(M61,J61="",G61&lt;&gt;"v.H.-Satz",H61="")</formula>
    </cfRule>
    <cfRule type="expression" dxfId="1602" priority="1188">
      <formula>AND(M61,G61="v.H.-Satz")</formula>
    </cfRule>
    <cfRule type="expression" dxfId="1601" priority="1183">
      <formula>M61=FALSE</formula>
    </cfRule>
  </conditionalFormatting>
  <conditionalFormatting sqref="J61">
    <cfRule type="expression" dxfId="1600" priority="1201">
      <formula>AND(M61,G61="v.H.-Satz")</formula>
    </cfRule>
    <cfRule type="expression" dxfId="1599" priority="1200">
      <formula>AND(M61,J61="",G61&lt;&gt;"v.H.-Satz",H61="")</formula>
    </cfRule>
    <cfRule type="expression" dxfId="1598" priority="1197">
      <formula>M61=FALSE</formula>
    </cfRule>
  </conditionalFormatting>
  <conditionalFormatting sqref="J63">
    <cfRule type="expression" dxfId="1597" priority="1194">
      <formula>AND(M63,J63="",G63&lt;&gt;"v.H.-Satz",H63="")</formula>
    </cfRule>
    <cfRule type="expression" dxfId="1596" priority="1191">
      <formula>M63=FALSE</formula>
    </cfRule>
    <cfRule type="expression" dxfId="1595" priority="1195">
      <formula>AND(M63,G63="v.H.-Satz")</formula>
    </cfRule>
  </conditionalFormatting>
  <conditionalFormatting sqref="J68">
    <cfRule type="expression" dxfId="1594" priority="1181">
      <formula>AND(M68,G68="v.H.-Satz")</formula>
    </cfRule>
    <cfRule type="expression" dxfId="1593" priority="1179">
      <formula>AND(M68,J68="",G68&lt;&gt;"v.H.-Satz",H68="")</formula>
    </cfRule>
    <cfRule type="expression" dxfId="1592" priority="1174">
      <formula>M68=FALSE</formula>
    </cfRule>
  </conditionalFormatting>
  <conditionalFormatting sqref="J70">
    <cfRule type="expression" dxfId="1591" priority="623">
      <formula>AND(M70,J70="",G70&lt;&gt;"v.H.-Satz",H70="")</formula>
    </cfRule>
    <cfRule type="expression" dxfId="1590" priority="624">
      <formula>AND(M70,G70="v.H.-Satz")</formula>
    </cfRule>
    <cfRule type="expression" dxfId="1589" priority="620">
      <formula>M70=FALSE</formula>
    </cfRule>
    <cfRule type="expression" dxfId="1588" priority="618">
      <formula>AND(M70,G70="v.H.-Satz")</formula>
    </cfRule>
    <cfRule type="expression" dxfId="1587" priority="617">
      <formula>AND(M70,J70="",G70&lt;&gt;"v.H.-Satz",H70="")</formula>
    </cfRule>
    <cfRule type="expression" dxfId="1586" priority="614">
      <formula>M70=FALSE</formula>
    </cfRule>
  </conditionalFormatting>
  <conditionalFormatting sqref="J72">
    <cfRule type="expression" dxfId="1585" priority="643">
      <formula>AND(M72,G72="v.H.-Satz")</formula>
    </cfRule>
    <cfRule type="expression" dxfId="1584" priority="637">
      <formula>AND(M72,G72="v.H.-Satz")</formula>
    </cfRule>
    <cfRule type="expression" dxfId="1583" priority="639">
      <formula>M72=FALSE</formula>
    </cfRule>
    <cfRule type="expression" dxfId="1582" priority="642">
      <formula>AND(M72,J72="",G72&lt;&gt;"v.H.-Satz",H72="")</formula>
    </cfRule>
    <cfRule type="expression" dxfId="1581" priority="633">
      <formula>M72=FALSE</formula>
    </cfRule>
    <cfRule type="expression" dxfId="1580" priority="636">
      <formula>AND(M72,J72="",G72&lt;&gt;"v.H.-Satz",H72="")</formula>
    </cfRule>
  </conditionalFormatting>
  <conditionalFormatting sqref="J74 J76">
    <cfRule type="expression" dxfId="1579" priority="1154">
      <formula>M74=FALSE</formula>
    </cfRule>
    <cfRule type="expression" dxfId="1578" priority="1159">
      <formula>AND(M74,G74="v.H.-Satz")</formula>
    </cfRule>
    <cfRule type="expression" dxfId="1577" priority="1157">
      <formula>AND(M74,J74="",G74&lt;&gt;"v.H.-Satz",H74="")</formula>
    </cfRule>
  </conditionalFormatting>
  <conditionalFormatting sqref="J74">
    <cfRule type="expression" dxfId="1576" priority="1172">
      <formula>AND(M74,G74="v.H.-Satz")</formula>
    </cfRule>
    <cfRule type="expression" dxfId="1575" priority="1171">
      <formula>AND(M74,J74="",G74&lt;&gt;"v.H.-Satz",H74="")</formula>
    </cfRule>
    <cfRule type="expression" dxfId="1574" priority="1168">
      <formula>M74=FALSE</formula>
    </cfRule>
  </conditionalFormatting>
  <conditionalFormatting sqref="J76">
    <cfRule type="expression" dxfId="1573" priority="1162">
      <formula>M76=FALSE</formula>
    </cfRule>
    <cfRule type="expression" dxfId="1572" priority="1165">
      <formula>AND(M76,J76="",G76&lt;&gt;"v.H.-Satz",H76="")</formula>
    </cfRule>
    <cfRule type="expression" dxfId="1571" priority="1166">
      <formula>AND(M76,G76="v.H.-Satz")</formula>
    </cfRule>
  </conditionalFormatting>
  <conditionalFormatting sqref="J81">
    <cfRule type="expression" dxfId="1570" priority="1152">
      <formula>AND(M81,G81="v.H.-Satz")</formula>
    </cfRule>
    <cfRule type="expression" dxfId="1569" priority="1150">
      <formula>AND(M81,J81="",G81&lt;&gt;"v.H.-Satz",H81="")</formula>
    </cfRule>
    <cfRule type="expression" dxfId="1568" priority="1145">
      <formula>M81=FALSE</formula>
    </cfRule>
  </conditionalFormatting>
  <conditionalFormatting sqref="J83 J85">
    <cfRule type="expression" dxfId="1567" priority="493">
      <formula>AND(M83,G83="v.H.-Satz")</formula>
    </cfRule>
    <cfRule type="expression" dxfId="1566" priority="492">
      <formula>AND(M83,J83="",G83&lt;&gt;"v.H.-Satz",H83="")</formula>
    </cfRule>
    <cfRule type="expression" dxfId="1565" priority="489">
      <formula>M83=FALSE</formula>
    </cfRule>
  </conditionalFormatting>
  <conditionalFormatting sqref="J83">
    <cfRule type="expression" dxfId="1564" priority="504">
      <formula>AND(M83,J83="",G83&lt;&gt;"v.H.-Satz",H83="")</formula>
    </cfRule>
    <cfRule type="expression" dxfId="1563" priority="501">
      <formula>M83=FALSE</formula>
    </cfRule>
    <cfRule type="expression" dxfId="1562" priority="505">
      <formula>AND(M83,G83="v.H.-Satz")</formula>
    </cfRule>
  </conditionalFormatting>
  <conditionalFormatting sqref="J85">
    <cfRule type="expression" dxfId="1561" priority="499">
      <formula>AND(M85,G85="v.H.-Satz")</formula>
    </cfRule>
    <cfRule type="expression" dxfId="1560" priority="495">
      <formula>M85=FALSE</formula>
    </cfRule>
    <cfRule type="expression" dxfId="1559" priority="498">
      <formula>AND(M85,J85="",G85&lt;&gt;"v.H.-Satz",H85="")</formula>
    </cfRule>
  </conditionalFormatting>
  <conditionalFormatting sqref="J87">
    <cfRule type="expression" dxfId="1558" priority="523">
      <formula>AND(M87,J87="",G87&lt;&gt;"v.H.-Satz",H87="")</formula>
    </cfRule>
    <cfRule type="expression" dxfId="1557" priority="524">
      <formula>AND(M87,G87="v.H.-Satz")</formula>
    </cfRule>
    <cfRule type="expression" dxfId="1556" priority="520">
      <formula>M87=FALSE</formula>
    </cfRule>
    <cfRule type="expression" dxfId="1555" priority="518">
      <formula>AND(M87,G87="v.H.-Satz")</formula>
    </cfRule>
    <cfRule type="expression" dxfId="1554" priority="517">
      <formula>AND(M87,J87="",G87&lt;&gt;"v.H.-Satz",H87="")</formula>
    </cfRule>
    <cfRule type="expression" dxfId="1553" priority="514">
      <formula>M87=FALSE</formula>
    </cfRule>
  </conditionalFormatting>
  <conditionalFormatting sqref="J89 J91">
    <cfRule type="expression" dxfId="1552" priority="541">
      <formula>AND(M89,G89="v.H.-Satz")</formula>
    </cfRule>
    <cfRule type="expression" dxfId="1551" priority="537">
      <formula>M89=FALSE</formula>
    </cfRule>
    <cfRule type="expression" dxfId="1550" priority="540">
      <formula>AND(M89,J89="",G89&lt;&gt;"v.H.-Satz",H89="")</formula>
    </cfRule>
  </conditionalFormatting>
  <conditionalFormatting sqref="J89">
    <cfRule type="expression" dxfId="1549" priority="549">
      <formula>M89=FALSE</formula>
    </cfRule>
    <cfRule type="expression" dxfId="1548" priority="552">
      <formula>AND(M89,J89="",G89&lt;&gt;"v.H.-Satz",H89="")</formula>
    </cfRule>
    <cfRule type="expression" dxfId="1547" priority="553">
      <formula>AND(M89,G89="v.H.-Satz")</formula>
    </cfRule>
  </conditionalFormatting>
  <conditionalFormatting sqref="J91">
    <cfRule type="expression" dxfId="1546" priority="543">
      <formula>M91=FALSE</formula>
    </cfRule>
    <cfRule type="expression" dxfId="1545" priority="546">
      <formula>AND(M91,J91="",G91&lt;&gt;"v.H.-Satz",H91="")</formula>
    </cfRule>
    <cfRule type="expression" dxfId="1544" priority="547">
      <formula>AND(M91,G91="v.H.-Satz")</formula>
    </cfRule>
  </conditionalFormatting>
  <conditionalFormatting sqref="J93">
    <cfRule type="expression" dxfId="1543" priority="562">
      <formula>M93=FALSE</formula>
    </cfRule>
    <cfRule type="expression" dxfId="1542" priority="568">
      <formula>M93=FALSE</formula>
    </cfRule>
    <cfRule type="expression" dxfId="1541" priority="566">
      <formula>AND(M93,G93="v.H.-Satz")</formula>
    </cfRule>
    <cfRule type="expression" dxfId="1540" priority="571">
      <formula>AND(M93,J93="",G93&lt;&gt;"v.H.-Satz",H93="")</formula>
    </cfRule>
    <cfRule type="expression" dxfId="1539" priority="565">
      <formula>AND(M93,J93="",G93&lt;&gt;"v.H.-Satz",H93="")</formula>
    </cfRule>
    <cfRule type="expression" dxfId="1538" priority="572">
      <formula>AND(M93,G93="v.H.-Satz")</formula>
    </cfRule>
  </conditionalFormatting>
  <conditionalFormatting sqref="J95 J97">
    <cfRule type="expression" dxfId="1537" priority="589">
      <formula>AND(M95,G95="v.H.-Satz")</formula>
    </cfRule>
    <cfRule type="expression" dxfId="1536" priority="585">
      <formula>M95=FALSE</formula>
    </cfRule>
    <cfRule type="expression" dxfId="1535" priority="588">
      <formula>AND(M95,J95="",G95&lt;&gt;"v.H.-Satz",H95="")</formula>
    </cfRule>
  </conditionalFormatting>
  <conditionalFormatting sqref="J95">
    <cfRule type="expression" dxfId="1534" priority="601">
      <formula>AND(M95,G95="v.H.-Satz")</formula>
    </cfRule>
    <cfRule type="expression" dxfId="1533" priority="600">
      <formula>AND(M95,J95="",G95&lt;&gt;"v.H.-Satz",H95="")</formula>
    </cfRule>
    <cfRule type="expression" dxfId="1532" priority="597">
      <formula>M95=FALSE</formula>
    </cfRule>
  </conditionalFormatting>
  <conditionalFormatting sqref="J97">
    <cfRule type="expression" dxfId="1531" priority="591">
      <formula>M97=FALSE</formula>
    </cfRule>
    <cfRule type="expression" dxfId="1530" priority="594">
      <formula>AND(M97,J97="",G97&lt;&gt;"v.H.-Satz",H97="")</formula>
    </cfRule>
    <cfRule type="expression" dxfId="1529" priority="595">
      <formula>AND(M97,G97="v.H.-Satz")</formula>
    </cfRule>
  </conditionalFormatting>
  <conditionalFormatting sqref="J99 J101">
    <cfRule type="expression" dxfId="1528" priority="1130">
      <formula>AND(M99,G99="v.H.-Satz")</formula>
    </cfRule>
    <cfRule type="expression" dxfId="1527" priority="1125">
      <formula>M99=FALSE</formula>
    </cfRule>
    <cfRule type="expression" dxfId="1526" priority="1128">
      <formula>AND(M99,J99="",G99&lt;&gt;"v.H.-Satz",H99="")</formula>
    </cfRule>
  </conditionalFormatting>
  <conditionalFormatting sqref="J99">
    <cfRule type="expression" dxfId="1525" priority="1139">
      <formula>M99=FALSE</formula>
    </cfRule>
    <cfRule type="expression" dxfId="1524" priority="1142">
      <formula>AND(M99,J99="",G99&lt;&gt;"v.H.-Satz",H99="")</formula>
    </cfRule>
    <cfRule type="expression" dxfId="1523" priority="1143">
      <formula>AND(M99,G99="v.H.-Satz")</formula>
    </cfRule>
  </conditionalFormatting>
  <conditionalFormatting sqref="J101">
    <cfRule type="expression" dxfId="1522" priority="1136">
      <formula>AND(M101,J101="",G101&lt;&gt;"v.H.-Satz",H101="")</formula>
    </cfRule>
    <cfRule type="expression" dxfId="1521" priority="1137">
      <formula>AND(M101,G101="v.H.-Satz")</formula>
    </cfRule>
    <cfRule type="expression" dxfId="1520" priority="1133">
      <formula>M101=FALSE</formula>
    </cfRule>
  </conditionalFormatting>
  <conditionalFormatting sqref="J110">
    <cfRule type="expression" dxfId="1519" priority="1123">
      <formula>AND(M110,G110="v.H.-Satz")</formula>
    </cfRule>
    <cfRule type="expression" dxfId="1518" priority="1116">
      <formula>M110=FALSE</formula>
    </cfRule>
    <cfRule type="expression" dxfId="1517" priority="1121">
      <formula>AND(M110,J110="",G110&lt;&gt;"v.H.-Satz",H110="")</formula>
    </cfRule>
  </conditionalFormatting>
  <conditionalFormatting sqref="J112">
    <cfRule type="expression" dxfId="1516" priority="434">
      <formula>AND(M112,J112="",G112&lt;&gt;"v.H.-Satz",H112="")</formula>
    </cfRule>
    <cfRule type="expression" dxfId="1515" priority="435">
      <formula>AND(M112,G112="v.H.-Satz")</formula>
    </cfRule>
    <cfRule type="expression" dxfId="1514" priority="437">
      <formula>M112=FALSE</formula>
    </cfRule>
    <cfRule type="expression" dxfId="1513" priority="440">
      <formula>AND(M112,J112="",G112&lt;&gt;"v.H.-Satz",H112="")</formula>
    </cfRule>
    <cfRule type="expression" dxfId="1512" priority="441">
      <formula>AND(M112,G112="v.H.-Satz")</formula>
    </cfRule>
    <cfRule type="expression" dxfId="1511" priority="431">
      <formula>M112=FALSE</formula>
    </cfRule>
  </conditionalFormatting>
  <conditionalFormatting sqref="J114">
    <cfRule type="expression" dxfId="1510" priority="450">
      <formula>M114=FALSE</formula>
    </cfRule>
    <cfRule type="expression" dxfId="1509" priority="454">
      <formula>AND(M114,G114="v.H.-Satz")</formula>
    </cfRule>
    <cfRule type="expression" dxfId="1508" priority="456">
      <formula>M114=FALSE</formula>
    </cfRule>
    <cfRule type="expression" dxfId="1507" priority="460">
      <formula>AND(M114,G114="v.H.-Satz")</formula>
    </cfRule>
    <cfRule type="expression" dxfId="1506" priority="459">
      <formula>AND(M114,J114="",G114&lt;&gt;"v.H.-Satz",H114="")</formula>
    </cfRule>
    <cfRule type="expression" dxfId="1505" priority="453">
      <formula>AND(M114,J114="",G114&lt;&gt;"v.H.-Satz",H114="")</formula>
    </cfRule>
  </conditionalFormatting>
  <conditionalFormatting sqref="J116 J118">
    <cfRule type="expression" dxfId="1504" priority="1099">
      <formula>AND(M116,J116="",G116&lt;&gt;"v.H.-Satz",H116="")</formula>
    </cfRule>
    <cfRule type="expression" dxfId="1503" priority="1101">
      <formula>AND(M116,G116="v.H.-Satz")</formula>
    </cfRule>
    <cfRule type="expression" dxfId="1502" priority="1096">
      <formula>M116=FALSE</formula>
    </cfRule>
  </conditionalFormatting>
  <conditionalFormatting sqref="J116">
    <cfRule type="expression" dxfId="1501" priority="1114">
      <formula>AND(M116,G116="v.H.-Satz")</formula>
    </cfRule>
    <cfRule type="expression" dxfId="1500" priority="1113">
      <formula>AND(M116,J116="",G116&lt;&gt;"v.H.-Satz",H116="")</formula>
    </cfRule>
    <cfRule type="expression" dxfId="1499" priority="1110">
      <formula>M116=FALSE</formula>
    </cfRule>
  </conditionalFormatting>
  <conditionalFormatting sqref="J118">
    <cfRule type="expression" dxfId="1498" priority="1107">
      <formula>AND(M118,J118="",G118&lt;&gt;"v.H.-Satz",H118="")</formula>
    </cfRule>
    <cfRule type="expression" dxfId="1497" priority="1108">
      <formula>AND(M118,G118="v.H.-Satz")</formula>
    </cfRule>
    <cfRule type="expression" dxfId="1496" priority="1104">
      <formula>M118=FALSE</formula>
    </cfRule>
  </conditionalFormatting>
  <conditionalFormatting sqref="J126">
    <cfRule type="expression" dxfId="1495" priority="1094">
      <formula>AND(M126,G126="v.H.-Satz")</formula>
    </cfRule>
    <cfRule type="expression" dxfId="1494" priority="1092">
      <formula>AND(M126,J126="",G126&lt;&gt;"v.H.-Satz",H126="")</formula>
    </cfRule>
    <cfRule type="expression" dxfId="1493" priority="1087">
      <formula>M126=FALSE</formula>
    </cfRule>
  </conditionalFormatting>
  <conditionalFormatting sqref="J128 J130">
    <cfRule type="expression" dxfId="1492" priority="1067">
      <formula>M128=FALSE</formula>
    </cfRule>
    <cfRule type="expression" dxfId="1491" priority="1072">
      <formula>AND(M128,G128="v.H.-Satz")</formula>
    </cfRule>
    <cfRule type="expression" dxfId="1490" priority="1070">
      <formula>AND(M128,J128="",G128&lt;&gt;"v.H.-Satz",H128="")</formula>
    </cfRule>
  </conditionalFormatting>
  <conditionalFormatting sqref="J128">
    <cfRule type="expression" dxfId="1489" priority="1084">
      <formula>AND(M128,J128="",G128&lt;&gt;"v.H.-Satz",H128="")</formula>
    </cfRule>
    <cfRule type="expression" dxfId="1488" priority="1081">
      <formula>M128=FALSE</formula>
    </cfRule>
    <cfRule type="expression" dxfId="1487" priority="1085">
      <formula>AND(M128,G128="v.H.-Satz")</formula>
    </cfRule>
  </conditionalFormatting>
  <conditionalFormatting sqref="J130">
    <cfRule type="expression" dxfId="1486" priority="1078">
      <formula>AND(M130,J130="",G130&lt;&gt;"v.H.-Satz",H130="")</formula>
    </cfRule>
    <cfRule type="expression" dxfId="1485" priority="1079">
      <formula>AND(M130,G130="v.H.-Satz")</formula>
    </cfRule>
    <cfRule type="expression" dxfId="1484" priority="1075">
      <formula>M130=FALSE</formula>
    </cfRule>
  </conditionalFormatting>
  <conditionalFormatting sqref="J135">
    <cfRule type="expression" dxfId="1483" priority="1065">
      <formula>AND(M135,G135="v.H.-Satz")</formula>
    </cfRule>
    <cfRule type="expression" dxfId="1482" priority="1063">
      <formula>AND(M135,J135="",G135&lt;&gt;"v.H.-Satz",H135="")</formula>
    </cfRule>
    <cfRule type="expression" dxfId="1481" priority="1058">
      <formula>M135=FALSE</formula>
    </cfRule>
  </conditionalFormatting>
  <conditionalFormatting sqref="J137">
    <cfRule type="expression" dxfId="1480" priority="415">
      <formula>M137=FALSE</formula>
    </cfRule>
    <cfRule type="expression" dxfId="1479" priority="413">
      <formula>AND(M137,G137="v.H.-Satz")</formula>
    </cfRule>
    <cfRule type="expression" dxfId="1478" priority="412">
      <formula>AND(M137,J137="",G137&lt;&gt;"v.H.-Satz",H137="")</formula>
    </cfRule>
    <cfRule type="expression" dxfId="1477" priority="419">
      <formula>AND(M137,G137="v.H.-Satz")</formula>
    </cfRule>
    <cfRule type="expression" dxfId="1476" priority="409">
      <formula>M137=FALSE</formula>
    </cfRule>
    <cfRule type="expression" dxfId="1475" priority="418">
      <formula>AND(M137,J137="",G137&lt;&gt;"v.H.-Satz",H137="")</formula>
    </cfRule>
  </conditionalFormatting>
  <conditionalFormatting sqref="J139 J141">
    <cfRule type="expression" dxfId="1474" priority="1043">
      <formula>AND(M139,G139="v.H.-Satz")</formula>
    </cfRule>
    <cfRule type="expression" dxfId="1473" priority="1041">
      <formula>AND(M139,J139="",G139&lt;&gt;"v.H.-Satz",H139="")</formula>
    </cfRule>
    <cfRule type="expression" dxfId="1472" priority="1038">
      <formula>M139=FALSE</formula>
    </cfRule>
  </conditionalFormatting>
  <conditionalFormatting sqref="J139">
    <cfRule type="expression" dxfId="1471" priority="1052">
      <formula>M139=FALSE</formula>
    </cfRule>
    <cfRule type="expression" dxfId="1470" priority="1055">
      <formula>AND(M139,J139="",G139&lt;&gt;"v.H.-Satz",H139="")</formula>
    </cfRule>
    <cfRule type="expression" dxfId="1469" priority="1056">
      <formula>AND(M139,G139="v.H.-Satz")</formula>
    </cfRule>
  </conditionalFormatting>
  <conditionalFormatting sqref="J141">
    <cfRule type="expression" dxfId="1468" priority="1046">
      <formula>M141=FALSE</formula>
    </cfRule>
    <cfRule type="expression" dxfId="1467" priority="1050">
      <formula>AND(M141,G141="v.H.-Satz")</formula>
    </cfRule>
    <cfRule type="expression" dxfId="1466" priority="1049">
      <formula>AND(M141,J141="",G141&lt;&gt;"v.H.-Satz",H141="")</formula>
    </cfRule>
  </conditionalFormatting>
  <conditionalFormatting sqref="J146">
    <cfRule type="expression" dxfId="1465" priority="950">
      <formula>AND(M146,G146="v.H.-Satz")</formula>
    </cfRule>
    <cfRule type="expression" dxfId="1464" priority="943">
      <formula>AND(M146,G146="v.H.-Satz")</formula>
    </cfRule>
    <cfRule type="expression" dxfId="1463" priority="949">
      <formula>AND(M146,J146="",G146&lt;&gt;"v.H.-Satz",H146="")</formula>
    </cfRule>
    <cfRule type="expression" dxfId="1462" priority="939">
      <formula>M146=FALSE</formula>
    </cfRule>
    <cfRule type="expression" dxfId="1461" priority="942">
      <formula>AND(M146,J146="",G146&lt;&gt;"v.H.-Satz",H146="")</formula>
    </cfRule>
    <cfRule type="expression" dxfId="1460" priority="946">
      <formula>M146=FALSE</formula>
    </cfRule>
  </conditionalFormatting>
  <conditionalFormatting sqref="J148">
    <cfRule type="expression" dxfId="1459" priority="362">
      <formula>AND(M148,J148="",G148&lt;&gt;"v.H.-Satz",H148="")</formula>
    </cfRule>
    <cfRule type="expression" dxfId="1458" priority="363">
      <formula>AND(M148,G148="v.H.-Satz")</formula>
    </cfRule>
    <cfRule type="expression" dxfId="1457" priority="365">
      <formula>M148=FALSE</formula>
    </cfRule>
    <cfRule type="expression" dxfId="1456" priority="368">
      <formula>AND(M148,J148="",G148&lt;&gt;"v.H.-Satz",H148="")</formula>
    </cfRule>
    <cfRule type="expression" dxfId="1455" priority="369">
      <formula>AND(M148,G148="v.H.-Satz")</formula>
    </cfRule>
    <cfRule type="expression" dxfId="1454" priority="359">
      <formula>M148=FALSE</formula>
    </cfRule>
  </conditionalFormatting>
  <conditionalFormatting sqref="J150">
    <cfRule type="expression" dxfId="1453" priority="913">
      <formula>AND(M150,G150="v.H.-Satz")</formula>
    </cfRule>
    <cfRule type="expression" dxfId="1452" priority="916">
      <formula>M150=FALSE</formula>
    </cfRule>
    <cfRule type="expression" dxfId="1451" priority="912">
      <formula>AND(M150,J150="",G150&lt;&gt;"v.H.-Satz",H150="")</formula>
    </cfRule>
    <cfRule type="expression" dxfId="1450" priority="919">
      <formula>AND(M150,J150="",G150&lt;&gt;"v.H.-Satz",H150="")</formula>
    </cfRule>
    <cfRule type="expression" dxfId="1449" priority="920">
      <formula>AND(M150,G150="v.H.-Satz")</formula>
    </cfRule>
    <cfRule type="expression" dxfId="1448" priority="909">
      <formula>M150=FALSE</formula>
    </cfRule>
  </conditionalFormatting>
  <conditionalFormatting sqref="J152">
    <cfRule type="expression" dxfId="1447" priority="905">
      <formula>AND(M152,G152="v.H.-Satz")</formula>
    </cfRule>
    <cfRule type="expression" dxfId="1446" priority="894">
      <formula>M152=FALSE</formula>
    </cfRule>
    <cfRule type="expression" dxfId="1445" priority="897">
      <formula>AND(M152,J152="",G152&lt;&gt;"v.H.-Satz",H152="")</formula>
    </cfRule>
    <cfRule type="expression" dxfId="1444" priority="898">
      <formula>AND(M152,G152="v.H.-Satz")</formula>
    </cfRule>
    <cfRule type="expression" dxfId="1443" priority="901">
      <formula>M152=FALSE</formula>
    </cfRule>
    <cfRule type="expression" dxfId="1442" priority="904">
      <formula>AND(M152,J152="",G152&lt;&gt;"v.H.-Satz",H152="")</formula>
    </cfRule>
  </conditionalFormatting>
  <conditionalFormatting sqref="J154">
    <cfRule type="expression" dxfId="1441" priority="399">
      <formula>AND(M154,G154="v.H.-Satz")</formula>
    </cfRule>
    <cfRule type="expression" dxfId="1440" priority="392">
      <formula>AND(M154,J154="",G154&lt;&gt;"v.H.-Satz",H154="")</formula>
    </cfRule>
    <cfRule type="expression" dxfId="1439" priority="393">
      <formula>AND(M154,G154="v.H.-Satz")</formula>
    </cfRule>
    <cfRule type="expression" dxfId="1438" priority="395">
      <formula>M154=FALSE</formula>
    </cfRule>
    <cfRule type="expression" dxfId="1437" priority="398">
      <formula>AND(M154,J154="",G154&lt;&gt;"v.H.-Satz",H154="")</formula>
    </cfRule>
    <cfRule type="expression" dxfId="1436" priority="389">
      <formula>M154=FALSE</formula>
    </cfRule>
  </conditionalFormatting>
  <conditionalFormatting sqref="J156">
    <cfRule type="expression" dxfId="1435" priority="377">
      <formula>AND(M156,J156="",G156&lt;&gt;"v.H.-Satz",H156="")</formula>
    </cfRule>
    <cfRule type="expression" dxfId="1434" priority="374">
      <formula>M156=FALSE</formula>
    </cfRule>
    <cfRule type="expression" dxfId="1433" priority="384">
      <formula>AND(M156,G156="v.H.-Satz")</formula>
    </cfRule>
    <cfRule type="expression" dxfId="1432" priority="378">
      <formula>AND(M156,G156="v.H.-Satz")</formula>
    </cfRule>
    <cfRule type="expression" dxfId="1431" priority="383">
      <formula>AND(M156,J156="",G156&lt;&gt;"v.H.-Satz",H156="")</formula>
    </cfRule>
    <cfRule type="expression" dxfId="1430" priority="380">
      <formula>M156=FALSE</formula>
    </cfRule>
  </conditionalFormatting>
  <conditionalFormatting sqref="J158 J160">
    <cfRule type="expression" dxfId="1429" priority="983">
      <formula>AND(M158,J158="",G158&lt;&gt;"v.H.-Satz",H158="")</formula>
    </cfRule>
    <cfRule type="expression" dxfId="1428" priority="980">
      <formula>M158=FALSE</formula>
    </cfRule>
    <cfRule type="expression" dxfId="1427" priority="985">
      <formula>AND(M158,G158="v.H.-Satz")</formula>
    </cfRule>
  </conditionalFormatting>
  <conditionalFormatting sqref="J158">
    <cfRule type="expression" dxfId="1426" priority="997">
      <formula>AND(M158,J158="",G158&lt;&gt;"v.H.-Satz",H158="")</formula>
    </cfRule>
    <cfRule type="expression" dxfId="1425" priority="998">
      <formula>AND(M158,G158="v.H.-Satz")</formula>
    </cfRule>
    <cfRule type="expression" dxfId="1424" priority="994">
      <formula>M158=FALSE</formula>
    </cfRule>
  </conditionalFormatting>
  <conditionalFormatting sqref="J160">
    <cfRule type="expression" dxfId="1423" priority="992">
      <formula>AND(M160,G160="v.H.-Satz")</formula>
    </cfRule>
    <cfRule type="expression" dxfId="1422" priority="991">
      <formula>AND(M160,J160="",G160&lt;&gt;"v.H.-Satz",H160="")</formula>
    </cfRule>
    <cfRule type="expression" dxfId="1421" priority="988">
      <formula>M160=FALSE</formula>
    </cfRule>
  </conditionalFormatting>
  <conditionalFormatting sqref="J168">
    <cfRule type="expression" dxfId="1420" priority="976">
      <formula>AND(M168,G168="v.H.-Satz")</formula>
    </cfRule>
    <cfRule type="expression" dxfId="1419" priority="975">
      <formula>AND(M168,J168="",G168&lt;&gt;"v.H.-Satz",H168="")</formula>
    </cfRule>
    <cfRule type="expression" dxfId="1418" priority="972">
      <formula>M168=FALSE</formula>
    </cfRule>
  </conditionalFormatting>
  <conditionalFormatting sqref="J170 J172">
    <cfRule type="expression" dxfId="1417" priority="956">
      <formula>AND(M170,J170="",G170&lt;&gt;"v.H.-Satz",H170="")</formula>
    </cfRule>
    <cfRule type="expression" dxfId="1416" priority="957">
      <formula>AND(M170,G170="v.H.-Satz")</formula>
    </cfRule>
  </conditionalFormatting>
  <conditionalFormatting sqref="J170">
    <cfRule type="expression" dxfId="1415" priority="966">
      <formula>M170=FALSE</formula>
    </cfRule>
    <cfRule type="expression" dxfId="1414" priority="970">
      <formula>AND(M170,G170="v.H.-Satz")</formula>
    </cfRule>
    <cfRule type="expression" dxfId="1413" priority="969">
      <formula>AND(M170,J170="",G170&lt;&gt;"v.H.-Satz",H170="")</formula>
    </cfRule>
  </conditionalFormatting>
  <conditionalFormatting sqref="J172 J170">
    <cfRule type="expression" dxfId="1412" priority="953">
      <formula>M170=FALSE</formula>
    </cfRule>
  </conditionalFormatting>
  <conditionalFormatting sqref="J172">
    <cfRule type="expression" dxfId="1411" priority="963">
      <formula>AND(M172,J172="",G172&lt;&gt;"v.H.-Satz",H172="")</formula>
    </cfRule>
    <cfRule type="expression" dxfId="1410" priority="964">
      <formula>AND(M172,G172="v.H.-Satz")</formula>
    </cfRule>
    <cfRule type="expression" dxfId="1409" priority="960">
      <formula>M172=FALSE</formula>
    </cfRule>
  </conditionalFormatting>
  <conditionalFormatting sqref="J174">
    <cfRule type="expression" dxfId="1408" priority="350">
      <formula>AND(M174,G174="v.H.-Satz")</formula>
    </cfRule>
    <cfRule type="expression" dxfId="1407" priority="349">
      <formula>AND(M174,J174="",G174&lt;&gt;"v.H.-Satz",H174="")</formula>
    </cfRule>
    <cfRule type="expression" dxfId="1406" priority="346">
      <formula>M174=FALSE</formula>
    </cfRule>
  </conditionalFormatting>
  <conditionalFormatting sqref="J176">
    <cfRule type="expression" dxfId="1405" priority="333">
      <formula>M176=FALSE</formula>
    </cfRule>
    <cfRule type="expression" dxfId="1404" priority="336">
      <formula>AND(M176,J176="",G176&lt;&gt;"v.H.-Satz",H176="")</formula>
    </cfRule>
    <cfRule type="expression" dxfId="1403" priority="337">
      <formula>AND(M176,G176="v.H.-Satz")</formula>
    </cfRule>
    <cfRule type="expression" dxfId="1402" priority="340">
      <formula>M176=FALSE</formula>
    </cfRule>
    <cfRule type="expression" dxfId="1401" priority="344">
      <formula>AND(M176,G176="v.H.-Satz")</formula>
    </cfRule>
    <cfRule type="expression" dxfId="1400" priority="343">
      <formula>AND(M176,J176="",G176&lt;&gt;"v.H.-Satz",H176="")</formula>
    </cfRule>
  </conditionalFormatting>
  <conditionalFormatting sqref="J178">
    <cfRule type="expression" dxfId="1399" priority="1036">
      <formula>AND(M178,G178="v.H.-Satz")</formula>
    </cfRule>
    <cfRule type="expression" dxfId="1398" priority="1034">
      <formula>AND(M178,J178="",G178&lt;&gt;"v.H.-Satz",H178="")</formula>
    </cfRule>
    <cfRule type="expression" dxfId="1397" priority="1029">
      <formula>M178=FALSE</formula>
    </cfRule>
  </conditionalFormatting>
  <conditionalFormatting sqref="J180 J182">
    <cfRule type="expression" dxfId="1396" priority="1012">
      <formula>AND(M180,J180="",G180&lt;&gt;"v.H.-Satz",H180="")</formula>
    </cfRule>
    <cfRule type="expression" dxfId="1395" priority="1014">
      <formula>AND(M180,G180="v.H.-Satz")</formula>
    </cfRule>
    <cfRule type="expression" dxfId="1394" priority="1009">
      <formula>M180=FALSE</formula>
    </cfRule>
  </conditionalFormatting>
  <conditionalFormatting sqref="J180">
    <cfRule type="expression" dxfId="1393" priority="1023">
      <formula>M180=FALSE</formula>
    </cfRule>
    <cfRule type="expression" dxfId="1392" priority="1027">
      <formula>AND(M180,G180="v.H.-Satz")</formula>
    </cfRule>
    <cfRule type="expression" dxfId="1391" priority="1026">
      <formula>AND(M180,J180="",G180&lt;&gt;"v.H.-Satz",H180="")</formula>
    </cfRule>
  </conditionalFormatting>
  <conditionalFormatting sqref="J182">
    <cfRule type="expression" dxfId="1390" priority="1017">
      <formula>M182=FALSE</formula>
    </cfRule>
    <cfRule type="expression" dxfId="1389" priority="1020">
      <formula>AND(M182,J182="",G182&lt;&gt;"v.H.-Satz",H182="")</formula>
    </cfRule>
    <cfRule type="expression" dxfId="1388" priority="1021">
      <formula>AND(M182,G182="v.H.-Satz")</formula>
    </cfRule>
  </conditionalFormatting>
  <dataValidations count="3">
    <dataValidation type="list" allowBlank="1" showInputMessage="1" showErrorMessage="1" sqref="G14 G152 G44 G154 G146 G50 G55 G61 G63 G68 G74 G76 G81 G99 G101 G110 G116 G118 G126 G128 G130 G168 G137 G135 G139 G141 G170 G172 G182 G158 G160 G178 G180 G150 G156 G57 G59 G72 G70 G95 G97 G93 G89 G91 G87 G83 G85 G114 G112 G148 G174 G176" xr:uid="{00000000-0002-0000-0700-000000000000}">
      <formula1>"v.H.-Satz,pauschal"</formula1>
    </dataValidation>
    <dataValidation allowBlank="1" showErrorMessage="1" prompt="Kopfzeile" sqref="F130 F99 F74 F160 F180 F182 F101 F63 F128 F178 F76 F97" xr:uid="{00000000-0002-0000-0700-000001000000}"/>
    <dataValidation allowBlank="1" showErrorMessage="1" sqref="E176 F75 F43 E168 F51 F60 E57 F64 F163 E70 F77 F98 E87 F183 F161 E114 F121 F127 E112 F131 F138 E93 F142 F119 E85 F179 F102 E91 E137 F111 E14 E44 E50 E55 E61 E63 E68 E74 E76 E81 E99 E101 E110 E116 E118 E126 E128 E130 E135 E139 E141 E156 E158 E160 E178 E180 E182 E146 E148 E150 E152 E154 E172 E170 F56 E59 E174 E72 F177 E97 E83 F173 E95 E89 F181 F159 F140 F129 F62 F100 F15 F49" xr:uid="{00000000-0002-0000-0700-000002000000}"/>
  </dataValidations>
  <pageMargins left="0.39370078740157483" right="0.19685039370078741" top="0.39370078740157483" bottom="0.47244094488188981" header="0.31496062992125984" footer="0.31496062992125984"/>
  <pageSetup paperSize="9" scale="84" fitToHeight="0" orientation="portrait" r:id="rId1"/>
  <headerFooter scaleWithDoc="0">
    <oddFooter>&amp;L&amp;8©  VHF Bayern - Stand Februar 2023&amp;R&amp;P</oddFooter>
  </headerFooter>
  <rowBreaks count="5" manualBreakCount="5">
    <brk id="66" max="11" man="1"/>
    <brk id="86" max="11" man="1"/>
    <brk id="108" max="11" man="1"/>
    <brk id="144" max="11" man="1"/>
    <brk id="166"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2625" r:id="rId4" name="Check Box 337">
              <controlPr defaultSize="0" autoFill="0" autoLine="0" autoPict="0" altText="">
                <anchor moveWithCells="1">
                  <from>
                    <xdr:col>1</xdr:col>
                    <xdr:colOff>0</xdr:colOff>
                    <xdr:row>62</xdr:row>
                    <xdr:rowOff>0</xdr:rowOff>
                  </from>
                  <to>
                    <xdr:col>2</xdr:col>
                    <xdr:colOff>0</xdr:colOff>
                    <xdr:row>63</xdr:row>
                    <xdr:rowOff>0</xdr:rowOff>
                  </to>
                </anchor>
              </controlPr>
            </control>
          </mc:Choice>
        </mc:AlternateContent>
        <mc:AlternateContent xmlns:mc="http://schemas.openxmlformats.org/markup-compatibility/2006">
          <mc:Choice Requires="x14">
            <control shapeId="12626" r:id="rId5" name="Check Box 338">
              <controlPr defaultSize="0" autoFill="0" autoLine="0" autoPict="0" altText="">
                <anchor moveWithCells="1">
                  <from>
                    <xdr:col>1</xdr:col>
                    <xdr:colOff>0</xdr:colOff>
                    <xdr:row>60</xdr:row>
                    <xdr:rowOff>0</xdr:rowOff>
                  </from>
                  <to>
                    <xdr:col>2</xdr:col>
                    <xdr:colOff>0</xdr:colOff>
                    <xdr:row>61</xdr:row>
                    <xdr:rowOff>0</xdr:rowOff>
                  </to>
                </anchor>
              </controlPr>
            </control>
          </mc:Choice>
        </mc:AlternateContent>
        <mc:AlternateContent xmlns:mc="http://schemas.openxmlformats.org/markup-compatibility/2006">
          <mc:Choice Requires="x14">
            <control shapeId="12660" r:id="rId6" name="Check Box 372">
              <controlPr defaultSize="0" autoFill="0" autoLine="0" autoPict="0" altText="">
                <anchor moveWithCells="1">
                  <from>
                    <xdr:col>1</xdr:col>
                    <xdr:colOff>0</xdr:colOff>
                    <xdr:row>80</xdr:row>
                    <xdr:rowOff>0</xdr:rowOff>
                  </from>
                  <to>
                    <xdr:col>2</xdr:col>
                    <xdr:colOff>0</xdr:colOff>
                    <xdr:row>81</xdr:row>
                    <xdr:rowOff>0</xdr:rowOff>
                  </to>
                </anchor>
              </controlPr>
            </control>
          </mc:Choice>
        </mc:AlternateContent>
        <mc:AlternateContent xmlns:mc="http://schemas.openxmlformats.org/markup-compatibility/2006">
          <mc:Choice Requires="x14">
            <control shapeId="12661" r:id="rId7" name="Check Box 373">
              <controlPr defaultSize="0" autoFill="0" autoLine="0" autoPict="0" altText="">
                <anchor moveWithCells="1">
                  <from>
                    <xdr:col>1</xdr:col>
                    <xdr:colOff>0</xdr:colOff>
                    <xdr:row>100</xdr:row>
                    <xdr:rowOff>0</xdr:rowOff>
                  </from>
                  <to>
                    <xdr:col>2</xdr:col>
                    <xdr:colOff>0</xdr:colOff>
                    <xdr:row>101</xdr:row>
                    <xdr:rowOff>0</xdr:rowOff>
                  </to>
                </anchor>
              </controlPr>
            </control>
          </mc:Choice>
        </mc:AlternateContent>
        <mc:AlternateContent xmlns:mc="http://schemas.openxmlformats.org/markup-compatibility/2006">
          <mc:Choice Requires="x14">
            <control shapeId="12678" r:id="rId8" name="Check Box 390">
              <controlPr defaultSize="0" autoFill="0" autoLine="0" autoPict="0" altText="">
                <anchor moveWithCells="1">
                  <from>
                    <xdr:col>1</xdr:col>
                    <xdr:colOff>0</xdr:colOff>
                    <xdr:row>115</xdr:row>
                    <xdr:rowOff>0</xdr:rowOff>
                  </from>
                  <to>
                    <xdr:col>2</xdr:col>
                    <xdr:colOff>0</xdr:colOff>
                    <xdr:row>116</xdr:row>
                    <xdr:rowOff>0</xdr:rowOff>
                  </to>
                </anchor>
              </controlPr>
            </control>
          </mc:Choice>
        </mc:AlternateContent>
        <mc:AlternateContent xmlns:mc="http://schemas.openxmlformats.org/markup-compatibility/2006">
          <mc:Choice Requires="x14">
            <control shapeId="12679" r:id="rId9" name="Check Box 391">
              <controlPr defaultSize="0" autoFill="0" autoLine="0" autoPict="0" altText="">
                <anchor moveWithCells="1">
                  <from>
                    <xdr:col>1</xdr:col>
                    <xdr:colOff>0</xdr:colOff>
                    <xdr:row>117</xdr:row>
                    <xdr:rowOff>0</xdr:rowOff>
                  </from>
                  <to>
                    <xdr:col>2</xdr:col>
                    <xdr:colOff>0</xdr:colOff>
                    <xdr:row>117</xdr:row>
                    <xdr:rowOff>228600</xdr:rowOff>
                  </to>
                </anchor>
              </controlPr>
            </control>
          </mc:Choice>
        </mc:AlternateContent>
        <mc:AlternateContent xmlns:mc="http://schemas.openxmlformats.org/markup-compatibility/2006">
          <mc:Choice Requires="x14">
            <control shapeId="12680" r:id="rId10" name="Check Box 392">
              <controlPr defaultSize="0" autoFill="0" autoLine="0" autoPict="0" altText="">
                <anchor moveWithCells="1">
                  <from>
                    <xdr:col>1</xdr:col>
                    <xdr:colOff>0</xdr:colOff>
                    <xdr:row>125</xdr:row>
                    <xdr:rowOff>0</xdr:rowOff>
                  </from>
                  <to>
                    <xdr:col>2</xdr:col>
                    <xdr:colOff>0</xdr:colOff>
                    <xdr:row>126</xdr:row>
                    <xdr:rowOff>0</xdr:rowOff>
                  </to>
                </anchor>
              </controlPr>
            </control>
          </mc:Choice>
        </mc:AlternateContent>
        <mc:AlternateContent xmlns:mc="http://schemas.openxmlformats.org/markup-compatibility/2006">
          <mc:Choice Requires="x14">
            <control shapeId="12681" r:id="rId11" name="Check Box 393">
              <controlPr defaultSize="0" autoFill="0" autoLine="0" autoPict="0" altText="">
                <anchor moveWithCells="1">
                  <from>
                    <xdr:col>1</xdr:col>
                    <xdr:colOff>0</xdr:colOff>
                    <xdr:row>127</xdr:row>
                    <xdr:rowOff>0</xdr:rowOff>
                  </from>
                  <to>
                    <xdr:col>2</xdr:col>
                    <xdr:colOff>0</xdr:colOff>
                    <xdr:row>128</xdr:row>
                    <xdr:rowOff>0</xdr:rowOff>
                  </to>
                </anchor>
              </controlPr>
            </control>
          </mc:Choice>
        </mc:AlternateContent>
        <mc:AlternateContent xmlns:mc="http://schemas.openxmlformats.org/markup-compatibility/2006">
          <mc:Choice Requires="x14">
            <control shapeId="12682" r:id="rId12" name="Check Box 394">
              <controlPr defaultSize="0" autoFill="0" autoLine="0" autoPict="0" altText="">
                <anchor moveWithCells="1">
                  <from>
                    <xdr:col>1</xdr:col>
                    <xdr:colOff>0</xdr:colOff>
                    <xdr:row>129</xdr:row>
                    <xdr:rowOff>0</xdr:rowOff>
                  </from>
                  <to>
                    <xdr:col>2</xdr:col>
                    <xdr:colOff>0</xdr:colOff>
                    <xdr:row>130</xdr:row>
                    <xdr:rowOff>0</xdr:rowOff>
                  </to>
                </anchor>
              </controlPr>
            </control>
          </mc:Choice>
        </mc:AlternateContent>
        <mc:AlternateContent xmlns:mc="http://schemas.openxmlformats.org/markup-compatibility/2006">
          <mc:Choice Requires="x14">
            <control shapeId="12690" r:id="rId13" name="Check Box 402">
              <controlPr defaultSize="0" autoFill="0" autoLine="0" autoPict="0" altText="">
                <anchor moveWithCells="1">
                  <from>
                    <xdr:col>1</xdr:col>
                    <xdr:colOff>0</xdr:colOff>
                    <xdr:row>134</xdr:row>
                    <xdr:rowOff>0</xdr:rowOff>
                  </from>
                  <to>
                    <xdr:col>2</xdr:col>
                    <xdr:colOff>0</xdr:colOff>
                    <xdr:row>135</xdr:row>
                    <xdr:rowOff>0</xdr:rowOff>
                  </to>
                </anchor>
              </controlPr>
            </control>
          </mc:Choice>
        </mc:AlternateContent>
        <mc:AlternateContent xmlns:mc="http://schemas.openxmlformats.org/markup-compatibility/2006">
          <mc:Choice Requires="x14">
            <control shapeId="12691" r:id="rId14" name="Check Box 403">
              <controlPr defaultSize="0" autoFill="0" autoLine="0" autoPict="0" altText="">
                <anchor moveWithCells="1">
                  <from>
                    <xdr:col>1</xdr:col>
                    <xdr:colOff>0</xdr:colOff>
                    <xdr:row>138</xdr:row>
                    <xdr:rowOff>0</xdr:rowOff>
                  </from>
                  <to>
                    <xdr:col>2</xdr:col>
                    <xdr:colOff>0</xdr:colOff>
                    <xdr:row>139</xdr:row>
                    <xdr:rowOff>0</xdr:rowOff>
                  </to>
                </anchor>
              </controlPr>
            </control>
          </mc:Choice>
        </mc:AlternateContent>
        <mc:AlternateContent xmlns:mc="http://schemas.openxmlformats.org/markup-compatibility/2006">
          <mc:Choice Requires="x14">
            <control shapeId="12692" r:id="rId15" name="Check Box 404">
              <controlPr defaultSize="0" autoFill="0" autoLine="0" autoPict="0" altText="">
                <anchor moveWithCells="1">
                  <from>
                    <xdr:col>1</xdr:col>
                    <xdr:colOff>0</xdr:colOff>
                    <xdr:row>140</xdr:row>
                    <xdr:rowOff>0</xdr:rowOff>
                  </from>
                  <to>
                    <xdr:col>2</xdr:col>
                    <xdr:colOff>0</xdr:colOff>
                    <xdr:row>141</xdr:row>
                    <xdr:rowOff>0</xdr:rowOff>
                  </to>
                </anchor>
              </controlPr>
            </control>
          </mc:Choice>
        </mc:AlternateContent>
        <mc:AlternateContent xmlns:mc="http://schemas.openxmlformats.org/markup-compatibility/2006">
          <mc:Choice Requires="x14">
            <control shapeId="12695" r:id="rId16" name="Check Box 407">
              <controlPr defaultSize="0" autoFill="0" autoLine="0" autoPict="0" altText="3 Fahrstreifen">
                <anchor moveWithCells="1">
                  <from>
                    <xdr:col>1</xdr:col>
                    <xdr:colOff>0</xdr:colOff>
                    <xdr:row>167</xdr:row>
                    <xdr:rowOff>0</xdr:rowOff>
                  </from>
                  <to>
                    <xdr:col>2</xdr:col>
                    <xdr:colOff>0</xdr:colOff>
                    <xdr:row>168</xdr:row>
                    <xdr:rowOff>0</xdr:rowOff>
                  </to>
                </anchor>
              </controlPr>
            </control>
          </mc:Choice>
        </mc:AlternateContent>
        <mc:AlternateContent xmlns:mc="http://schemas.openxmlformats.org/markup-compatibility/2006">
          <mc:Choice Requires="x14">
            <control shapeId="12696" r:id="rId17" name="Check Box 408">
              <controlPr defaultSize="0" autoFill="0" autoLine="0" autoPict="0" altText="3 Fahrstreifen">
                <anchor moveWithCells="1">
                  <from>
                    <xdr:col>1</xdr:col>
                    <xdr:colOff>0</xdr:colOff>
                    <xdr:row>169</xdr:row>
                    <xdr:rowOff>0</xdr:rowOff>
                  </from>
                  <to>
                    <xdr:col>2</xdr:col>
                    <xdr:colOff>0</xdr:colOff>
                    <xdr:row>170</xdr:row>
                    <xdr:rowOff>0</xdr:rowOff>
                  </to>
                </anchor>
              </controlPr>
            </control>
          </mc:Choice>
        </mc:AlternateContent>
        <mc:AlternateContent xmlns:mc="http://schemas.openxmlformats.org/markup-compatibility/2006">
          <mc:Choice Requires="x14">
            <control shapeId="12700" r:id="rId18" name="Check Box 412">
              <controlPr defaultSize="0" autoFill="0" autoLine="0" autoPict="0" altText="">
                <anchor moveWithCells="1">
                  <from>
                    <xdr:col>1</xdr:col>
                    <xdr:colOff>0</xdr:colOff>
                    <xdr:row>147</xdr:row>
                    <xdr:rowOff>0</xdr:rowOff>
                  </from>
                  <to>
                    <xdr:col>2</xdr:col>
                    <xdr:colOff>0</xdr:colOff>
                    <xdr:row>148</xdr:row>
                    <xdr:rowOff>0</xdr:rowOff>
                  </to>
                </anchor>
              </controlPr>
            </control>
          </mc:Choice>
        </mc:AlternateContent>
        <mc:AlternateContent xmlns:mc="http://schemas.openxmlformats.org/markup-compatibility/2006">
          <mc:Choice Requires="x14">
            <control shapeId="12703" r:id="rId19" name="Check Box 415">
              <controlPr defaultSize="0" autoFill="0" autoLine="0" autoPict="0" altText="">
                <anchor moveWithCells="1">
                  <from>
                    <xdr:col>1</xdr:col>
                    <xdr:colOff>0</xdr:colOff>
                    <xdr:row>145</xdr:row>
                    <xdr:rowOff>0</xdr:rowOff>
                  </from>
                  <to>
                    <xdr:col>2</xdr:col>
                    <xdr:colOff>0</xdr:colOff>
                    <xdr:row>146</xdr:row>
                    <xdr:rowOff>0</xdr:rowOff>
                  </to>
                </anchor>
              </controlPr>
            </control>
          </mc:Choice>
        </mc:AlternateContent>
        <mc:AlternateContent xmlns:mc="http://schemas.openxmlformats.org/markup-compatibility/2006">
          <mc:Choice Requires="x14">
            <control shapeId="12704" r:id="rId20" name="Check Box 416">
              <controlPr defaultSize="0" autoFill="0" autoLine="0" autoPict="0" altText="">
                <anchor moveWithCells="1">
                  <from>
                    <xdr:col>1</xdr:col>
                    <xdr:colOff>0</xdr:colOff>
                    <xdr:row>149</xdr:row>
                    <xdr:rowOff>0</xdr:rowOff>
                  </from>
                  <to>
                    <xdr:col>2</xdr:col>
                    <xdr:colOff>0</xdr:colOff>
                    <xdr:row>150</xdr:row>
                    <xdr:rowOff>0</xdr:rowOff>
                  </to>
                </anchor>
              </controlPr>
            </control>
          </mc:Choice>
        </mc:AlternateContent>
        <mc:AlternateContent xmlns:mc="http://schemas.openxmlformats.org/markup-compatibility/2006">
          <mc:Choice Requires="x14">
            <control shapeId="12706" r:id="rId21" name="Check Box 418">
              <controlPr defaultSize="0" autoFill="0" autoLine="0" autoPict="0" altText="">
                <anchor moveWithCells="1">
                  <from>
                    <xdr:col>1</xdr:col>
                    <xdr:colOff>0</xdr:colOff>
                    <xdr:row>151</xdr:row>
                    <xdr:rowOff>0</xdr:rowOff>
                  </from>
                  <to>
                    <xdr:col>2</xdr:col>
                    <xdr:colOff>0</xdr:colOff>
                    <xdr:row>152</xdr:row>
                    <xdr:rowOff>0</xdr:rowOff>
                  </to>
                </anchor>
              </controlPr>
            </control>
          </mc:Choice>
        </mc:AlternateContent>
        <mc:AlternateContent xmlns:mc="http://schemas.openxmlformats.org/markup-compatibility/2006">
          <mc:Choice Requires="x14">
            <control shapeId="12775" r:id="rId22" name="Check Box 487">
              <controlPr defaultSize="0" autoFill="0" autoLine="0" autoPict="0" altText="">
                <anchor moveWithCells="1">
                  <from>
                    <xdr:col>1</xdr:col>
                    <xdr:colOff>0</xdr:colOff>
                    <xdr:row>153</xdr:row>
                    <xdr:rowOff>0</xdr:rowOff>
                  </from>
                  <to>
                    <xdr:col>2</xdr:col>
                    <xdr:colOff>0</xdr:colOff>
                    <xdr:row>154</xdr:row>
                    <xdr:rowOff>0</xdr:rowOff>
                  </to>
                </anchor>
              </controlPr>
            </control>
          </mc:Choice>
        </mc:AlternateContent>
        <mc:AlternateContent xmlns:mc="http://schemas.openxmlformats.org/markup-compatibility/2006">
          <mc:Choice Requires="x14">
            <control shapeId="12781" r:id="rId23" name="Check Box 493">
              <controlPr defaultSize="0" autoFill="0" autoLine="0" autoPict="0" altText="">
                <anchor moveWithCells="1">
                  <from>
                    <xdr:col>1</xdr:col>
                    <xdr:colOff>0</xdr:colOff>
                    <xdr:row>109</xdr:row>
                    <xdr:rowOff>0</xdr:rowOff>
                  </from>
                  <to>
                    <xdr:col>2</xdr:col>
                    <xdr:colOff>0</xdr:colOff>
                    <xdr:row>110</xdr:row>
                    <xdr:rowOff>22860</xdr:rowOff>
                  </to>
                </anchor>
              </controlPr>
            </control>
          </mc:Choice>
        </mc:AlternateContent>
        <mc:AlternateContent xmlns:mc="http://schemas.openxmlformats.org/markup-compatibility/2006">
          <mc:Choice Requires="x14">
            <control shapeId="12824" r:id="rId24" name="Check Box 536">
              <controlPr defaultSize="0" autoFill="0" autoLine="0" autoPict="0" altText="">
                <anchor moveWithCells="1">
                  <from>
                    <xdr:col>1</xdr:col>
                    <xdr:colOff>0</xdr:colOff>
                    <xdr:row>73</xdr:row>
                    <xdr:rowOff>0</xdr:rowOff>
                  </from>
                  <to>
                    <xdr:col>2</xdr:col>
                    <xdr:colOff>0</xdr:colOff>
                    <xdr:row>74</xdr:row>
                    <xdr:rowOff>0</xdr:rowOff>
                  </to>
                </anchor>
              </controlPr>
            </control>
          </mc:Choice>
        </mc:AlternateContent>
        <mc:AlternateContent xmlns:mc="http://schemas.openxmlformats.org/markup-compatibility/2006">
          <mc:Choice Requires="x14">
            <control shapeId="12835" r:id="rId25" name="Kontrollkästchen 5">
              <controlPr defaultSize="0" autoFill="0" autoLine="0" autoPict="0" altText="">
                <anchor moveWithCells="1">
                  <from>
                    <xdr:col>1</xdr:col>
                    <xdr:colOff>0</xdr:colOff>
                    <xdr:row>49</xdr:row>
                    <xdr:rowOff>0</xdr:rowOff>
                  </from>
                  <to>
                    <xdr:col>2</xdr:col>
                    <xdr:colOff>0</xdr:colOff>
                    <xdr:row>49</xdr:row>
                    <xdr:rowOff>228600</xdr:rowOff>
                  </to>
                </anchor>
              </controlPr>
            </control>
          </mc:Choice>
        </mc:AlternateContent>
        <mc:AlternateContent xmlns:mc="http://schemas.openxmlformats.org/markup-compatibility/2006">
          <mc:Choice Requires="x14">
            <control shapeId="12836" r:id="rId26" name="Kontrollkästchen 5">
              <controlPr defaultSize="0" autoFill="0" autoLine="0" autoPict="0" altText="">
                <anchor moveWithCells="1">
                  <from>
                    <xdr:col>1</xdr:col>
                    <xdr:colOff>0</xdr:colOff>
                    <xdr:row>43</xdr:row>
                    <xdr:rowOff>0</xdr:rowOff>
                  </from>
                  <to>
                    <xdr:col>2</xdr:col>
                    <xdr:colOff>0</xdr:colOff>
                    <xdr:row>44</xdr:row>
                    <xdr:rowOff>0</xdr:rowOff>
                  </to>
                </anchor>
              </controlPr>
            </control>
          </mc:Choice>
        </mc:AlternateContent>
        <mc:AlternateContent xmlns:mc="http://schemas.openxmlformats.org/markup-compatibility/2006">
          <mc:Choice Requires="x14">
            <control shapeId="12837" r:id="rId27" name="Check Box 549">
              <controlPr defaultSize="0" autoFill="0" autoLine="0" autoPict="0" altText="">
                <anchor moveWithCells="1">
                  <from>
                    <xdr:col>1</xdr:col>
                    <xdr:colOff>0</xdr:colOff>
                    <xdr:row>54</xdr:row>
                    <xdr:rowOff>0</xdr:rowOff>
                  </from>
                  <to>
                    <xdr:col>2</xdr:col>
                    <xdr:colOff>0</xdr:colOff>
                    <xdr:row>55</xdr:row>
                    <xdr:rowOff>22860</xdr:rowOff>
                  </to>
                </anchor>
              </controlPr>
            </control>
          </mc:Choice>
        </mc:AlternateContent>
        <mc:AlternateContent xmlns:mc="http://schemas.openxmlformats.org/markup-compatibility/2006">
          <mc:Choice Requires="x14">
            <control shapeId="12853" r:id="rId28" name="Check Box 565">
              <controlPr defaultSize="0" autoFill="0" autoLine="0" autoPict="0" altText="">
                <anchor moveWithCells="1">
                  <from>
                    <xdr:col>1</xdr:col>
                    <xdr:colOff>0</xdr:colOff>
                    <xdr:row>67</xdr:row>
                    <xdr:rowOff>0</xdr:rowOff>
                  </from>
                  <to>
                    <xdr:col>2</xdr:col>
                    <xdr:colOff>0</xdr:colOff>
                    <xdr:row>68</xdr:row>
                    <xdr:rowOff>0</xdr:rowOff>
                  </to>
                </anchor>
              </controlPr>
            </control>
          </mc:Choice>
        </mc:AlternateContent>
        <mc:AlternateContent xmlns:mc="http://schemas.openxmlformats.org/markup-compatibility/2006">
          <mc:Choice Requires="x14">
            <control shapeId="12858" r:id="rId29" name="Check Box 570">
              <controlPr defaultSize="0" autoFill="0" autoLine="0" autoPict="0" altText="">
                <anchor moveWithCells="1">
                  <from>
                    <xdr:col>1</xdr:col>
                    <xdr:colOff>0</xdr:colOff>
                    <xdr:row>75</xdr:row>
                    <xdr:rowOff>0</xdr:rowOff>
                  </from>
                  <to>
                    <xdr:col>2</xdr:col>
                    <xdr:colOff>0</xdr:colOff>
                    <xdr:row>76</xdr:row>
                    <xdr:rowOff>0</xdr:rowOff>
                  </to>
                </anchor>
              </controlPr>
            </control>
          </mc:Choice>
        </mc:AlternateContent>
        <mc:AlternateContent xmlns:mc="http://schemas.openxmlformats.org/markup-compatibility/2006">
          <mc:Choice Requires="x14">
            <control shapeId="12903" r:id="rId30" name="Check Box 615">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12904" r:id="rId31" name="Check Box 616">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12918" r:id="rId32" name="Check Box 630">
              <controlPr defaultSize="0" autoFill="0" autoLine="0" autoPict="0" altText="">
                <anchor moveWithCells="1">
                  <from>
                    <xdr:col>1</xdr:col>
                    <xdr:colOff>0</xdr:colOff>
                    <xdr:row>155</xdr:row>
                    <xdr:rowOff>0</xdr:rowOff>
                  </from>
                  <to>
                    <xdr:col>2</xdr:col>
                    <xdr:colOff>0</xdr:colOff>
                    <xdr:row>155</xdr:row>
                    <xdr:rowOff>213360</xdr:rowOff>
                  </to>
                </anchor>
              </controlPr>
            </control>
          </mc:Choice>
        </mc:AlternateContent>
        <mc:AlternateContent xmlns:mc="http://schemas.openxmlformats.org/markup-compatibility/2006">
          <mc:Choice Requires="x14">
            <control shapeId="12919" r:id="rId33" name="Check Box 631">
              <controlPr defaultSize="0" autoFill="0" autoLine="0" autoPict="0" altText="">
                <anchor moveWithCells="1">
                  <from>
                    <xdr:col>1</xdr:col>
                    <xdr:colOff>0</xdr:colOff>
                    <xdr:row>157</xdr:row>
                    <xdr:rowOff>0</xdr:rowOff>
                  </from>
                  <to>
                    <xdr:col>2</xdr:col>
                    <xdr:colOff>0</xdr:colOff>
                    <xdr:row>158</xdr:row>
                    <xdr:rowOff>0</xdr:rowOff>
                  </to>
                </anchor>
              </controlPr>
            </control>
          </mc:Choice>
        </mc:AlternateContent>
        <mc:AlternateContent xmlns:mc="http://schemas.openxmlformats.org/markup-compatibility/2006">
          <mc:Choice Requires="x14">
            <control shapeId="12920" r:id="rId34" name="Check Box 632">
              <controlPr defaultSize="0" autoFill="0" autoLine="0" autoPict="0" altText="">
                <anchor moveWithCells="1">
                  <from>
                    <xdr:col>1</xdr:col>
                    <xdr:colOff>0</xdr:colOff>
                    <xdr:row>159</xdr:row>
                    <xdr:rowOff>0</xdr:rowOff>
                  </from>
                  <to>
                    <xdr:col>2</xdr:col>
                    <xdr:colOff>0</xdr:colOff>
                    <xdr:row>160</xdr:row>
                    <xdr:rowOff>0</xdr:rowOff>
                  </to>
                </anchor>
              </controlPr>
            </control>
          </mc:Choice>
        </mc:AlternateContent>
        <mc:AlternateContent xmlns:mc="http://schemas.openxmlformats.org/markup-compatibility/2006">
          <mc:Choice Requires="x14">
            <control shapeId="12922" r:id="rId35" name="Check Box 634">
              <controlPr defaultSize="0" autoFill="0" autoLine="0" autoPict="0" altText="3 Fahrstreifen">
                <anchor moveWithCells="1">
                  <from>
                    <xdr:col>1</xdr:col>
                    <xdr:colOff>0</xdr:colOff>
                    <xdr:row>171</xdr:row>
                    <xdr:rowOff>0</xdr:rowOff>
                  </from>
                  <to>
                    <xdr:col>2</xdr:col>
                    <xdr:colOff>22860</xdr:colOff>
                    <xdr:row>172</xdr:row>
                    <xdr:rowOff>0</xdr:rowOff>
                  </to>
                </anchor>
              </controlPr>
            </control>
          </mc:Choice>
        </mc:AlternateContent>
        <mc:AlternateContent xmlns:mc="http://schemas.openxmlformats.org/markup-compatibility/2006">
          <mc:Choice Requires="x14">
            <control shapeId="12923" r:id="rId36" name="Check Box 635">
              <controlPr defaultSize="0" autoFill="0" autoLine="0" autoPict="0" altText="3 Fahrstreifen">
                <anchor moveWithCells="1">
                  <from>
                    <xdr:col>1</xdr:col>
                    <xdr:colOff>0</xdr:colOff>
                    <xdr:row>177</xdr:row>
                    <xdr:rowOff>0</xdr:rowOff>
                  </from>
                  <to>
                    <xdr:col>2</xdr:col>
                    <xdr:colOff>0</xdr:colOff>
                    <xdr:row>178</xdr:row>
                    <xdr:rowOff>0</xdr:rowOff>
                  </to>
                </anchor>
              </controlPr>
            </control>
          </mc:Choice>
        </mc:AlternateContent>
        <mc:AlternateContent xmlns:mc="http://schemas.openxmlformats.org/markup-compatibility/2006">
          <mc:Choice Requires="x14">
            <control shapeId="12924" r:id="rId37" name="Check Box 636">
              <controlPr defaultSize="0" autoFill="0" autoLine="0" autoPict="0" altText="3 Fahrstreifen">
                <anchor moveWithCells="1">
                  <from>
                    <xdr:col>1</xdr:col>
                    <xdr:colOff>0</xdr:colOff>
                    <xdr:row>179</xdr:row>
                    <xdr:rowOff>0</xdr:rowOff>
                  </from>
                  <to>
                    <xdr:col>2</xdr:col>
                    <xdr:colOff>0</xdr:colOff>
                    <xdr:row>180</xdr:row>
                    <xdr:rowOff>0</xdr:rowOff>
                  </to>
                </anchor>
              </controlPr>
            </control>
          </mc:Choice>
        </mc:AlternateContent>
        <mc:AlternateContent xmlns:mc="http://schemas.openxmlformats.org/markup-compatibility/2006">
          <mc:Choice Requires="x14">
            <control shapeId="12925" r:id="rId38" name="Check Box 637">
              <controlPr defaultSize="0" autoFill="0" autoLine="0" autoPict="0" altText="3 Fahrstreifen">
                <anchor moveWithCells="1">
                  <from>
                    <xdr:col>1</xdr:col>
                    <xdr:colOff>0</xdr:colOff>
                    <xdr:row>181</xdr:row>
                    <xdr:rowOff>0</xdr:rowOff>
                  </from>
                  <to>
                    <xdr:col>2</xdr:col>
                    <xdr:colOff>0</xdr:colOff>
                    <xdr:row>182</xdr:row>
                    <xdr:rowOff>0</xdr:rowOff>
                  </to>
                </anchor>
              </controlPr>
            </control>
          </mc:Choice>
        </mc:AlternateContent>
        <mc:AlternateContent xmlns:mc="http://schemas.openxmlformats.org/markup-compatibility/2006">
          <mc:Choice Requires="x14">
            <control shapeId="12926" r:id="rId39" name="Kontrollkästchen 2">
              <controlPr defaultSize="0" autoFill="0" autoLine="0" autoPict="0" altText="">
                <anchor moveWithCells="1">
                  <from>
                    <xdr:col>1</xdr:col>
                    <xdr:colOff>0</xdr:colOff>
                    <xdr:row>43</xdr:row>
                    <xdr:rowOff>0</xdr:rowOff>
                  </from>
                  <to>
                    <xdr:col>2</xdr:col>
                    <xdr:colOff>0</xdr:colOff>
                    <xdr:row>44</xdr:row>
                    <xdr:rowOff>0</xdr:rowOff>
                  </to>
                </anchor>
              </controlPr>
            </control>
          </mc:Choice>
        </mc:AlternateContent>
        <mc:AlternateContent xmlns:mc="http://schemas.openxmlformats.org/markup-compatibility/2006">
          <mc:Choice Requires="x14">
            <control shapeId="12927" r:id="rId40" name="Check Box 639">
              <controlPr defaultSize="0" autoFill="0" autoLine="0" autoPict="0" altText="">
                <anchor moveWithCells="1">
                  <from>
                    <xdr:col>1</xdr:col>
                    <xdr:colOff>0</xdr:colOff>
                    <xdr:row>49</xdr:row>
                    <xdr:rowOff>0</xdr:rowOff>
                  </from>
                  <to>
                    <xdr:col>2</xdr:col>
                    <xdr:colOff>0</xdr:colOff>
                    <xdr:row>49</xdr:row>
                    <xdr:rowOff>228600</xdr:rowOff>
                  </to>
                </anchor>
              </controlPr>
            </control>
          </mc:Choice>
        </mc:AlternateContent>
        <mc:AlternateContent xmlns:mc="http://schemas.openxmlformats.org/markup-compatibility/2006">
          <mc:Choice Requires="x14">
            <control shapeId="12928" r:id="rId41" name="Kontrollkästchen 2">
              <controlPr defaultSize="0" autoFill="0" autoLine="0" autoPict="0" altText="">
                <anchor moveWithCells="1">
                  <from>
                    <xdr:col>1</xdr:col>
                    <xdr:colOff>0</xdr:colOff>
                    <xdr:row>49</xdr:row>
                    <xdr:rowOff>0</xdr:rowOff>
                  </from>
                  <to>
                    <xdr:col>2</xdr:col>
                    <xdr:colOff>0</xdr:colOff>
                    <xdr:row>49</xdr:row>
                    <xdr:rowOff>228600</xdr:rowOff>
                  </to>
                </anchor>
              </controlPr>
            </control>
          </mc:Choice>
        </mc:AlternateContent>
        <mc:AlternateContent xmlns:mc="http://schemas.openxmlformats.org/markup-compatibility/2006">
          <mc:Choice Requires="x14">
            <control shapeId="12932" r:id="rId42" name="Check Box 644">
              <controlPr defaultSize="0" autoFill="0" autoLine="0" autoPict="0" altText="">
                <anchor moveWithCells="1">
                  <from>
                    <xdr:col>1</xdr:col>
                    <xdr:colOff>0</xdr:colOff>
                    <xdr:row>62</xdr:row>
                    <xdr:rowOff>0</xdr:rowOff>
                  </from>
                  <to>
                    <xdr:col>2</xdr:col>
                    <xdr:colOff>0</xdr:colOff>
                    <xdr:row>63</xdr:row>
                    <xdr:rowOff>0</xdr:rowOff>
                  </to>
                </anchor>
              </controlPr>
            </control>
          </mc:Choice>
        </mc:AlternateContent>
        <mc:AlternateContent xmlns:mc="http://schemas.openxmlformats.org/markup-compatibility/2006">
          <mc:Choice Requires="x14">
            <control shapeId="12933" r:id="rId43" name="Check Box 645">
              <controlPr defaultSize="0" autoFill="0" autoLine="0" autoPict="0" altText="">
                <anchor moveWithCells="1">
                  <from>
                    <xdr:col>1</xdr:col>
                    <xdr:colOff>0</xdr:colOff>
                    <xdr:row>62</xdr:row>
                    <xdr:rowOff>0</xdr:rowOff>
                  </from>
                  <to>
                    <xdr:col>2</xdr:col>
                    <xdr:colOff>0</xdr:colOff>
                    <xdr:row>63</xdr:row>
                    <xdr:rowOff>0</xdr:rowOff>
                  </to>
                </anchor>
              </controlPr>
            </control>
          </mc:Choice>
        </mc:AlternateContent>
        <mc:AlternateContent xmlns:mc="http://schemas.openxmlformats.org/markup-compatibility/2006">
          <mc:Choice Requires="x14">
            <control shapeId="12954" r:id="rId44" name="Check Box 666">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12955" r:id="rId45" name="Check Box 667">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12956" r:id="rId46" name="Check Box 668">
              <controlPr defaultSize="0" autoFill="0" autoLine="0" autoPict="0" altText="">
                <anchor moveWithCells="1">
                  <from>
                    <xdr:col>1</xdr:col>
                    <xdr:colOff>0</xdr:colOff>
                    <xdr:row>98</xdr:row>
                    <xdr:rowOff>0</xdr:rowOff>
                  </from>
                  <to>
                    <xdr:col>2</xdr:col>
                    <xdr:colOff>0</xdr:colOff>
                    <xdr:row>99</xdr:row>
                    <xdr:rowOff>0</xdr:rowOff>
                  </to>
                </anchor>
              </controlPr>
            </control>
          </mc:Choice>
        </mc:AlternateContent>
        <mc:AlternateContent xmlns:mc="http://schemas.openxmlformats.org/markup-compatibility/2006">
          <mc:Choice Requires="x14">
            <control shapeId="12990" r:id="rId47" name="Check Box 702">
              <controlPr defaultSize="0" autoFill="0" autoLine="0" autoPict="0" altText="">
                <anchor moveWithCells="1">
                  <from>
                    <xdr:col>1</xdr:col>
                    <xdr:colOff>0</xdr:colOff>
                    <xdr:row>155</xdr:row>
                    <xdr:rowOff>0</xdr:rowOff>
                  </from>
                  <to>
                    <xdr:col>2</xdr:col>
                    <xdr:colOff>0</xdr:colOff>
                    <xdr:row>155</xdr:row>
                    <xdr:rowOff>213360</xdr:rowOff>
                  </to>
                </anchor>
              </controlPr>
            </control>
          </mc:Choice>
        </mc:AlternateContent>
        <mc:AlternateContent xmlns:mc="http://schemas.openxmlformats.org/markup-compatibility/2006">
          <mc:Choice Requires="x14">
            <control shapeId="12994" r:id="rId48" name="Check Box 706">
              <controlPr defaultSize="0" autoFill="0" autoLine="0" autoPict="0" altText="3 Fahrstreifen">
                <anchor moveWithCells="1">
                  <from>
                    <xdr:col>1</xdr:col>
                    <xdr:colOff>0</xdr:colOff>
                    <xdr:row>177</xdr:row>
                    <xdr:rowOff>0</xdr:rowOff>
                  </from>
                  <to>
                    <xdr:col>2</xdr:col>
                    <xdr:colOff>0</xdr:colOff>
                    <xdr:row>178</xdr:row>
                    <xdr:rowOff>0</xdr:rowOff>
                  </to>
                </anchor>
              </controlPr>
            </control>
          </mc:Choice>
        </mc:AlternateContent>
        <mc:AlternateContent xmlns:mc="http://schemas.openxmlformats.org/markup-compatibility/2006">
          <mc:Choice Requires="x14">
            <control shapeId="12995" r:id="rId49" name="Check Box 707">
              <controlPr defaultSize="0" autoFill="0" autoLine="0" autoPict="0" altText="3 Fahrstreifen">
                <anchor moveWithCells="1">
                  <from>
                    <xdr:col>1</xdr:col>
                    <xdr:colOff>0</xdr:colOff>
                    <xdr:row>179</xdr:row>
                    <xdr:rowOff>0</xdr:rowOff>
                  </from>
                  <to>
                    <xdr:col>2</xdr:col>
                    <xdr:colOff>0</xdr:colOff>
                    <xdr:row>180</xdr:row>
                    <xdr:rowOff>0</xdr:rowOff>
                  </to>
                </anchor>
              </controlPr>
            </control>
          </mc:Choice>
        </mc:AlternateContent>
        <mc:AlternateContent xmlns:mc="http://schemas.openxmlformats.org/markup-compatibility/2006">
          <mc:Choice Requires="x14">
            <control shapeId="12996" r:id="rId50" name="Check Box 708">
              <controlPr defaultSize="0" autoFill="0" autoLine="0" autoPict="0" altText="3 Fahrstreifen">
                <anchor moveWithCells="1">
                  <from>
                    <xdr:col>1</xdr:col>
                    <xdr:colOff>0</xdr:colOff>
                    <xdr:row>179</xdr:row>
                    <xdr:rowOff>0</xdr:rowOff>
                  </from>
                  <to>
                    <xdr:col>2</xdr:col>
                    <xdr:colOff>0</xdr:colOff>
                    <xdr:row>180</xdr:row>
                    <xdr:rowOff>0</xdr:rowOff>
                  </to>
                </anchor>
              </controlPr>
            </control>
          </mc:Choice>
        </mc:AlternateContent>
        <mc:AlternateContent xmlns:mc="http://schemas.openxmlformats.org/markup-compatibility/2006">
          <mc:Choice Requires="x14">
            <control shapeId="13000" r:id="rId51" name="Check Box 712">
              <controlPr defaultSize="0" autoFill="0" autoLine="0" autoPict="0" altText="3 Fahrstreifen">
                <anchor moveWithCells="1">
                  <from>
                    <xdr:col>1</xdr:col>
                    <xdr:colOff>0</xdr:colOff>
                    <xdr:row>167</xdr:row>
                    <xdr:rowOff>0</xdr:rowOff>
                  </from>
                  <to>
                    <xdr:col>2</xdr:col>
                    <xdr:colOff>0</xdr:colOff>
                    <xdr:row>168</xdr:row>
                    <xdr:rowOff>0</xdr:rowOff>
                  </to>
                </anchor>
              </controlPr>
            </control>
          </mc:Choice>
        </mc:AlternateContent>
        <mc:AlternateContent xmlns:mc="http://schemas.openxmlformats.org/markup-compatibility/2006">
          <mc:Choice Requires="x14">
            <control shapeId="13007" r:id="rId52" name="Check Box 719">
              <controlPr defaultSize="0" autoFill="0" autoLine="0" autoPict="0" altText="">
                <anchor moveWithCells="1">
                  <from>
                    <xdr:col>1</xdr:col>
                    <xdr:colOff>0</xdr:colOff>
                    <xdr:row>56</xdr:row>
                    <xdr:rowOff>0</xdr:rowOff>
                  </from>
                  <to>
                    <xdr:col>2</xdr:col>
                    <xdr:colOff>0</xdr:colOff>
                    <xdr:row>57</xdr:row>
                    <xdr:rowOff>0</xdr:rowOff>
                  </to>
                </anchor>
              </controlPr>
            </control>
          </mc:Choice>
        </mc:AlternateContent>
        <mc:AlternateContent xmlns:mc="http://schemas.openxmlformats.org/markup-compatibility/2006">
          <mc:Choice Requires="x14">
            <control shapeId="13012" r:id="rId53" name="Check Box 724">
              <controlPr defaultSize="0" autoFill="0" autoLine="0" autoPict="0" altText="">
                <anchor moveWithCells="1">
                  <from>
                    <xdr:col>1</xdr:col>
                    <xdr:colOff>0</xdr:colOff>
                    <xdr:row>71</xdr:row>
                    <xdr:rowOff>0</xdr:rowOff>
                  </from>
                  <to>
                    <xdr:col>2</xdr:col>
                    <xdr:colOff>0</xdr:colOff>
                    <xdr:row>72</xdr:row>
                    <xdr:rowOff>0</xdr:rowOff>
                  </to>
                </anchor>
              </controlPr>
            </control>
          </mc:Choice>
        </mc:AlternateContent>
        <mc:AlternateContent xmlns:mc="http://schemas.openxmlformats.org/markup-compatibility/2006">
          <mc:Choice Requires="x14">
            <control shapeId="13013" r:id="rId54" name="Check Box 725">
              <controlPr defaultSize="0" autoFill="0" autoLine="0" autoPict="0" altText="">
                <anchor moveWithCells="1">
                  <from>
                    <xdr:col>1</xdr:col>
                    <xdr:colOff>0</xdr:colOff>
                    <xdr:row>69</xdr:row>
                    <xdr:rowOff>0</xdr:rowOff>
                  </from>
                  <to>
                    <xdr:col>2</xdr:col>
                    <xdr:colOff>0</xdr:colOff>
                    <xdr:row>70</xdr:row>
                    <xdr:rowOff>0</xdr:rowOff>
                  </to>
                </anchor>
              </controlPr>
            </control>
          </mc:Choice>
        </mc:AlternateContent>
        <mc:AlternateContent xmlns:mc="http://schemas.openxmlformats.org/markup-compatibility/2006">
          <mc:Choice Requires="x14">
            <control shapeId="13014" r:id="rId55" name="Check Box 726">
              <controlPr defaultSize="0" autoFill="0" autoLine="0" autoPict="0" altText="">
                <anchor moveWithCells="1">
                  <from>
                    <xdr:col>1</xdr:col>
                    <xdr:colOff>0</xdr:colOff>
                    <xdr:row>96</xdr:row>
                    <xdr:rowOff>0</xdr:rowOff>
                  </from>
                  <to>
                    <xdr:col>2</xdr:col>
                    <xdr:colOff>0</xdr:colOff>
                    <xdr:row>97</xdr:row>
                    <xdr:rowOff>0</xdr:rowOff>
                  </to>
                </anchor>
              </controlPr>
            </control>
          </mc:Choice>
        </mc:AlternateContent>
        <mc:AlternateContent xmlns:mc="http://schemas.openxmlformats.org/markup-compatibility/2006">
          <mc:Choice Requires="x14">
            <control shapeId="13015" r:id="rId56" name="Check Box 727">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13016" r:id="rId57" name="Check Box 728">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13017" r:id="rId58" name="Check Box 729">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13018" r:id="rId59" name="Check Box 730">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13019" r:id="rId60" name="Check Box 731">
              <controlPr defaultSize="0" autoFill="0" autoLine="0" autoPict="0" altText="">
                <anchor moveWithCells="1">
                  <from>
                    <xdr:col>1</xdr:col>
                    <xdr:colOff>0</xdr:colOff>
                    <xdr:row>94</xdr:row>
                    <xdr:rowOff>0</xdr:rowOff>
                  </from>
                  <to>
                    <xdr:col>2</xdr:col>
                    <xdr:colOff>0</xdr:colOff>
                    <xdr:row>95</xdr:row>
                    <xdr:rowOff>0</xdr:rowOff>
                  </to>
                </anchor>
              </controlPr>
            </control>
          </mc:Choice>
        </mc:AlternateContent>
        <mc:AlternateContent xmlns:mc="http://schemas.openxmlformats.org/markup-compatibility/2006">
          <mc:Choice Requires="x14">
            <control shapeId="13020" r:id="rId61" name="Check Box 732">
              <controlPr defaultSize="0" autoFill="0" autoLine="0" autoPict="0" altText="">
                <anchor moveWithCells="1">
                  <from>
                    <xdr:col>1</xdr:col>
                    <xdr:colOff>0</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13021" r:id="rId62" name="Check Box 733">
              <controlPr defaultSize="0" autoFill="0" autoLine="0" autoPict="0" altText="">
                <anchor moveWithCells="1">
                  <from>
                    <xdr:col>1</xdr:col>
                    <xdr:colOff>0</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13022" r:id="rId63" name="Check Box 734">
              <controlPr defaultSize="0" autoFill="0" autoLine="0" autoPict="0" altText="">
                <anchor moveWithCells="1">
                  <from>
                    <xdr:col>1</xdr:col>
                    <xdr:colOff>0</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13023" r:id="rId64" name="Check Box 735">
              <controlPr defaultSize="0" autoFill="0" autoLine="0" autoPict="0" altText="">
                <anchor moveWithCells="1">
                  <from>
                    <xdr:col>1</xdr:col>
                    <xdr:colOff>0</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13024" r:id="rId65" name="Check Box 736">
              <controlPr defaultSize="0" autoFill="0" autoLine="0" autoPict="0" altText="">
                <anchor moveWithCells="1">
                  <from>
                    <xdr:col>1</xdr:col>
                    <xdr:colOff>0</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13025" r:id="rId66" name="Check Box 737">
              <controlPr defaultSize="0" autoFill="0" autoLine="0" autoPict="0" altText="">
                <anchor moveWithCells="1">
                  <from>
                    <xdr:col>1</xdr:col>
                    <xdr:colOff>0</xdr:colOff>
                    <xdr:row>90</xdr:row>
                    <xdr:rowOff>0</xdr:rowOff>
                  </from>
                  <to>
                    <xdr:col>2</xdr:col>
                    <xdr:colOff>0</xdr:colOff>
                    <xdr:row>91</xdr:row>
                    <xdr:rowOff>0</xdr:rowOff>
                  </to>
                </anchor>
              </controlPr>
            </control>
          </mc:Choice>
        </mc:AlternateContent>
        <mc:AlternateContent xmlns:mc="http://schemas.openxmlformats.org/markup-compatibility/2006">
          <mc:Choice Requires="x14">
            <control shapeId="13026" r:id="rId67" name="Check Box 738">
              <controlPr defaultSize="0" autoFill="0" autoLine="0" autoPict="0" altText="">
                <anchor moveWithCells="1">
                  <from>
                    <xdr:col>1</xdr:col>
                    <xdr:colOff>0</xdr:colOff>
                    <xdr:row>88</xdr:row>
                    <xdr:rowOff>0</xdr:rowOff>
                  </from>
                  <to>
                    <xdr:col>2</xdr:col>
                    <xdr:colOff>0</xdr:colOff>
                    <xdr:row>89</xdr:row>
                    <xdr:rowOff>0</xdr:rowOff>
                  </to>
                </anchor>
              </controlPr>
            </control>
          </mc:Choice>
        </mc:AlternateContent>
        <mc:AlternateContent xmlns:mc="http://schemas.openxmlformats.org/markup-compatibility/2006">
          <mc:Choice Requires="x14">
            <control shapeId="13027" r:id="rId68" name="Check Box 739">
              <controlPr defaultSize="0" autoFill="0" autoLine="0" autoPict="0" altText="">
                <anchor moveWithCells="1">
                  <from>
                    <xdr:col>1</xdr:col>
                    <xdr:colOff>0</xdr:colOff>
                    <xdr:row>88</xdr:row>
                    <xdr:rowOff>0</xdr:rowOff>
                  </from>
                  <to>
                    <xdr:col>2</xdr:col>
                    <xdr:colOff>0</xdr:colOff>
                    <xdr:row>89</xdr:row>
                    <xdr:rowOff>0</xdr:rowOff>
                  </to>
                </anchor>
              </controlPr>
            </control>
          </mc:Choice>
        </mc:AlternateContent>
        <mc:AlternateContent xmlns:mc="http://schemas.openxmlformats.org/markup-compatibility/2006">
          <mc:Choice Requires="x14">
            <control shapeId="13028" r:id="rId69" name="Check Box 740">
              <controlPr defaultSize="0" autoFill="0" autoLine="0" autoPict="0" altText="">
                <anchor moveWithCells="1">
                  <from>
                    <xdr:col>1</xdr:col>
                    <xdr:colOff>0</xdr:colOff>
                    <xdr:row>88</xdr:row>
                    <xdr:rowOff>0</xdr:rowOff>
                  </from>
                  <to>
                    <xdr:col>2</xdr:col>
                    <xdr:colOff>0</xdr:colOff>
                    <xdr:row>89</xdr:row>
                    <xdr:rowOff>0</xdr:rowOff>
                  </to>
                </anchor>
              </controlPr>
            </control>
          </mc:Choice>
        </mc:AlternateContent>
        <mc:AlternateContent xmlns:mc="http://schemas.openxmlformats.org/markup-compatibility/2006">
          <mc:Choice Requires="x14">
            <control shapeId="13029" r:id="rId70" name="Check Box 741">
              <controlPr defaultSize="0" autoFill="0" autoLine="0" autoPict="0" altText="">
                <anchor moveWithCells="1">
                  <from>
                    <xdr:col>1</xdr:col>
                    <xdr:colOff>0</xdr:colOff>
                    <xdr:row>88</xdr:row>
                    <xdr:rowOff>0</xdr:rowOff>
                  </from>
                  <to>
                    <xdr:col>2</xdr:col>
                    <xdr:colOff>0</xdr:colOff>
                    <xdr:row>89</xdr:row>
                    <xdr:rowOff>0</xdr:rowOff>
                  </to>
                </anchor>
              </controlPr>
            </control>
          </mc:Choice>
        </mc:AlternateContent>
        <mc:AlternateContent xmlns:mc="http://schemas.openxmlformats.org/markup-compatibility/2006">
          <mc:Choice Requires="x14">
            <control shapeId="13030" r:id="rId71" name="Check Box 742">
              <controlPr defaultSize="0" autoFill="0" autoLine="0" autoPict="0" altText="">
                <anchor moveWithCells="1">
                  <from>
                    <xdr:col>1</xdr:col>
                    <xdr:colOff>0</xdr:colOff>
                    <xdr:row>88</xdr:row>
                    <xdr:rowOff>0</xdr:rowOff>
                  </from>
                  <to>
                    <xdr:col>2</xdr:col>
                    <xdr:colOff>0</xdr:colOff>
                    <xdr:row>89</xdr:row>
                    <xdr:rowOff>0</xdr:rowOff>
                  </to>
                </anchor>
              </controlPr>
            </control>
          </mc:Choice>
        </mc:AlternateContent>
        <mc:AlternateContent xmlns:mc="http://schemas.openxmlformats.org/markup-compatibility/2006">
          <mc:Choice Requires="x14">
            <control shapeId="13031" r:id="rId72" name="Check Box 743">
              <controlPr defaultSize="0" autoFill="0" autoLine="0" autoPict="0" altText="">
                <anchor moveWithCells="1">
                  <from>
                    <xdr:col>1</xdr:col>
                    <xdr:colOff>0</xdr:colOff>
                    <xdr:row>86</xdr:row>
                    <xdr:rowOff>0</xdr:rowOff>
                  </from>
                  <to>
                    <xdr:col>2</xdr:col>
                    <xdr:colOff>0</xdr:colOff>
                    <xdr:row>87</xdr:row>
                    <xdr:rowOff>0</xdr:rowOff>
                  </to>
                </anchor>
              </controlPr>
            </control>
          </mc:Choice>
        </mc:AlternateContent>
        <mc:AlternateContent xmlns:mc="http://schemas.openxmlformats.org/markup-compatibility/2006">
          <mc:Choice Requires="x14">
            <control shapeId="13032" r:id="rId73" name="Check Box 744">
              <controlPr defaultSize="0" autoFill="0" autoLine="0" autoPict="0" altText="">
                <anchor moveWithCells="1">
                  <from>
                    <xdr:col>1</xdr:col>
                    <xdr:colOff>0</xdr:colOff>
                    <xdr:row>86</xdr:row>
                    <xdr:rowOff>0</xdr:rowOff>
                  </from>
                  <to>
                    <xdr:col>2</xdr:col>
                    <xdr:colOff>0</xdr:colOff>
                    <xdr:row>87</xdr:row>
                    <xdr:rowOff>0</xdr:rowOff>
                  </to>
                </anchor>
              </controlPr>
            </control>
          </mc:Choice>
        </mc:AlternateContent>
        <mc:AlternateContent xmlns:mc="http://schemas.openxmlformats.org/markup-compatibility/2006">
          <mc:Choice Requires="x14">
            <control shapeId="13033" r:id="rId74" name="Check Box 745">
              <controlPr defaultSize="0" autoFill="0" autoLine="0" autoPict="0" altText="">
                <anchor moveWithCells="1">
                  <from>
                    <xdr:col>1</xdr:col>
                    <xdr:colOff>0</xdr:colOff>
                    <xdr:row>86</xdr:row>
                    <xdr:rowOff>0</xdr:rowOff>
                  </from>
                  <to>
                    <xdr:col>2</xdr:col>
                    <xdr:colOff>0</xdr:colOff>
                    <xdr:row>87</xdr:row>
                    <xdr:rowOff>0</xdr:rowOff>
                  </to>
                </anchor>
              </controlPr>
            </control>
          </mc:Choice>
        </mc:AlternateContent>
        <mc:AlternateContent xmlns:mc="http://schemas.openxmlformats.org/markup-compatibility/2006">
          <mc:Choice Requires="x14">
            <control shapeId="13034" r:id="rId75" name="Check Box 746">
              <controlPr defaultSize="0" autoFill="0" autoLine="0" autoPict="0" altText="">
                <anchor moveWithCells="1">
                  <from>
                    <xdr:col>1</xdr:col>
                    <xdr:colOff>0</xdr:colOff>
                    <xdr:row>86</xdr:row>
                    <xdr:rowOff>0</xdr:rowOff>
                  </from>
                  <to>
                    <xdr:col>2</xdr:col>
                    <xdr:colOff>0</xdr:colOff>
                    <xdr:row>87</xdr:row>
                    <xdr:rowOff>0</xdr:rowOff>
                  </to>
                </anchor>
              </controlPr>
            </control>
          </mc:Choice>
        </mc:AlternateContent>
        <mc:AlternateContent xmlns:mc="http://schemas.openxmlformats.org/markup-compatibility/2006">
          <mc:Choice Requires="x14">
            <control shapeId="13035" r:id="rId76" name="Check Box 747">
              <controlPr defaultSize="0" autoFill="0" autoLine="0" autoPict="0" altText="">
                <anchor moveWithCells="1">
                  <from>
                    <xdr:col>1</xdr:col>
                    <xdr:colOff>0</xdr:colOff>
                    <xdr:row>86</xdr:row>
                    <xdr:rowOff>0</xdr:rowOff>
                  </from>
                  <to>
                    <xdr:col>2</xdr:col>
                    <xdr:colOff>0</xdr:colOff>
                    <xdr:row>87</xdr:row>
                    <xdr:rowOff>0</xdr:rowOff>
                  </to>
                </anchor>
              </controlPr>
            </control>
          </mc:Choice>
        </mc:AlternateContent>
        <mc:AlternateContent xmlns:mc="http://schemas.openxmlformats.org/markup-compatibility/2006">
          <mc:Choice Requires="x14">
            <control shapeId="13036" r:id="rId77" name="Check Box 748">
              <controlPr defaultSize="0" autoFill="0" autoLine="0" autoPict="0" altText="">
                <anchor moveWithCells="1">
                  <from>
                    <xdr:col>1</xdr:col>
                    <xdr:colOff>0</xdr:colOff>
                    <xdr:row>84</xdr:row>
                    <xdr:rowOff>0</xdr:rowOff>
                  </from>
                  <to>
                    <xdr:col>2</xdr:col>
                    <xdr:colOff>0</xdr:colOff>
                    <xdr:row>85</xdr:row>
                    <xdr:rowOff>22860</xdr:rowOff>
                  </to>
                </anchor>
              </controlPr>
            </control>
          </mc:Choice>
        </mc:AlternateContent>
        <mc:AlternateContent xmlns:mc="http://schemas.openxmlformats.org/markup-compatibility/2006">
          <mc:Choice Requires="x14">
            <control shapeId="13037" r:id="rId78" name="Check Box 749">
              <controlPr defaultSize="0" autoFill="0" autoLine="0" autoPict="0" altText="">
                <anchor moveWithCells="1">
                  <from>
                    <xdr:col>1</xdr:col>
                    <xdr:colOff>0</xdr:colOff>
                    <xdr:row>82</xdr:row>
                    <xdr:rowOff>0</xdr:rowOff>
                  </from>
                  <to>
                    <xdr:col>2</xdr:col>
                    <xdr:colOff>0</xdr:colOff>
                    <xdr:row>83</xdr:row>
                    <xdr:rowOff>0</xdr:rowOff>
                  </to>
                </anchor>
              </controlPr>
            </control>
          </mc:Choice>
        </mc:AlternateContent>
        <mc:AlternateContent xmlns:mc="http://schemas.openxmlformats.org/markup-compatibility/2006">
          <mc:Choice Requires="x14">
            <control shapeId="13038" r:id="rId79" name="Check Box 750">
              <controlPr defaultSize="0" autoFill="0" autoLine="0" autoPict="0" altText="">
                <anchor moveWithCells="1">
                  <from>
                    <xdr:col>1</xdr:col>
                    <xdr:colOff>0</xdr:colOff>
                    <xdr:row>82</xdr:row>
                    <xdr:rowOff>0</xdr:rowOff>
                  </from>
                  <to>
                    <xdr:col>2</xdr:col>
                    <xdr:colOff>0</xdr:colOff>
                    <xdr:row>83</xdr:row>
                    <xdr:rowOff>0</xdr:rowOff>
                  </to>
                </anchor>
              </controlPr>
            </control>
          </mc:Choice>
        </mc:AlternateContent>
        <mc:AlternateContent xmlns:mc="http://schemas.openxmlformats.org/markup-compatibility/2006">
          <mc:Choice Requires="x14">
            <control shapeId="13039" r:id="rId80" name="Check Box 751">
              <controlPr defaultSize="0" autoFill="0" autoLine="0" autoPict="0" altText="">
                <anchor moveWithCells="1">
                  <from>
                    <xdr:col>1</xdr:col>
                    <xdr:colOff>0</xdr:colOff>
                    <xdr:row>82</xdr:row>
                    <xdr:rowOff>0</xdr:rowOff>
                  </from>
                  <to>
                    <xdr:col>2</xdr:col>
                    <xdr:colOff>0</xdr:colOff>
                    <xdr:row>83</xdr:row>
                    <xdr:rowOff>0</xdr:rowOff>
                  </to>
                </anchor>
              </controlPr>
            </control>
          </mc:Choice>
        </mc:AlternateContent>
        <mc:AlternateContent xmlns:mc="http://schemas.openxmlformats.org/markup-compatibility/2006">
          <mc:Choice Requires="x14">
            <control shapeId="13040" r:id="rId81" name="Check Box 752">
              <controlPr defaultSize="0" autoFill="0" autoLine="0" autoPict="0" altText="">
                <anchor moveWithCells="1">
                  <from>
                    <xdr:col>1</xdr:col>
                    <xdr:colOff>0</xdr:colOff>
                    <xdr:row>82</xdr:row>
                    <xdr:rowOff>0</xdr:rowOff>
                  </from>
                  <to>
                    <xdr:col>2</xdr:col>
                    <xdr:colOff>0</xdr:colOff>
                    <xdr:row>83</xdr:row>
                    <xdr:rowOff>0</xdr:rowOff>
                  </to>
                </anchor>
              </controlPr>
            </control>
          </mc:Choice>
        </mc:AlternateContent>
        <mc:AlternateContent xmlns:mc="http://schemas.openxmlformats.org/markup-compatibility/2006">
          <mc:Choice Requires="x14">
            <control shapeId="13041" r:id="rId82" name="Check Box 753">
              <controlPr defaultSize="0" autoFill="0" autoLine="0" autoPict="0" altText="">
                <anchor moveWithCells="1">
                  <from>
                    <xdr:col>1</xdr:col>
                    <xdr:colOff>0</xdr:colOff>
                    <xdr:row>82</xdr:row>
                    <xdr:rowOff>0</xdr:rowOff>
                  </from>
                  <to>
                    <xdr:col>2</xdr:col>
                    <xdr:colOff>0</xdr:colOff>
                    <xdr:row>83</xdr:row>
                    <xdr:rowOff>0</xdr:rowOff>
                  </to>
                </anchor>
              </controlPr>
            </control>
          </mc:Choice>
        </mc:AlternateContent>
        <mc:AlternateContent xmlns:mc="http://schemas.openxmlformats.org/markup-compatibility/2006">
          <mc:Choice Requires="x14">
            <control shapeId="13042" r:id="rId83" name="Check Box 754">
              <controlPr defaultSize="0" autoFill="0" autoLine="0" autoPict="0" altText="">
                <anchor moveWithCells="1">
                  <from>
                    <xdr:col>1</xdr:col>
                    <xdr:colOff>0</xdr:colOff>
                    <xdr:row>113</xdr:row>
                    <xdr:rowOff>0</xdr:rowOff>
                  </from>
                  <to>
                    <xdr:col>2</xdr:col>
                    <xdr:colOff>0</xdr:colOff>
                    <xdr:row>114</xdr:row>
                    <xdr:rowOff>0</xdr:rowOff>
                  </to>
                </anchor>
              </controlPr>
            </control>
          </mc:Choice>
        </mc:AlternateContent>
        <mc:AlternateContent xmlns:mc="http://schemas.openxmlformats.org/markup-compatibility/2006">
          <mc:Choice Requires="x14">
            <control shapeId="13043" r:id="rId84" name="Check Box 755">
              <controlPr defaultSize="0" autoFill="0" autoLine="0" autoPict="0" altText="">
                <anchor moveWithCells="1">
                  <from>
                    <xdr:col>1</xdr:col>
                    <xdr:colOff>0</xdr:colOff>
                    <xdr:row>111</xdr:row>
                    <xdr:rowOff>0</xdr:rowOff>
                  </from>
                  <to>
                    <xdr:col>2</xdr:col>
                    <xdr:colOff>0</xdr:colOff>
                    <xdr:row>112</xdr:row>
                    <xdr:rowOff>0</xdr:rowOff>
                  </to>
                </anchor>
              </controlPr>
            </control>
          </mc:Choice>
        </mc:AlternateContent>
        <mc:AlternateContent xmlns:mc="http://schemas.openxmlformats.org/markup-compatibility/2006">
          <mc:Choice Requires="x14">
            <control shapeId="13044" r:id="rId85" name="Check Box 756">
              <controlPr defaultSize="0" autoFill="0" autoLine="0" autoPict="0" altText="">
                <anchor moveWithCells="1">
                  <from>
                    <xdr:col>1</xdr:col>
                    <xdr:colOff>0</xdr:colOff>
                    <xdr:row>136</xdr:row>
                    <xdr:rowOff>0</xdr:rowOff>
                  </from>
                  <to>
                    <xdr:col>2</xdr:col>
                    <xdr:colOff>0</xdr:colOff>
                    <xdr:row>137</xdr:row>
                    <xdr:rowOff>0</xdr:rowOff>
                  </to>
                </anchor>
              </controlPr>
            </control>
          </mc:Choice>
        </mc:AlternateContent>
        <mc:AlternateContent xmlns:mc="http://schemas.openxmlformats.org/markup-compatibility/2006">
          <mc:Choice Requires="x14">
            <control shapeId="13046" r:id="rId86" name="Check Box 758">
              <controlPr defaultSize="0" autoFill="0" autoLine="0" autoPict="0" altText="3 Fahrstreifen">
                <anchor moveWithCells="1">
                  <from>
                    <xdr:col>1</xdr:col>
                    <xdr:colOff>0</xdr:colOff>
                    <xdr:row>173</xdr:row>
                    <xdr:rowOff>0</xdr:rowOff>
                  </from>
                  <to>
                    <xdr:col>2</xdr:col>
                    <xdr:colOff>0</xdr:colOff>
                    <xdr:row>174</xdr:row>
                    <xdr:rowOff>0</xdr:rowOff>
                  </to>
                </anchor>
              </controlPr>
            </control>
          </mc:Choice>
        </mc:AlternateContent>
        <mc:AlternateContent xmlns:mc="http://schemas.openxmlformats.org/markup-compatibility/2006">
          <mc:Choice Requires="x14">
            <control shapeId="13048" r:id="rId87" name="Check Box 760">
              <controlPr defaultSize="0" autoFill="0" autoLine="0" autoPict="0" altText="3 Fahrstreifen">
                <anchor moveWithCells="1">
                  <from>
                    <xdr:col>1</xdr:col>
                    <xdr:colOff>0</xdr:colOff>
                    <xdr:row>173</xdr:row>
                    <xdr:rowOff>0</xdr:rowOff>
                  </from>
                  <to>
                    <xdr:col>2</xdr:col>
                    <xdr:colOff>0</xdr:colOff>
                    <xdr:row>174</xdr:row>
                    <xdr:rowOff>0</xdr:rowOff>
                  </to>
                </anchor>
              </controlPr>
            </control>
          </mc:Choice>
        </mc:AlternateContent>
        <mc:AlternateContent xmlns:mc="http://schemas.openxmlformats.org/markup-compatibility/2006">
          <mc:Choice Requires="x14">
            <control shapeId="13050" r:id="rId88" name="Check Box 762">
              <controlPr defaultSize="0" autoFill="0" autoLine="0" autoPict="0" altText="3 Fahrstreifen">
                <anchor moveWithCells="1">
                  <from>
                    <xdr:col>1</xdr:col>
                    <xdr:colOff>7620</xdr:colOff>
                    <xdr:row>175</xdr:row>
                    <xdr:rowOff>22860</xdr:rowOff>
                  </from>
                  <to>
                    <xdr:col>1</xdr:col>
                    <xdr:colOff>198120</xdr:colOff>
                    <xdr:row>176</xdr:row>
                    <xdr:rowOff>0</xdr:rowOff>
                  </to>
                </anchor>
              </controlPr>
            </control>
          </mc:Choice>
        </mc:AlternateContent>
        <mc:AlternateContent xmlns:mc="http://schemas.openxmlformats.org/markup-compatibility/2006">
          <mc:Choice Requires="x14">
            <control shapeId="13051" r:id="rId89" name="Check Box 763">
              <controlPr defaultSize="0" autoFill="0" autoLine="0" autoPict="0" altText="">
                <anchor moveWithCells="1">
                  <from>
                    <xdr:col>1</xdr:col>
                    <xdr:colOff>0</xdr:colOff>
                    <xdr:row>13</xdr:row>
                    <xdr:rowOff>0</xdr:rowOff>
                  </from>
                  <to>
                    <xdr:col>2</xdr:col>
                    <xdr:colOff>0</xdr:colOff>
                    <xdr:row>14</xdr:row>
                    <xdr:rowOff>0</xdr:rowOff>
                  </to>
                </anchor>
              </controlPr>
            </control>
          </mc:Choice>
        </mc:AlternateContent>
        <mc:AlternateContent xmlns:mc="http://schemas.openxmlformats.org/markup-compatibility/2006">
          <mc:Choice Requires="x14">
            <control shapeId="13060" r:id="rId90" name="Check Box 772">
              <controlPr defaultSize="0" autoFill="0" autoLine="0" autoPict="0" altText="">
                <anchor moveWithCells="1">
                  <from>
                    <xdr:col>1</xdr:col>
                    <xdr:colOff>0</xdr:colOff>
                    <xdr:row>58</xdr:row>
                    <xdr:rowOff>0</xdr:rowOff>
                  </from>
                  <to>
                    <xdr:col>2</xdr:col>
                    <xdr:colOff>0</xdr:colOff>
                    <xdr:row>58</xdr:row>
                    <xdr:rowOff>228600</xdr:rowOff>
                  </to>
                </anchor>
              </controlPr>
            </control>
          </mc:Choice>
        </mc:AlternateContent>
        <mc:AlternateContent xmlns:mc="http://schemas.openxmlformats.org/markup-compatibility/2006">
          <mc:Choice Requires="x14">
            <control shapeId="13061" r:id="rId91" name="Check Box 773">
              <controlPr defaultSize="0" autoFill="0" autoLine="0" autoPict="0" altText="">
                <anchor moveWithCells="1">
                  <from>
                    <xdr:col>4</xdr:col>
                    <xdr:colOff>0</xdr:colOff>
                    <xdr:row>15</xdr:row>
                    <xdr:rowOff>0</xdr:rowOff>
                  </from>
                  <to>
                    <xdr:col>5</xdr:col>
                    <xdr:colOff>45720</xdr:colOff>
                    <xdr:row>16</xdr:row>
                    <xdr:rowOff>7620</xdr:rowOff>
                  </to>
                </anchor>
              </controlPr>
            </control>
          </mc:Choice>
        </mc:AlternateContent>
        <mc:AlternateContent xmlns:mc="http://schemas.openxmlformats.org/markup-compatibility/2006">
          <mc:Choice Requires="x14">
            <control shapeId="13064" r:id="rId92" name="Check Box 776">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065" r:id="rId93" name="Check Box 777">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066" r:id="rId94" name="Check Box 778">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067" r:id="rId95" name="Check Box 779">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072" r:id="rId96" name="Check Box 784">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073" r:id="rId97" name="Check Box 785">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074" r:id="rId98" name="Check Box 786">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079" r:id="rId99" name="Check Box 791">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80" r:id="rId100" name="Check Box 792">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81" r:id="rId101" name="Check Box 793">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82" r:id="rId102" name="Check Box 794">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83" r:id="rId103" name="Check Box 795">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84" r:id="rId104" name="Check Box 796">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85" r:id="rId105" name="Check Box 797">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86" r:id="rId106" name="Check Box 798">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87" r:id="rId107" name="Check Box 799">
              <controlPr defaultSize="0" autoFill="0" autoLine="0" autoPict="0" altText="">
                <anchor moveWithCells="1">
                  <from>
                    <xdr:col>4</xdr:col>
                    <xdr:colOff>0</xdr:colOff>
                    <xdr:row>21</xdr:row>
                    <xdr:rowOff>0</xdr:rowOff>
                  </from>
                  <to>
                    <xdr:col>5</xdr:col>
                    <xdr:colOff>45720</xdr:colOff>
                    <xdr:row>22</xdr:row>
                    <xdr:rowOff>7620</xdr:rowOff>
                  </to>
                </anchor>
              </controlPr>
            </control>
          </mc:Choice>
        </mc:AlternateContent>
        <mc:AlternateContent xmlns:mc="http://schemas.openxmlformats.org/markup-compatibility/2006">
          <mc:Choice Requires="x14">
            <control shapeId="13091" r:id="rId108" name="Check Box 803">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92" r:id="rId109" name="Check Box 804">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93" r:id="rId110" name="Check Box 805">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94" r:id="rId111" name="Check Box 806">
              <controlPr defaultSize="0" autoFill="0" autoLine="0" autoPict="0" altText="">
                <anchor moveWithCells="1">
                  <from>
                    <xdr:col>4</xdr:col>
                    <xdr:colOff>0</xdr:colOff>
                    <xdr:row>35</xdr:row>
                    <xdr:rowOff>0</xdr:rowOff>
                  </from>
                  <to>
                    <xdr:col>5</xdr:col>
                    <xdr:colOff>45720</xdr:colOff>
                    <xdr:row>36</xdr:row>
                    <xdr:rowOff>7620</xdr:rowOff>
                  </to>
                </anchor>
              </controlPr>
            </control>
          </mc:Choice>
        </mc:AlternateContent>
        <mc:AlternateContent xmlns:mc="http://schemas.openxmlformats.org/markup-compatibility/2006">
          <mc:Choice Requires="x14">
            <control shapeId="13095" r:id="rId112" name="Check Box 807">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96" r:id="rId113" name="Check Box 808">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97" r:id="rId114" name="Check Box 809">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098" r:id="rId115" name="Check Box 810">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02" r:id="rId116" name="Check Box 814">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03" r:id="rId117" name="Check Box 815">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04" r:id="rId118" name="Check Box 816">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05" r:id="rId119" name="Check Box 817">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06" r:id="rId120" name="Check Box 818">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107" r:id="rId121" name="Check Box 819">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108" r:id="rId122" name="Check Box 820">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109" r:id="rId123" name="Check Box 821">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110" r:id="rId124" name="Check Box 822">
              <controlPr defaultSize="0" autoFill="0" autoLine="0" autoPict="0" altText="">
                <anchor moveWithCells="1">
                  <from>
                    <xdr:col>4</xdr:col>
                    <xdr:colOff>0</xdr:colOff>
                    <xdr:row>28</xdr:row>
                    <xdr:rowOff>0</xdr:rowOff>
                  </from>
                  <to>
                    <xdr:col>5</xdr:col>
                    <xdr:colOff>45720</xdr:colOff>
                    <xdr:row>29</xdr:row>
                    <xdr:rowOff>7620</xdr:rowOff>
                  </to>
                </anchor>
              </controlPr>
            </control>
          </mc:Choice>
        </mc:AlternateContent>
        <mc:AlternateContent xmlns:mc="http://schemas.openxmlformats.org/markup-compatibility/2006">
          <mc:Choice Requires="x14">
            <control shapeId="13111" r:id="rId125" name="Check Box 823">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112" r:id="rId126" name="Check Box 824">
              <controlPr defaultSize="0" autoFill="0" autoLine="0" autoPict="0" altText="">
                <anchor moveWithCells="1">
                  <from>
                    <xdr:col>4</xdr:col>
                    <xdr:colOff>0</xdr:colOff>
                    <xdr:row>27</xdr:row>
                    <xdr:rowOff>0</xdr:rowOff>
                  </from>
                  <to>
                    <xdr:col>5</xdr:col>
                    <xdr:colOff>45720</xdr:colOff>
                    <xdr:row>28</xdr:row>
                    <xdr:rowOff>7620</xdr:rowOff>
                  </to>
                </anchor>
              </controlPr>
            </control>
          </mc:Choice>
        </mc:AlternateContent>
        <mc:AlternateContent xmlns:mc="http://schemas.openxmlformats.org/markup-compatibility/2006">
          <mc:Choice Requires="x14">
            <control shapeId="13113" r:id="rId127" name="Check Box 825">
              <controlPr defaultSize="0" autoFill="0" autoLine="0" autoPict="0" altText="">
                <anchor moveWithCells="1">
                  <from>
                    <xdr:col>4</xdr:col>
                    <xdr:colOff>0</xdr:colOff>
                    <xdr:row>25</xdr:row>
                    <xdr:rowOff>0</xdr:rowOff>
                  </from>
                  <to>
                    <xdr:col>5</xdr:col>
                    <xdr:colOff>45720</xdr:colOff>
                    <xdr:row>26</xdr:row>
                    <xdr:rowOff>7620</xdr:rowOff>
                  </to>
                </anchor>
              </controlPr>
            </control>
          </mc:Choice>
        </mc:AlternateContent>
        <mc:AlternateContent xmlns:mc="http://schemas.openxmlformats.org/markup-compatibility/2006">
          <mc:Choice Requires="x14">
            <control shapeId="13114" r:id="rId128" name="Check Box 826">
              <controlPr defaultSize="0" autoFill="0" autoLine="0" autoPict="0" altText="">
                <anchor moveWithCells="1">
                  <from>
                    <xdr:col>4</xdr:col>
                    <xdr:colOff>0</xdr:colOff>
                    <xdr:row>25</xdr:row>
                    <xdr:rowOff>0</xdr:rowOff>
                  </from>
                  <to>
                    <xdr:col>5</xdr:col>
                    <xdr:colOff>45720</xdr:colOff>
                    <xdr:row>26</xdr:row>
                    <xdr:rowOff>7620</xdr:rowOff>
                  </to>
                </anchor>
              </controlPr>
            </control>
          </mc:Choice>
        </mc:AlternateContent>
        <mc:AlternateContent xmlns:mc="http://schemas.openxmlformats.org/markup-compatibility/2006">
          <mc:Choice Requires="x14">
            <control shapeId="13115" r:id="rId129" name="Check Box 827">
              <controlPr defaultSize="0" autoFill="0" autoLine="0" autoPict="0" altText="">
                <anchor moveWithCells="1">
                  <from>
                    <xdr:col>4</xdr:col>
                    <xdr:colOff>0</xdr:colOff>
                    <xdr:row>25</xdr:row>
                    <xdr:rowOff>0</xdr:rowOff>
                  </from>
                  <to>
                    <xdr:col>5</xdr:col>
                    <xdr:colOff>45720</xdr:colOff>
                    <xdr:row>26</xdr:row>
                    <xdr:rowOff>7620</xdr:rowOff>
                  </to>
                </anchor>
              </controlPr>
            </control>
          </mc:Choice>
        </mc:AlternateContent>
        <mc:AlternateContent xmlns:mc="http://schemas.openxmlformats.org/markup-compatibility/2006">
          <mc:Choice Requires="x14">
            <control shapeId="13116" r:id="rId130" name="Check Box 828">
              <controlPr defaultSize="0" autoFill="0" autoLine="0" autoPict="0" altText="">
                <anchor moveWithCells="1">
                  <from>
                    <xdr:col>4</xdr:col>
                    <xdr:colOff>0</xdr:colOff>
                    <xdr:row>21</xdr:row>
                    <xdr:rowOff>0</xdr:rowOff>
                  </from>
                  <to>
                    <xdr:col>5</xdr:col>
                    <xdr:colOff>45720</xdr:colOff>
                    <xdr:row>22</xdr:row>
                    <xdr:rowOff>7620</xdr:rowOff>
                  </to>
                </anchor>
              </controlPr>
            </control>
          </mc:Choice>
        </mc:AlternateContent>
        <mc:AlternateContent xmlns:mc="http://schemas.openxmlformats.org/markup-compatibility/2006">
          <mc:Choice Requires="x14">
            <control shapeId="13125" r:id="rId131" name="Check Box 837">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26" r:id="rId132" name="Check Box 838">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27" r:id="rId133" name="Check Box 839">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28" r:id="rId134" name="Check Box 840">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29" r:id="rId135" name="Check Box 841">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30" r:id="rId136" name="Check Box 842">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31" r:id="rId137" name="Check Box 843">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32" r:id="rId138" name="Check Box 844">
              <controlPr defaultSize="0" autoFill="0" autoLine="0" autoPict="0" altText="">
                <anchor moveWithCells="1">
                  <from>
                    <xdr:col>4</xdr:col>
                    <xdr:colOff>0</xdr:colOff>
                    <xdr:row>38</xdr:row>
                    <xdr:rowOff>0</xdr:rowOff>
                  </from>
                  <to>
                    <xdr:col>5</xdr:col>
                    <xdr:colOff>45720</xdr:colOff>
                    <xdr:row>39</xdr:row>
                    <xdr:rowOff>7620</xdr:rowOff>
                  </to>
                </anchor>
              </controlPr>
            </control>
          </mc:Choice>
        </mc:AlternateContent>
        <mc:AlternateContent xmlns:mc="http://schemas.openxmlformats.org/markup-compatibility/2006">
          <mc:Choice Requires="x14">
            <control shapeId="13133" r:id="rId139" name="Check Box 845">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34" r:id="rId140" name="Check Box 846">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35" r:id="rId141" name="Check Box 847">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36" r:id="rId142" name="Check Box 848">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37" r:id="rId143" name="Check Box 849">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38" r:id="rId144" name="Check Box 850">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39" r:id="rId145" name="Check Box 851">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40" r:id="rId146" name="Check Box 852">
              <controlPr defaultSize="0" autoFill="0" autoLine="0" autoPict="0" altText="">
                <anchor moveWithCells="1">
                  <from>
                    <xdr:col>4</xdr:col>
                    <xdr:colOff>0</xdr:colOff>
                    <xdr:row>39</xdr:row>
                    <xdr:rowOff>0</xdr:rowOff>
                  </from>
                  <to>
                    <xdr:col>5</xdr:col>
                    <xdr:colOff>45720</xdr:colOff>
                    <xdr:row>40</xdr:row>
                    <xdr:rowOff>7620</xdr:rowOff>
                  </to>
                </anchor>
              </controlPr>
            </control>
          </mc:Choice>
        </mc:AlternateContent>
        <mc:AlternateContent xmlns:mc="http://schemas.openxmlformats.org/markup-compatibility/2006">
          <mc:Choice Requires="x14">
            <control shapeId="13141" r:id="rId147" name="Check Box 853">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2" r:id="rId148" name="Check Box 854">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3" r:id="rId149" name="Check Box 855">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4" r:id="rId150" name="Check Box 856">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5" r:id="rId151" name="Check Box 857">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6" r:id="rId152" name="Check Box 858">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7" r:id="rId153" name="Check Box 859">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8" r:id="rId154" name="Check Box 860">
              <controlPr defaultSize="0" autoFill="0" autoLine="0" autoPict="0" altText="">
                <anchor moveWithCells="1">
                  <from>
                    <xdr:col>4</xdr:col>
                    <xdr:colOff>0</xdr:colOff>
                    <xdr:row>40</xdr:row>
                    <xdr:rowOff>0</xdr:rowOff>
                  </from>
                  <to>
                    <xdr:col>5</xdr:col>
                    <xdr:colOff>45720</xdr:colOff>
                    <xdr:row>41</xdr:row>
                    <xdr:rowOff>7620</xdr:rowOff>
                  </to>
                </anchor>
              </controlPr>
            </control>
          </mc:Choice>
        </mc:AlternateContent>
        <mc:AlternateContent xmlns:mc="http://schemas.openxmlformats.org/markup-compatibility/2006">
          <mc:Choice Requires="x14">
            <control shapeId="13149" r:id="rId155" name="Check Box 861">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0" r:id="rId156" name="Check Box 862">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1" r:id="rId157" name="Check Box 863">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2" r:id="rId158" name="Check Box 864">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3" r:id="rId159" name="Check Box 865">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4" r:id="rId160" name="Check Box 866">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5" r:id="rId161" name="Check Box 867">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6" r:id="rId162" name="Check Box 868">
              <controlPr defaultSize="0" autoFill="0" autoLine="0" autoPict="0" altText="">
                <anchor moveWithCells="1">
                  <from>
                    <xdr:col>4</xdr:col>
                    <xdr:colOff>0</xdr:colOff>
                    <xdr:row>41</xdr:row>
                    <xdr:rowOff>0</xdr:rowOff>
                  </from>
                  <to>
                    <xdr:col>5</xdr:col>
                    <xdr:colOff>45720</xdr:colOff>
                    <xdr:row>42</xdr:row>
                    <xdr:rowOff>7620</xdr:rowOff>
                  </to>
                </anchor>
              </controlPr>
            </control>
          </mc:Choice>
        </mc:AlternateContent>
        <mc:AlternateContent xmlns:mc="http://schemas.openxmlformats.org/markup-compatibility/2006">
          <mc:Choice Requires="x14">
            <control shapeId="13157" r:id="rId163" name="Check Box 869">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58" r:id="rId164" name="Check Box 870">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59" r:id="rId165" name="Check Box 871">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60" r:id="rId166" name="Check Box 872">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61" r:id="rId167" name="Check Box 873">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2" r:id="rId168" name="Check Box 874">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3" r:id="rId169" name="Check Box 875">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4" r:id="rId170" name="Check Box 876">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5" r:id="rId171" name="Check Box 877">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6" r:id="rId172" name="Check Box 878">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7" r:id="rId173" name="Check Box 879">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8" r:id="rId174" name="Check Box 880">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69" r:id="rId175" name="Check Box 881">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70" r:id="rId176" name="Check Box 882">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71" r:id="rId177" name="Check Box 883">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72" r:id="rId178" name="Check Box 884">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73" r:id="rId179" name="Check Box 885">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74" r:id="rId180" name="Check Box 886">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75" r:id="rId181" name="Check Box 887">
              <controlPr defaultSize="0" autoFill="0" autoLine="0" autoPict="0" altText="">
                <anchor moveWithCells="1">
                  <from>
                    <xdr:col>4</xdr:col>
                    <xdr:colOff>0</xdr:colOff>
                    <xdr:row>33</xdr:row>
                    <xdr:rowOff>0</xdr:rowOff>
                  </from>
                  <to>
                    <xdr:col>5</xdr:col>
                    <xdr:colOff>45720</xdr:colOff>
                    <xdr:row>34</xdr:row>
                    <xdr:rowOff>7620</xdr:rowOff>
                  </to>
                </anchor>
              </controlPr>
            </control>
          </mc:Choice>
        </mc:AlternateContent>
        <mc:AlternateContent xmlns:mc="http://schemas.openxmlformats.org/markup-compatibility/2006">
          <mc:Choice Requires="x14">
            <control shapeId="13176" r:id="rId182" name="Check Box 888">
              <controlPr defaultSize="0" autoFill="0" autoLine="0" autoPict="0" altText="">
                <anchor moveWithCells="1">
                  <from>
                    <xdr:col>4</xdr:col>
                    <xdr:colOff>0</xdr:colOff>
                    <xdr:row>34</xdr:row>
                    <xdr:rowOff>0</xdr:rowOff>
                  </from>
                  <to>
                    <xdr:col>5</xdr:col>
                    <xdr:colOff>45720</xdr:colOff>
                    <xdr:row>35</xdr:row>
                    <xdr:rowOff>7620</xdr:rowOff>
                  </to>
                </anchor>
              </controlPr>
            </control>
          </mc:Choice>
        </mc:AlternateContent>
        <mc:AlternateContent xmlns:mc="http://schemas.openxmlformats.org/markup-compatibility/2006">
          <mc:Choice Requires="x14">
            <control shapeId="13178" r:id="rId183" name="Check Box 890">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79" r:id="rId184" name="Check Box 891">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80" r:id="rId185" name="Check Box 892">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81" r:id="rId186" name="Check Box 893">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82" r:id="rId187" name="Check Box 894">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83" r:id="rId188" name="Check Box 895">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84" r:id="rId189" name="Check Box 896">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85" r:id="rId190" name="Check Box 897">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86" r:id="rId191" name="Check Box 898">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87" r:id="rId192" name="Check Box 899">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88" r:id="rId193" name="Check Box 900">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89" r:id="rId194" name="Check Box 901">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90" r:id="rId195" name="Check Box 902">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91" r:id="rId196" name="Check Box 903">
              <controlPr defaultSize="0" autoFill="0" autoLine="0" autoPict="0" altText="">
                <anchor moveWithCells="1">
                  <from>
                    <xdr:col>4</xdr:col>
                    <xdr:colOff>0</xdr:colOff>
                    <xdr:row>46</xdr:row>
                    <xdr:rowOff>0</xdr:rowOff>
                  </from>
                  <to>
                    <xdr:col>5</xdr:col>
                    <xdr:colOff>45720</xdr:colOff>
                    <xdr:row>47</xdr:row>
                    <xdr:rowOff>7620</xdr:rowOff>
                  </to>
                </anchor>
              </controlPr>
            </control>
          </mc:Choice>
        </mc:AlternateContent>
        <mc:AlternateContent xmlns:mc="http://schemas.openxmlformats.org/markup-compatibility/2006">
          <mc:Choice Requires="x14">
            <control shapeId="13192" r:id="rId197" name="Check Box 904">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93" r:id="rId198" name="Check Box 905">
              <controlPr defaultSize="0" autoFill="0" autoLine="0" autoPict="0" altText="">
                <anchor moveWithCells="1">
                  <from>
                    <xdr:col>4</xdr:col>
                    <xdr:colOff>0</xdr:colOff>
                    <xdr:row>45</xdr:row>
                    <xdr:rowOff>0</xdr:rowOff>
                  </from>
                  <to>
                    <xdr:col>5</xdr:col>
                    <xdr:colOff>45720</xdr:colOff>
                    <xdr:row>46</xdr:row>
                    <xdr:rowOff>7620</xdr:rowOff>
                  </to>
                </anchor>
              </controlPr>
            </control>
          </mc:Choice>
        </mc:AlternateContent>
        <mc:AlternateContent xmlns:mc="http://schemas.openxmlformats.org/markup-compatibility/2006">
          <mc:Choice Requires="x14">
            <control shapeId="13194" r:id="rId199" name="Check Box 906">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195" r:id="rId200" name="Check Box 907">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196" r:id="rId201" name="Check Box 908">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197" r:id="rId202" name="Check Box 909">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198" r:id="rId203" name="Check Box 910">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199" r:id="rId204" name="Check Box 911">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200" r:id="rId205" name="Check Box 912">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201" r:id="rId206" name="Check Box 913">
              <controlPr defaultSize="0" autoFill="0" autoLine="0" autoPict="0" altText="">
                <anchor moveWithCells="1">
                  <from>
                    <xdr:col>4</xdr:col>
                    <xdr:colOff>0</xdr:colOff>
                    <xdr:row>47</xdr:row>
                    <xdr:rowOff>0</xdr:rowOff>
                  </from>
                  <to>
                    <xdr:col>5</xdr:col>
                    <xdr:colOff>45720</xdr:colOff>
                    <xdr:row>48</xdr:row>
                    <xdr:rowOff>7620</xdr:rowOff>
                  </to>
                </anchor>
              </controlPr>
            </control>
          </mc:Choice>
        </mc:AlternateContent>
        <mc:AlternateContent xmlns:mc="http://schemas.openxmlformats.org/markup-compatibility/2006">
          <mc:Choice Requires="x14">
            <control shapeId="13202" r:id="rId207" name="Check Box 914">
              <controlPr defaultSize="0" autoFill="0" autoLine="0" autoPict="0" altText="">
                <anchor moveWithCells="1">
                  <from>
                    <xdr:col>4</xdr:col>
                    <xdr:colOff>0</xdr:colOff>
                    <xdr:row>19</xdr:row>
                    <xdr:rowOff>0</xdr:rowOff>
                  </from>
                  <to>
                    <xdr:col>5</xdr:col>
                    <xdr:colOff>45720</xdr:colOff>
                    <xdr:row>20</xdr:row>
                    <xdr:rowOff>7620</xdr:rowOff>
                  </to>
                </anchor>
              </controlPr>
            </control>
          </mc:Choice>
        </mc:AlternateContent>
        <mc:AlternateContent xmlns:mc="http://schemas.openxmlformats.org/markup-compatibility/2006">
          <mc:Choice Requires="x14">
            <control shapeId="13203" r:id="rId208" name="Check Box 915">
              <controlPr defaultSize="0" autoFill="0" autoLine="0" autoPict="0" altText="">
                <anchor moveWithCells="1">
                  <from>
                    <xdr:col>4</xdr:col>
                    <xdr:colOff>0</xdr:colOff>
                    <xdr:row>19</xdr:row>
                    <xdr:rowOff>0</xdr:rowOff>
                  </from>
                  <to>
                    <xdr:col>5</xdr:col>
                    <xdr:colOff>45720</xdr:colOff>
                    <xdr:row>20</xdr:row>
                    <xdr:rowOff>7620</xdr:rowOff>
                  </to>
                </anchor>
              </controlPr>
            </control>
          </mc:Choice>
        </mc:AlternateContent>
        <mc:AlternateContent xmlns:mc="http://schemas.openxmlformats.org/markup-compatibility/2006">
          <mc:Choice Requires="x14">
            <control shapeId="13204" r:id="rId209" name="Check Box 916">
              <controlPr defaultSize="0" autoFill="0" autoLine="0" autoPict="0" altText="">
                <anchor moveWithCells="1">
                  <from>
                    <xdr:col>4</xdr:col>
                    <xdr:colOff>0</xdr:colOff>
                    <xdr:row>17</xdr:row>
                    <xdr:rowOff>0</xdr:rowOff>
                  </from>
                  <to>
                    <xdr:col>5</xdr:col>
                    <xdr:colOff>45720</xdr:colOff>
                    <xdr:row>18</xdr:row>
                    <xdr:rowOff>7620</xdr:rowOff>
                  </to>
                </anchor>
              </controlPr>
            </control>
          </mc:Choice>
        </mc:AlternateContent>
        <mc:AlternateContent xmlns:mc="http://schemas.openxmlformats.org/markup-compatibility/2006">
          <mc:Choice Requires="x14">
            <control shapeId="13205" r:id="rId210" name="Check Box 917">
              <controlPr defaultSize="0" autoFill="0" autoLine="0" autoPict="0" altText="">
                <anchor moveWithCells="1">
                  <from>
                    <xdr:col>4</xdr:col>
                    <xdr:colOff>0</xdr:colOff>
                    <xdr:row>17</xdr:row>
                    <xdr:rowOff>0</xdr:rowOff>
                  </from>
                  <to>
                    <xdr:col>5</xdr:col>
                    <xdr:colOff>45720</xdr:colOff>
                    <xdr:row>18</xdr:row>
                    <xdr:rowOff>7620</xdr:rowOff>
                  </to>
                </anchor>
              </controlPr>
            </control>
          </mc:Choice>
        </mc:AlternateContent>
        <mc:AlternateContent xmlns:mc="http://schemas.openxmlformats.org/markup-compatibility/2006">
          <mc:Choice Requires="x14">
            <control shapeId="13206" r:id="rId211" name="Check Box 918">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07" r:id="rId212" name="Check Box 919">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08" r:id="rId213" name="Check Box 920">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09" r:id="rId214" name="Check Box 921">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0" r:id="rId215" name="Check Box 922">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1" r:id="rId216" name="Check Box 923">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2" r:id="rId217" name="Check Box 924">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3" r:id="rId218" name="Check Box 925">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4" r:id="rId219" name="Check Box 926">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5" r:id="rId220" name="Check Box 927">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6" r:id="rId221" name="Check Box 928">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7" r:id="rId222" name="Check Box 929">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8" r:id="rId223" name="Check Box 930">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19" r:id="rId224" name="Check Box 931">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20" r:id="rId225" name="Check Box 932">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21" r:id="rId226" name="Check Box 933">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22" r:id="rId227" name="Check Box 934">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23" r:id="rId228" name="Check Box 935">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24" r:id="rId229" name="Check Box 936">
              <controlPr defaultSize="0" autoFill="0" autoLine="0" autoPict="0" altText="">
                <anchor moveWithCells="1">
                  <from>
                    <xdr:col>4</xdr:col>
                    <xdr:colOff>0</xdr:colOff>
                    <xdr:row>29</xdr:row>
                    <xdr:rowOff>0</xdr:rowOff>
                  </from>
                  <to>
                    <xdr:col>5</xdr:col>
                    <xdr:colOff>45720</xdr:colOff>
                    <xdr:row>30</xdr:row>
                    <xdr:rowOff>7620</xdr:rowOff>
                  </to>
                </anchor>
              </controlPr>
            </control>
          </mc:Choice>
        </mc:AlternateContent>
        <mc:AlternateContent xmlns:mc="http://schemas.openxmlformats.org/markup-compatibility/2006">
          <mc:Choice Requires="x14">
            <control shapeId="13225" r:id="rId230" name="Check Box 937">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26" r:id="rId231" name="Check Box 938">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27" r:id="rId232" name="Check Box 939">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28" r:id="rId233" name="Check Box 940">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29" r:id="rId234" name="Check Box 941">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0" r:id="rId235" name="Check Box 942">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1" r:id="rId236" name="Check Box 943">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2" r:id="rId237" name="Check Box 944">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3" r:id="rId238" name="Check Box 945">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4" r:id="rId239" name="Check Box 946">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5" r:id="rId240" name="Check Box 947">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6" r:id="rId241" name="Check Box 948">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7" r:id="rId242" name="Check Box 949">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8" r:id="rId243" name="Check Box 950">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39" r:id="rId244" name="Check Box 951">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0" r:id="rId245" name="Check Box 952">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1" r:id="rId246" name="Check Box 953">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2" r:id="rId247" name="Check Box 954">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3" r:id="rId248" name="Check Box 955">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4" r:id="rId249" name="Check Box 956">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5" r:id="rId250" name="Check Box 957">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6" r:id="rId251" name="Check Box 958">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7" r:id="rId252" name="Check Box 959">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8" r:id="rId253" name="Check Box 960">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49" r:id="rId254" name="Check Box 961">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0" r:id="rId255" name="Check Box 962">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1" r:id="rId256" name="Check Box 963">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2" r:id="rId257" name="Check Box 964">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3" r:id="rId258" name="Check Box 965">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4" r:id="rId259" name="Check Box 966">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5" r:id="rId260" name="Check Box 967">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6" r:id="rId261" name="Check Box 968">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7" r:id="rId262" name="Check Box 969">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8" r:id="rId263" name="Check Box 970">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59" r:id="rId264" name="Check Box 971">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60" r:id="rId265" name="Check Box 972">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61" r:id="rId266" name="Check Box 973">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62" r:id="rId267" name="Check Box 974">
              <controlPr defaultSize="0" autoFill="0" autoLine="0" autoPict="0" altText="">
                <anchor moveWithCells="1">
                  <from>
                    <xdr:col>4</xdr:col>
                    <xdr:colOff>0</xdr:colOff>
                    <xdr:row>30</xdr:row>
                    <xdr:rowOff>0</xdr:rowOff>
                  </from>
                  <to>
                    <xdr:col>5</xdr:col>
                    <xdr:colOff>45720</xdr:colOff>
                    <xdr:row>31</xdr:row>
                    <xdr:rowOff>7620</xdr:rowOff>
                  </to>
                </anchor>
              </controlPr>
            </control>
          </mc:Choice>
        </mc:AlternateContent>
        <mc:AlternateContent xmlns:mc="http://schemas.openxmlformats.org/markup-compatibility/2006">
          <mc:Choice Requires="x14">
            <control shapeId="13263" r:id="rId268" name="Check Box 975">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64" r:id="rId269" name="Check Box 976">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65" r:id="rId270" name="Check Box 977">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66" r:id="rId271" name="Check Box 978">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67" r:id="rId272" name="Check Box 979">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68" r:id="rId273" name="Check Box 980">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69" r:id="rId274" name="Check Box 981">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0" r:id="rId275" name="Check Box 982">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1" r:id="rId276" name="Check Box 983">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2" r:id="rId277" name="Check Box 984">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3" r:id="rId278" name="Check Box 985">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4" r:id="rId279" name="Check Box 986">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5" r:id="rId280" name="Check Box 987">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6" r:id="rId281" name="Check Box 988">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7" r:id="rId282" name="Check Box 989">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8" r:id="rId283" name="Check Box 990">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79" r:id="rId284" name="Check Box 991">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0" r:id="rId285" name="Check Box 992">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1" r:id="rId286" name="Check Box 993">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2" r:id="rId287" name="Check Box 994">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3" r:id="rId288" name="Check Box 995">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4" r:id="rId289" name="Check Box 996">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5" r:id="rId290" name="Check Box 997">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6" r:id="rId291" name="Check Box 998">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7" r:id="rId292" name="Check Box 999">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8" r:id="rId293" name="Check Box 1000">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89" r:id="rId294" name="Check Box 1001">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0" r:id="rId295" name="Check Box 1002">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1" r:id="rId296" name="Check Box 1003">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2" r:id="rId297" name="Check Box 1004">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3" r:id="rId298" name="Check Box 1005">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4" r:id="rId299" name="Check Box 1006">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5" r:id="rId300" name="Check Box 1007">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6" r:id="rId301" name="Check Box 1008">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7" r:id="rId302" name="Check Box 1009">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8" r:id="rId303" name="Check Box 1010">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299" r:id="rId304" name="Check Box 1011">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0" r:id="rId305" name="Check Box 1012">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1" r:id="rId306" name="Check Box 1013">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2" r:id="rId307" name="Check Box 1014">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3" r:id="rId308" name="Check Box 1015">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4" r:id="rId309" name="Check Box 1016">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5" r:id="rId310" name="Check Box 1017">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6" r:id="rId311" name="Check Box 1018">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7" r:id="rId312" name="Check Box 1019">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8" r:id="rId313" name="Check Box 1020">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09" r:id="rId314" name="Check Box 1021">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10" r:id="rId315" name="Check Box 1022">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13311" r:id="rId316" name="Check Box 1023">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24" r:id="rId317" name="Check Box 1024">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25" r:id="rId318" name="Check Box 1025">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26" r:id="rId319" name="Check Box 1026">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27" r:id="rId320" name="Check Box 1027">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28" r:id="rId321" name="Check Box 1028">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29" r:id="rId322" name="Check Box 1029">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30" r:id="rId323" name="Check Box 1030">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31" r:id="rId324" name="Check Box 1031">
              <controlPr defaultSize="0" autoFill="0" autoLine="0" autoPict="0" altText="">
                <anchor moveWithCells="1">
                  <from>
                    <xdr:col>4</xdr:col>
                    <xdr:colOff>0</xdr:colOff>
                    <xdr:row>31</xdr:row>
                    <xdr:rowOff>0</xdr:rowOff>
                  </from>
                  <to>
                    <xdr:col>5</xdr:col>
                    <xdr:colOff>45720</xdr:colOff>
                    <xdr:row>32</xdr:row>
                    <xdr:rowOff>7620</xdr:rowOff>
                  </to>
                </anchor>
              </controlPr>
            </control>
          </mc:Choice>
        </mc:AlternateContent>
        <mc:AlternateContent xmlns:mc="http://schemas.openxmlformats.org/markup-compatibility/2006">
          <mc:Choice Requires="x14">
            <control shapeId="77832" r:id="rId325" name="Check Box 1032">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3" r:id="rId326" name="Check Box 1033">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4" r:id="rId327" name="Check Box 1034">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5" r:id="rId328" name="Check Box 1035">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6" r:id="rId329" name="Check Box 1036">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7" r:id="rId330" name="Check Box 1037">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8" r:id="rId331" name="Check Box 1038">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39" r:id="rId332" name="Check Box 1039">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0" r:id="rId333" name="Check Box 1040">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1" r:id="rId334" name="Check Box 1041">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2" r:id="rId335" name="Check Box 1042">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3" r:id="rId336" name="Check Box 1043">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4" r:id="rId337" name="Check Box 1044">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5" r:id="rId338" name="Check Box 1045">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6" r:id="rId339" name="Check Box 1046">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7" r:id="rId340" name="Check Box 1047">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8" r:id="rId341" name="Check Box 1048">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49" r:id="rId342" name="Check Box 1049">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50" r:id="rId343" name="Check Box 1050">
              <controlPr defaultSize="0" autoFill="0" autoLine="0" autoPict="0" altText="">
                <anchor moveWithCells="1">
                  <from>
                    <xdr:col>4</xdr:col>
                    <xdr:colOff>0</xdr:colOff>
                    <xdr:row>32</xdr:row>
                    <xdr:rowOff>0</xdr:rowOff>
                  </from>
                  <to>
                    <xdr:col>5</xdr:col>
                    <xdr:colOff>45720</xdr:colOff>
                    <xdr:row>33</xdr:row>
                    <xdr:rowOff>7620</xdr:rowOff>
                  </to>
                </anchor>
              </controlPr>
            </control>
          </mc:Choice>
        </mc:AlternateContent>
        <mc:AlternateContent xmlns:mc="http://schemas.openxmlformats.org/markup-compatibility/2006">
          <mc:Choice Requires="x14">
            <control shapeId="77851" r:id="rId344" name="Check Box 1051">
              <controlPr defaultSize="0" autoFill="0" autoLine="0" autoPict="0" altText="">
                <anchor moveWithCells="1">
                  <from>
                    <xdr:col>4</xdr:col>
                    <xdr:colOff>0</xdr:colOff>
                    <xdr:row>24</xdr:row>
                    <xdr:rowOff>0</xdr:rowOff>
                  </from>
                  <to>
                    <xdr:col>5</xdr:col>
                    <xdr:colOff>45720</xdr:colOff>
                    <xdr:row>25</xdr:row>
                    <xdr:rowOff>7620</xdr:rowOff>
                  </to>
                </anchor>
              </controlPr>
            </control>
          </mc:Choice>
        </mc:AlternateContent>
        <mc:AlternateContent xmlns:mc="http://schemas.openxmlformats.org/markup-compatibility/2006">
          <mc:Choice Requires="x14">
            <control shapeId="77852" r:id="rId345" name="Check Box 1052">
              <controlPr defaultSize="0" autoFill="0" autoLine="0" autoPict="0" altText="">
                <anchor moveWithCells="1">
                  <from>
                    <xdr:col>4</xdr:col>
                    <xdr:colOff>0</xdr:colOff>
                    <xdr:row>24</xdr:row>
                    <xdr:rowOff>0</xdr:rowOff>
                  </from>
                  <to>
                    <xdr:col>5</xdr:col>
                    <xdr:colOff>45720</xdr:colOff>
                    <xdr:row>25</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32" id="{B0E8935E-FB72-41E6-9A50-7DF9B765910F}">
            <xm:f>NOT(Projektgrundlagen!$I$25)</xm:f>
            <x14:dxf>
              <font>
                <strike/>
                <color theme="0" tint="-0.14996795556505021"/>
              </font>
              <fill>
                <patternFill>
                  <bgColor theme="0"/>
                </patternFill>
              </fill>
            </x14:dxf>
          </x14:cfRule>
          <xm:sqref>B174:C177 H174:K177</xm:sqref>
        </x14:conditionalFormatting>
        <x14:conditionalFormatting xmlns:xm="http://schemas.microsoft.com/office/excel/2006/main">
          <x14:cfRule type="expression" priority="978" id="{696E57E5-8FB0-487E-BC50-8B92E84DCF3B}">
            <xm:f>NOT(Projektgrundlagen!$I$25)</xm:f>
            <x14:dxf>
              <font>
                <strike/>
                <color theme="0" tint="-0.14996795556505021"/>
              </font>
              <fill>
                <patternFill>
                  <bgColor theme="0"/>
                </patternFill>
              </fill>
            </x14:dxf>
          </x14:cfRule>
          <xm:sqref>B168:D173</xm:sqref>
        </x14:conditionalFormatting>
        <x14:conditionalFormatting xmlns:xm="http://schemas.microsoft.com/office/excel/2006/main">
          <x14:cfRule type="expression" priority="608" id="{4E2A1BD3-7159-46FE-804F-0541D4F272B6}">
            <xm:f>NOT(Projektgrundlagen!$I$25)</xm:f>
            <x14:dxf>
              <font>
                <strike/>
                <color theme="0" tint="-0.14996795556505021"/>
              </font>
              <fill>
                <patternFill>
                  <bgColor theme="0"/>
                </patternFill>
              </fill>
            </x14:dxf>
          </x14:cfRule>
          <xm:sqref>B68:E77</xm:sqref>
        </x14:conditionalFormatting>
        <x14:conditionalFormatting xmlns:xm="http://schemas.microsoft.com/office/excel/2006/main">
          <x14:cfRule type="expression" priority="696" id="{658BAC60-A4B9-4550-8E07-632633C3A29F}">
            <xm:f>NOT(Projektgrundlagen!$I$25)</xm:f>
            <x14:dxf>
              <font>
                <strike/>
                <color theme="0" tint="-0.14996795556505021"/>
              </font>
              <fill>
                <patternFill>
                  <bgColor theme="0"/>
                </patternFill>
              </fill>
            </x14:dxf>
          </x14:cfRule>
          <xm:sqref>B146:E148</xm:sqref>
        </x14:conditionalFormatting>
        <x14:conditionalFormatting xmlns:xm="http://schemas.microsoft.com/office/excel/2006/main">
          <x14:cfRule type="expression" priority="693" id="{5EDC7B49-0DCC-4F0F-8EFC-7A4A96974FA0}">
            <xm:f>NOT(Projektgrundlagen!$I$25)</xm:f>
            <x14:dxf>
              <font>
                <strike/>
                <color theme="0" tint="-0.14996795556505021"/>
              </font>
              <fill>
                <patternFill>
                  <bgColor theme="0"/>
                </patternFill>
              </fill>
            </x14:dxf>
          </x14:cfRule>
          <xm:sqref>B150:E154</xm:sqref>
        </x14:conditionalFormatting>
        <x14:conditionalFormatting xmlns:xm="http://schemas.microsoft.com/office/excel/2006/main">
          <x14:cfRule type="expression" priority="17" id="{90689DA6-FFE0-49E5-8BC2-0D8BC0472AB0}">
            <xm:f>NOT(Projektgrundlagen!$I$25)</xm:f>
            <x14:dxf>
              <font>
                <strike/>
                <color theme="0" tint="-0.14996795556505021"/>
              </font>
              <fill>
                <patternFill>
                  <bgColor theme="0"/>
                </patternFill>
              </fill>
            </x14:dxf>
          </x14:cfRule>
          <xm:sqref>B114:F119</xm:sqref>
        </x14:conditionalFormatting>
        <x14:conditionalFormatting xmlns:xm="http://schemas.microsoft.com/office/excel/2006/main">
          <x14:cfRule type="expression" priority="1224" id="{A7F240AC-11CB-4C0E-8824-CA947E151696}">
            <xm:f>NOT(Projektgrundlagen!$I$25)</xm:f>
            <x14:dxf>
              <font>
                <strike/>
                <color theme="0" tint="-0.14996795556505021"/>
              </font>
              <fill>
                <patternFill>
                  <bgColor theme="0"/>
                </patternFill>
              </fill>
            </x14:dxf>
          </x14:cfRule>
          <xm:sqref>B149:F149</xm:sqref>
        </x14:conditionalFormatting>
        <x14:conditionalFormatting xmlns:xm="http://schemas.microsoft.com/office/excel/2006/main">
          <x14:cfRule type="expression" priority="422" id="{82CA309E-D328-4C45-A08A-E8B84D6A3FA7}">
            <xm:f>NOT(Projektgrundlagen!$I$25)</xm:f>
            <x14:dxf>
              <font>
                <strike/>
                <color theme="0" tint="-0.14996795556505021"/>
              </font>
              <fill>
                <patternFill>
                  <bgColor theme="0"/>
                </patternFill>
              </fill>
            </x14:dxf>
          </x14:cfRule>
          <xm:sqref>B110:K113</xm:sqref>
        </x14:conditionalFormatting>
        <x14:conditionalFormatting xmlns:xm="http://schemas.microsoft.com/office/excel/2006/main">
          <x14:cfRule type="expression" priority="90" id="{AF819818-53E3-4122-AC1C-7D230550CE42}">
            <xm:f>NOT(Projektgrundlagen!$I$25)</xm:f>
            <x14:dxf>
              <font>
                <strike/>
                <color theme="0" tint="-0.14996795556505021"/>
              </font>
              <fill>
                <patternFill>
                  <bgColor theme="0"/>
                </patternFill>
              </fill>
            </x14:dxf>
          </x14:cfRule>
          <xm:sqref>B121:K121</xm:sqref>
        </x14:conditionalFormatting>
        <x14:conditionalFormatting xmlns:xm="http://schemas.microsoft.com/office/excel/2006/main">
          <x14:cfRule type="expression" priority="401" id="{CD59BC89-71A4-48CF-A37D-EE9F1CB2D397}">
            <xm:f>NOT(Projektgrundlagen!$I$25)</xm:f>
            <x14:dxf>
              <font>
                <strike/>
                <color theme="0" tint="-0.14996795556505021"/>
              </font>
              <fill>
                <patternFill>
                  <bgColor theme="0"/>
                </patternFill>
              </fill>
            </x14:dxf>
          </x14:cfRule>
          <xm:sqref>B135:K136</xm:sqref>
        </x14:conditionalFormatting>
        <x14:conditionalFormatting xmlns:xm="http://schemas.microsoft.com/office/excel/2006/main">
          <x14:cfRule type="expression" priority="323" id="{D16F3CD2-82EA-4B64-B679-D893F8DC58AF}">
            <xm:f>NOT(Projektgrundlagen!$I$25)</xm:f>
            <x14:dxf>
              <font>
                <strike/>
                <color theme="0" tint="-0.14996795556505021"/>
              </font>
              <fill>
                <patternFill>
                  <bgColor theme="0"/>
                </patternFill>
              </fill>
            </x14:dxf>
          </x14:cfRule>
          <xm:sqref>D174:E176 G174:G176 D177:G177</xm:sqref>
        </x14:conditionalFormatting>
        <x14:conditionalFormatting xmlns:xm="http://schemas.microsoft.com/office/excel/2006/main">
          <x14:cfRule type="expression" priority="651" id="{31482B30-4904-41B3-B7D5-AEFD1958F325}">
            <xm:f>NOT(Projektgrundlagen!$I$25)</xm:f>
            <x14:dxf>
              <font>
                <strike/>
                <color theme="0" tint="-0.14996795556505021"/>
              </font>
              <fill>
                <patternFill>
                  <bgColor theme="0"/>
                </patternFill>
              </fill>
            </x14:dxf>
          </x14:cfRule>
          <xm:sqref>D55:G56</xm:sqref>
        </x14:conditionalFormatting>
        <x14:conditionalFormatting xmlns:xm="http://schemas.microsoft.com/office/excel/2006/main">
          <x14:cfRule type="expression" priority="692" id="{44B9E57E-2594-40E4-AB3F-A7B140BD5FC4}">
            <xm:f>NOT(Projektgrundlagen!$I$25)</xm:f>
            <x14:dxf>
              <font>
                <strike/>
                <color theme="0" tint="-0.14996795556505021"/>
              </font>
              <fill>
                <patternFill>
                  <bgColor theme="0"/>
                </patternFill>
              </fill>
            </x14:dxf>
          </x14:cfRule>
          <xm:sqref>E172:E173</xm:sqref>
        </x14:conditionalFormatting>
        <x14:conditionalFormatting xmlns:xm="http://schemas.microsoft.com/office/excel/2006/main">
          <x14:cfRule type="expression" priority="690" id="{F78133D6-3E56-4364-ADC1-9B391E986326}">
            <xm:f>NOT(Projektgrundlagen!$I$25)</xm:f>
            <x14:dxf>
              <font>
                <strike/>
                <color theme="0" tint="-0.14996795556505021"/>
              </font>
              <fill>
                <patternFill>
                  <bgColor theme="0"/>
                </patternFill>
              </fill>
            </x14:dxf>
          </x14:cfRule>
          <xm:sqref>E168:K171</xm:sqref>
        </x14:conditionalFormatting>
        <x14:conditionalFormatting xmlns:xm="http://schemas.microsoft.com/office/excel/2006/main">
          <x14:cfRule type="expression" priority="29" id="{8500E953-2AAB-45C1-A6E2-9D8133257AE3}">
            <xm:f>NOT(Projektgrundlagen!$I$25)</xm:f>
            <x14:dxf>
              <font>
                <strike/>
                <color theme="0" tint="-0.14996795556505021"/>
              </font>
              <fill>
                <patternFill>
                  <bgColor theme="0"/>
                </patternFill>
              </fill>
            </x14:dxf>
          </x14:cfRule>
          <xm:sqref>F14</xm:sqref>
        </x14:conditionalFormatting>
        <x14:conditionalFormatting xmlns:xm="http://schemas.microsoft.com/office/excel/2006/main">
          <x14:cfRule type="expression" priority="160" id="{2C10AB25-5A73-4CFA-BD97-0F8E5D42411B}">
            <xm:f>NOT(Projektgrundlagen!$I$25)</xm:f>
            <x14:dxf>
              <font>
                <strike/>
                <color theme="0" tint="-0.14996795556505021"/>
              </font>
              <fill>
                <patternFill>
                  <bgColor theme="0"/>
                </patternFill>
              </fill>
            </x14:dxf>
          </x14:cfRule>
          <xm:sqref>F15</xm:sqref>
        </x14:conditionalFormatting>
        <x14:conditionalFormatting xmlns:xm="http://schemas.microsoft.com/office/excel/2006/main">
          <x14:cfRule type="expression" priority="2164" id="{2C10AB25-5A73-4CFA-BD97-0F8E5D42411B}">
            <xm:f>NOT(Projektgrundlagen!$I$25)</xm:f>
            <x14:dxf>
              <font>
                <strike/>
                <color theme="0" tint="-0.14996795556505021"/>
              </font>
              <fill>
                <patternFill>
                  <bgColor theme="0"/>
                </patternFill>
              </fill>
            </x14:dxf>
          </x14:cfRule>
          <xm:sqref>F43</xm:sqref>
        </x14:conditionalFormatting>
        <x14:conditionalFormatting xmlns:xm="http://schemas.microsoft.com/office/excel/2006/main">
          <x14:cfRule type="expression" priority="30" id="{22D43D6B-72ED-487B-ACEA-7BAA1D2820B2}">
            <xm:f>NOT(Projektgrundlagen!$I$25)</xm:f>
            <x14:dxf>
              <font>
                <strike/>
                <color theme="0" tint="-0.14996795556505021"/>
              </font>
              <fill>
                <patternFill>
                  <bgColor theme="0"/>
                </patternFill>
              </fill>
            </x14:dxf>
          </x14:cfRule>
          <xm:sqref>F44:F45</xm:sqref>
        </x14:conditionalFormatting>
        <x14:conditionalFormatting xmlns:xm="http://schemas.microsoft.com/office/excel/2006/main">
          <x14:cfRule type="expression" priority="2171" id="{09CE46F2-4FB8-424F-BFB4-63D60D2D0C40}">
            <xm:f>NOT(Projektgrundlagen!$I$25)</xm:f>
            <x14:dxf>
              <font>
                <strike/>
                <color theme="0" tint="-0.14996795556505021"/>
              </font>
              <fill>
                <patternFill>
                  <bgColor theme="0"/>
                </patternFill>
              </fill>
            </x14:dxf>
          </x14:cfRule>
          <xm:sqref>F49</xm:sqref>
        </x14:conditionalFormatting>
        <x14:conditionalFormatting xmlns:xm="http://schemas.microsoft.com/office/excel/2006/main">
          <x14:cfRule type="expression" priority="28" id="{5F2D5BE9-48C6-4292-9787-F3CE26217F86}">
            <xm:f>NOT(Projektgrundlagen!$I$25)</xm:f>
            <x14:dxf>
              <font>
                <strike/>
                <color theme="0" tint="-0.14996795556505021"/>
              </font>
              <fill>
                <patternFill>
                  <bgColor theme="0"/>
                </patternFill>
              </fill>
            </x14:dxf>
          </x14:cfRule>
          <xm:sqref>F50</xm:sqref>
        </x14:conditionalFormatting>
        <x14:conditionalFormatting xmlns:xm="http://schemas.microsoft.com/office/excel/2006/main">
          <x14:cfRule type="expression" priority="138" id="{8B2A180B-00F0-4001-9B45-4EC16C283332}">
            <xm:f>NOT(Projektgrundlagen!$I$25)</xm:f>
            <x14:dxf>
              <font>
                <strike/>
                <color theme="0" tint="-0.14996795556505021"/>
              </font>
              <fill>
                <patternFill>
                  <bgColor theme="0"/>
                </patternFill>
              </fill>
            </x14:dxf>
          </x14:cfRule>
          <xm:sqref>F51</xm:sqref>
        </x14:conditionalFormatting>
        <x14:conditionalFormatting xmlns:xm="http://schemas.microsoft.com/office/excel/2006/main">
          <x14:cfRule type="expression" priority="32" id="{6E634C29-A493-4A19-A567-CF5937E25CFF}">
            <xm:f>NOT(Projektgrundlagen!$I$25)</xm:f>
            <x14:dxf>
              <font>
                <strike/>
                <color theme="0" tint="-0.14996795556505021"/>
              </font>
              <fill>
                <patternFill>
                  <bgColor theme="0"/>
                </patternFill>
              </fill>
            </x14:dxf>
          </x14:cfRule>
          <xm:sqref>F57:F59</xm:sqref>
        </x14:conditionalFormatting>
        <x14:conditionalFormatting xmlns:xm="http://schemas.microsoft.com/office/excel/2006/main">
          <x14:cfRule type="expression" priority="134" id="{813BB2D4-EBFA-408D-AF32-6A3B6AD896DD}">
            <xm:f>NOT(Projektgrundlagen!$I$25)</xm:f>
            <x14:dxf>
              <font>
                <strike/>
                <color theme="0" tint="-0.14996795556505021"/>
              </font>
              <fill>
                <patternFill>
                  <bgColor theme="0"/>
                </patternFill>
              </fill>
            </x14:dxf>
          </x14:cfRule>
          <xm:sqref>F60</xm:sqref>
        </x14:conditionalFormatting>
        <x14:conditionalFormatting xmlns:xm="http://schemas.microsoft.com/office/excel/2006/main">
          <x14:cfRule type="expression" priority="34" id="{3F73A1A9-572C-46E1-A562-64B0EF07EE78}">
            <xm:f>NOT(Projektgrundlagen!$I$25)</xm:f>
            <x14:dxf>
              <font>
                <strike/>
                <color theme="0" tint="-0.14996795556505021"/>
              </font>
              <fill>
                <patternFill>
                  <bgColor theme="0"/>
                </patternFill>
              </fill>
            </x14:dxf>
          </x14:cfRule>
          <xm:sqref>F61</xm:sqref>
        </x14:conditionalFormatting>
        <x14:conditionalFormatting xmlns:xm="http://schemas.microsoft.com/office/excel/2006/main">
          <x14:cfRule type="expression" priority="130" id="{45C4519E-AA1A-449E-AD35-E142F7567563}">
            <xm:f>NOT(Projektgrundlagen!$I$25)</xm:f>
            <x14:dxf>
              <font>
                <strike/>
                <color theme="0" tint="-0.14996795556505021"/>
              </font>
              <fill>
                <patternFill>
                  <bgColor theme="0"/>
                </patternFill>
              </fill>
            </x14:dxf>
          </x14:cfRule>
          <xm:sqref>F62</xm:sqref>
        </x14:conditionalFormatting>
        <x14:conditionalFormatting xmlns:xm="http://schemas.microsoft.com/office/excel/2006/main">
          <x14:cfRule type="expression" priority="126" id="{5E59D15B-E567-4CB5-8F3C-FD0A2102C124}">
            <xm:f>NOT(Projektgrundlagen!$I$25)</xm:f>
            <x14:dxf>
              <font>
                <strike/>
                <color theme="0" tint="-0.14996795556505021"/>
              </font>
              <fill>
                <patternFill>
                  <bgColor theme="0"/>
                </patternFill>
              </fill>
            </x14:dxf>
          </x14:cfRule>
          <xm:sqref>F63:F64</xm:sqref>
        </x14:conditionalFormatting>
        <x14:conditionalFormatting xmlns:xm="http://schemas.microsoft.com/office/excel/2006/main">
          <x14:cfRule type="expression" priority="118" id="{A17B5A62-7FF1-4E18-AF48-0BD1DB7A62BC}">
            <xm:f>NOT(Projektgrundlagen!$I$25)</xm:f>
            <x14:dxf>
              <font>
                <strike/>
                <color theme="0" tint="-0.14996795556505021"/>
              </font>
              <fill>
                <patternFill>
                  <bgColor theme="0"/>
                </patternFill>
              </fill>
            </x14:dxf>
          </x14:cfRule>
          <xm:sqref>F74:F75</xm:sqref>
        </x14:conditionalFormatting>
        <x14:conditionalFormatting xmlns:xm="http://schemas.microsoft.com/office/excel/2006/main">
          <x14:cfRule type="expression" priority="114" id="{5162EE27-68FF-437D-A9FD-0291D8A2E852}">
            <xm:f>NOT(Projektgrundlagen!$I$25)</xm:f>
            <x14:dxf>
              <font>
                <strike/>
                <color theme="0" tint="-0.14996795556505021"/>
              </font>
              <fill>
                <patternFill>
                  <bgColor theme="0"/>
                </patternFill>
              </fill>
            </x14:dxf>
          </x14:cfRule>
          <xm:sqref>F76:F77</xm:sqref>
        </x14:conditionalFormatting>
        <x14:conditionalFormatting xmlns:xm="http://schemas.microsoft.com/office/excel/2006/main">
          <x14:cfRule type="expression" priority="4" id="{5160E7C8-699C-4B5A-AA34-13B2C9042B7E}">
            <xm:f>NOT(Projektgrundlagen!$I$25)</xm:f>
            <x14:dxf>
              <font>
                <strike/>
                <color theme="0" tint="-0.14996795556505021"/>
              </font>
              <fill>
                <patternFill>
                  <bgColor theme="0"/>
                </patternFill>
              </fill>
            </x14:dxf>
          </x14:cfRule>
          <xm:sqref>F81:F94</xm:sqref>
        </x14:conditionalFormatting>
        <x14:conditionalFormatting xmlns:xm="http://schemas.microsoft.com/office/excel/2006/main">
          <x14:cfRule type="expression" priority="110" id="{8A5FF0F4-84A9-4927-864F-D7D4C12388BA}">
            <xm:f>NOT(Projektgrundlagen!$I$25)</xm:f>
            <x14:dxf>
              <font>
                <strike/>
                <color theme="0" tint="-0.14996795556505021"/>
              </font>
              <fill>
                <patternFill>
                  <bgColor theme="0"/>
                </patternFill>
              </fill>
            </x14:dxf>
          </x14:cfRule>
          <xm:sqref>F95:F98</xm:sqref>
        </x14:conditionalFormatting>
        <x14:conditionalFormatting xmlns:xm="http://schemas.microsoft.com/office/excel/2006/main">
          <x14:cfRule type="expression" priority="106" id="{BE1CFC72-C6E6-4979-8956-4DBE8B0A0A80}">
            <xm:f>NOT(Projektgrundlagen!$I$25)</xm:f>
            <x14:dxf>
              <font>
                <strike/>
                <color theme="0" tint="-0.14996795556505021"/>
              </font>
              <fill>
                <patternFill>
                  <bgColor theme="0"/>
                </patternFill>
              </fill>
            </x14:dxf>
          </x14:cfRule>
          <xm:sqref>F99:F100</xm:sqref>
        </x14:conditionalFormatting>
        <x14:conditionalFormatting xmlns:xm="http://schemas.microsoft.com/office/excel/2006/main">
          <x14:cfRule type="expression" priority="102" id="{ECD494EE-E40F-4EEE-A442-5C211BD43345}">
            <xm:f>NOT(Projektgrundlagen!$I$25)</xm:f>
            <x14:dxf>
              <font>
                <strike/>
                <color theme="0" tint="-0.14996795556505021"/>
              </font>
              <fill>
                <patternFill>
                  <bgColor theme="0"/>
                </patternFill>
              </fill>
            </x14:dxf>
          </x14:cfRule>
          <xm:sqref>F101:F102</xm:sqref>
        </x14:conditionalFormatting>
        <x14:conditionalFormatting xmlns:xm="http://schemas.microsoft.com/office/excel/2006/main">
          <x14:cfRule type="expression" priority="1" id="{B7B2EDA9-868C-43F0-AF46-F7AFD42F85DF}">
            <xm:f>NOT(Projektgrundlagen!$I$25)</xm:f>
            <x14:dxf>
              <font>
                <strike/>
                <color theme="0" tint="-0.14996795556505021"/>
              </font>
              <fill>
                <patternFill>
                  <bgColor theme="0"/>
                </patternFill>
              </fill>
            </x14:dxf>
          </x14:cfRule>
          <xm:sqref>F126</xm:sqref>
        </x14:conditionalFormatting>
        <x14:conditionalFormatting xmlns:xm="http://schemas.microsoft.com/office/excel/2006/main">
          <x14:cfRule type="expression" priority="86" id="{122EF782-4105-468D-AB7E-1DC42CE76874}">
            <xm:f>NOT(Projektgrundlagen!$I$25)</xm:f>
            <x14:dxf>
              <font>
                <strike/>
                <color theme="0" tint="-0.14996795556505021"/>
              </font>
              <fill>
                <patternFill>
                  <bgColor theme="0"/>
                </patternFill>
              </fill>
            </x14:dxf>
          </x14:cfRule>
          <xm:sqref>F127</xm:sqref>
        </x14:conditionalFormatting>
        <x14:conditionalFormatting xmlns:xm="http://schemas.microsoft.com/office/excel/2006/main">
          <x14:cfRule type="expression" priority="82" id="{9095A899-DF8D-4718-81D3-AD5C71622119}">
            <xm:f>NOT(Projektgrundlagen!$I$25)</xm:f>
            <x14:dxf>
              <font>
                <strike/>
                <color theme="0" tint="-0.14996795556505021"/>
              </font>
              <fill>
                <patternFill>
                  <bgColor theme="0"/>
                </patternFill>
              </fill>
            </x14:dxf>
          </x14:cfRule>
          <xm:sqref>F128:F129</xm:sqref>
        </x14:conditionalFormatting>
        <x14:conditionalFormatting xmlns:xm="http://schemas.microsoft.com/office/excel/2006/main">
          <x14:cfRule type="expression" priority="78" id="{25535A29-5DB5-4FBB-94DB-40F8E97D6C4D}">
            <xm:f>NOT(Projektgrundlagen!$I$25)</xm:f>
            <x14:dxf>
              <font>
                <strike/>
                <color theme="0" tint="-0.14996795556505021"/>
              </font>
              <fill>
                <patternFill>
                  <bgColor theme="0"/>
                </patternFill>
              </fill>
            </x14:dxf>
          </x14:cfRule>
          <xm:sqref>F130:F131</xm:sqref>
        </x14:conditionalFormatting>
        <x14:conditionalFormatting xmlns:xm="http://schemas.microsoft.com/office/excel/2006/main">
          <x14:cfRule type="expression" priority="19" id="{D2700033-3E16-4392-B2FF-7437C53482F6}">
            <xm:f>NOT(Projektgrundlagen!$I$25)</xm:f>
            <x14:dxf>
              <font>
                <strike/>
                <color theme="0" tint="-0.14996795556505021"/>
              </font>
              <fill>
                <patternFill>
                  <bgColor theme="0"/>
                </patternFill>
              </fill>
            </x14:dxf>
          </x14:cfRule>
          <xm:sqref>F137</xm:sqref>
        </x14:conditionalFormatting>
        <x14:conditionalFormatting xmlns:xm="http://schemas.microsoft.com/office/excel/2006/main">
          <x14:cfRule type="expression" priority="74" id="{2E36CE96-7D5F-4213-B112-8907BAC8C07C}">
            <xm:f>NOT(Projektgrundlagen!$I$25)</xm:f>
            <x14:dxf>
              <font>
                <strike/>
                <color theme="0" tint="-0.14996795556505021"/>
              </font>
              <fill>
                <patternFill>
                  <bgColor theme="0"/>
                </patternFill>
              </fill>
            </x14:dxf>
          </x14:cfRule>
          <xm:sqref>F138</xm:sqref>
        </x14:conditionalFormatting>
        <x14:conditionalFormatting xmlns:xm="http://schemas.microsoft.com/office/excel/2006/main">
          <x14:cfRule type="expression" priority="18" id="{DF4C9E02-DF04-44CD-A88A-1631D9FFA450}">
            <xm:f>NOT(Projektgrundlagen!$I$25)</xm:f>
            <x14:dxf>
              <font>
                <strike/>
                <color theme="0" tint="-0.14996795556505021"/>
              </font>
              <fill>
                <patternFill>
                  <bgColor theme="0"/>
                </patternFill>
              </fill>
            </x14:dxf>
          </x14:cfRule>
          <xm:sqref>F139</xm:sqref>
        </x14:conditionalFormatting>
        <x14:conditionalFormatting xmlns:xm="http://schemas.microsoft.com/office/excel/2006/main">
          <x14:cfRule type="expression" priority="70" id="{22D28724-A7A6-4300-AE5E-4BA5F34F11B8}">
            <xm:f>NOT(Projektgrundlagen!$I$25)</xm:f>
            <x14:dxf>
              <font>
                <strike/>
                <color theme="0" tint="-0.14996795556505021"/>
              </font>
              <fill>
                <patternFill>
                  <bgColor theme="0"/>
                </patternFill>
              </fill>
            </x14:dxf>
          </x14:cfRule>
          <xm:sqref>F140</xm:sqref>
        </x14:conditionalFormatting>
        <x14:conditionalFormatting xmlns:xm="http://schemas.microsoft.com/office/excel/2006/main">
          <x14:cfRule type="expression" priority="2" id="{17974098-0A85-4509-8B37-56F4B1F7E352}">
            <xm:f>NOT(Projektgrundlagen!$I$25)</xm:f>
            <x14:dxf>
              <font>
                <strike/>
                <color theme="0" tint="-0.14996795556505021"/>
              </font>
              <fill>
                <patternFill>
                  <bgColor theme="0"/>
                </patternFill>
              </fill>
            </x14:dxf>
          </x14:cfRule>
          <xm:sqref>F141</xm:sqref>
        </x14:conditionalFormatting>
        <x14:conditionalFormatting xmlns:xm="http://schemas.microsoft.com/office/excel/2006/main">
          <x14:cfRule type="expression" priority="66" id="{D0B42C88-8A61-4618-8841-B8C6AA747DCC}">
            <xm:f>NOT(Projektgrundlagen!$I$25)</xm:f>
            <x14:dxf>
              <font>
                <strike/>
                <color theme="0" tint="-0.14996795556505021"/>
              </font>
              <fill>
                <patternFill>
                  <bgColor theme="0"/>
                </patternFill>
              </fill>
            </x14:dxf>
          </x14:cfRule>
          <xm:sqref>F142</xm:sqref>
        </x14:conditionalFormatting>
        <x14:conditionalFormatting xmlns:xm="http://schemas.microsoft.com/office/excel/2006/main">
          <x14:cfRule type="expression" priority="355" id="{C58CF360-FE56-4BA5-8BC7-3B2202E471C9}">
            <xm:f>NOT(Projektgrundlagen!$I$25)</xm:f>
            <x14:dxf>
              <font>
                <strike/>
                <color theme="0" tint="-0.14996795556505021"/>
              </font>
              <fill>
                <patternFill>
                  <bgColor theme="0"/>
                </patternFill>
              </fill>
            </x14:dxf>
          </x14:cfRule>
          <xm:sqref>F147:F148</xm:sqref>
        </x14:conditionalFormatting>
        <x14:conditionalFormatting xmlns:xm="http://schemas.microsoft.com/office/excel/2006/main">
          <x14:cfRule type="expression" priority="353" id="{E93A7F7C-DEA4-470D-AAE6-43B54C69DF1D}">
            <xm:f>NOT(Projektgrundlagen!$I$25)</xm:f>
            <x14:dxf>
              <font>
                <strike/>
                <color theme="0" tint="-0.14996795556505021"/>
              </font>
              <fill>
                <patternFill>
                  <bgColor theme="0"/>
                </patternFill>
              </fill>
            </x14:dxf>
          </x14:cfRule>
          <xm:sqref>F153:F154</xm:sqref>
        </x14:conditionalFormatting>
        <x14:conditionalFormatting xmlns:xm="http://schemas.microsoft.com/office/excel/2006/main">
          <x14:cfRule type="expression" priority="3" id="{FB91F049-41CC-47B5-AB03-CED0C4844359}">
            <xm:f>NOT(Projektgrundlagen!$I$25)</xm:f>
            <x14:dxf>
              <font>
                <strike/>
                <color theme="0" tint="-0.14996795556505021"/>
              </font>
              <fill>
                <patternFill>
                  <bgColor theme="0"/>
                </patternFill>
              </fill>
            </x14:dxf>
          </x14:cfRule>
          <xm:sqref>F156:F158</xm:sqref>
        </x14:conditionalFormatting>
        <x14:conditionalFormatting xmlns:xm="http://schemas.microsoft.com/office/excel/2006/main">
          <x14:cfRule type="expression" priority="58" id="{33883731-EE49-474D-B640-0069B0402905}">
            <xm:f>NOT(Projektgrundlagen!$I$25)</xm:f>
            <x14:dxf>
              <font>
                <strike/>
                <color theme="0" tint="-0.14996795556505021"/>
              </font>
              <fill>
                <patternFill>
                  <bgColor theme="0"/>
                </patternFill>
              </fill>
            </x14:dxf>
          </x14:cfRule>
          <xm:sqref>F159</xm:sqref>
        </x14:conditionalFormatting>
        <x14:conditionalFormatting xmlns:xm="http://schemas.microsoft.com/office/excel/2006/main">
          <x14:cfRule type="expression" priority="54" id="{DAD42FD8-8367-4824-AD59-D4898A2D5968}">
            <xm:f>NOT(Projektgrundlagen!$I$25)</xm:f>
            <x14:dxf>
              <font>
                <strike/>
                <color theme="0" tint="-0.14996795556505021"/>
              </font>
              <fill>
                <patternFill>
                  <bgColor theme="0"/>
                </patternFill>
              </fill>
            </x14:dxf>
          </x14:cfRule>
          <xm:sqref>F160:F161 B163:K163</xm:sqref>
        </x14:conditionalFormatting>
        <x14:conditionalFormatting xmlns:xm="http://schemas.microsoft.com/office/excel/2006/main">
          <x14:cfRule type="expression" priority="319" id="{C575B327-6685-44AB-81E1-BD44757FAD0A}">
            <xm:f>NOT(Projektgrundlagen!$I$25)</xm:f>
            <x14:dxf>
              <font>
                <strike/>
                <color theme="0" tint="-0.14996795556505021"/>
              </font>
              <fill>
                <patternFill>
                  <bgColor theme="0"/>
                </patternFill>
              </fill>
            </x14:dxf>
          </x14:cfRule>
          <xm:sqref>F173:F176</xm:sqref>
        </x14:conditionalFormatting>
        <x14:conditionalFormatting xmlns:xm="http://schemas.microsoft.com/office/excel/2006/main">
          <x14:cfRule type="expression" priority="50" id="{3E0F655A-35A8-4921-8DA8-FFDF612AE3C6}">
            <xm:f>NOT(Projektgrundlagen!$I$25)</xm:f>
            <x14:dxf>
              <font>
                <strike/>
                <color theme="0" tint="-0.14996795556505021"/>
              </font>
              <fill>
                <patternFill>
                  <bgColor theme="0"/>
                </patternFill>
              </fill>
            </x14:dxf>
          </x14:cfRule>
          <xm:sqref>F178:F179</xm:sqref>
        </x14:conditionalFormatting>
        <x14:conditionalFormatting xmlns:xm="http://schemas.microsoft.com/office/excel/2006/main">
          <x14:cfRule type="expression" priority="46" id="{E29EBC4D-1848-4949-8687-C1DAE1A54E97}">
            <xm:f>NOT(Projektgrundlagen!$I$25)</xm:f>
            <x14:dxf>
              <font>
                <strike/>
                <color theme="0" tint="-0.14996795556505021"/>
              </font>
              <fill>
                <patternFill>
                  <bgColor theme="0"/>
                </patternFill>
              </fill>
            </x14:dxf>
          </x14:cfRule>
          <xm:sqref>F180:F181</xm:sqref>
        </x14:conditionalFormatting>
        <x14:conditionalFormatting xmlns:xm="http://schemas.microsoft.com/office/excel/2006/main">
          <x14:cfRule type="expression" priority="42" id="{E2972A99-010A-405F-BA0A-A3353E1699FF}">
            <xm:f>NOT(Projektgrundlagen!$I$25)</xm:f>
            <x14:dxf>
              <font>
                <strike/>
                <color theme="0" tint="-0.14996795556505021"/>
              </font>
              <fill>
                <patternFill>
                  <bgColor theme="0"/>
                </patternFill>
              </fill>
            </x14:dxf>
          </x14:cfRule>
          <xm:sqref>F182:F183</xm:sqref>
        </x14:conditionalFormatting>
        <x14:conditionalFormatting xmlns:xm="http://schemas.microsoft.com/office/excel/2006/main">
          <x14:cfRule type="expression" priority="705" id="{02202378-4E1D-41A7-904D-5752B8C57DEB}">
            <xm:f>NOT(Projektgrundlagen!$I$25)</xm:f>
            <x14:dxf>
              <font>
                <strike/>
                <color theme="0" tint="-0.14996795556505021"/>
              </font>
              <fill>
                <patternFill>
                  <bgColor theme="0"/>
                </patternFill>
              </fill>
            </x14:dxf>
          </x14:cfRule>
          <xm:sqref>F150:G150</xm:sqref>
        </x14:conditionalFormatting>
        <x14:conditionalFormatting xmlns:xm="http://schemas.microsoft.com/office/excel/2006/main">
          <x14:cfRule type="expression" priority="703" id="{E14BCBC9-EF15-47D6-B0B7-9AFC3030FFF9}">
            <xm:f>NOT(Projektgrundlagen!$I$25)</xm:f>
            <x14:dxf>
              <font>
                <strike/>
                <color theme="0" tint="-0.14996795556505021"/>
              </font>
              <fill>
                <patternFill>
                  <bgColor theme="0"/>
                </patternFill>
              </fill>
            </x14:dxf>
          </x14:cfRule>
          <xm:sqref>F152:G152</xm:sqref>
        </x14:conditionalFormatting>
        <x14:conditionalFormatting xmlns:xm="http://schemas.microsoft.com/office/excel/2006/main">
          <x14:cfRule type="expression" priority="26" id="{2476A861-1FF5-492C-80A6-09BDD6ED2CC9}">
            <xm:f>NOT(Projektgrundlagen!$I$25)</xm:f>
            <x14:dxf>
              <font>
                <strike/>
                <color theme="0" tint="-0.14996795556505021"/>
              </font>
              <fill>
                <patternFill>
                  <bgColor theme="0"/>
                </patternFill>
              </fill>
            </x14:dxf>
          </x14:cfRule>
          <xm:sqref>F68:K73</xm:sqref>
        </x14:conditionalFormatting>
        <x14:conditionalFormatting xmlns:xm="http://schemas.microsoft.com/office/excel/2006/main">
          <x14:cfRule type="expression" priority="709" id="{6D90653C-743A-412E-9A29-110A1B5E424D}">
            <xm:f>NOT(Projektgrundlagen!$I$25)</xm:f>
            <x14:dxf>
              <font>
                <strike/>
                <color theme="0" tint="-0.14996795556505021"/>
              </font>
              <fill>
                <patternFill>
                  <bgColor theme="0"/>
                </patternFill>
              </fill>
            </x14:dxf>
          </x14:cfRule>
          <xm:sqref>F146:K146</xm:sqref>
        </x14:conditionalFormatting>
        <x14:conditionalFormatting xmlns:xm="http://schemas.microsoft.com/office/excel/2006/main">
          <x14:cfRule type="expression" priority="354" id="{B556CBCB-417E-4E3F-9121-083F34352306}">
            <xm:f>NOT(Projektgrundlagen!$I$25)</xm:f>
            <x14:dxf>
              <font>
                <strike/>
                <color theme="0" tint="-0.14996795556505021"/>
              </font>
              <fill>
                <patternFill>
                  <bgColor theme="0"/>
                </patternFill>
              </fill>
            </x14:dxf>
          </x14:cfRule>
          <xm:sqref>F151:K151</xm:sqref>
        </x14:conditionalFormatting>
        <x14:conditionalFormatting xmlns:xm="http://schemas.microsoft.com/office/excel/2006/main">
          <x14:cfRule type="expression" priority="714" id="{9C1CAB38-6D76-4563-B559-19E6663C12D7}">
            <xm:f>NOT(Projektgrundlagen!$I$25)</xm:f>
            <x14:dxf>
              <font>
                <strike/>
                <color theme="0" tint="-0.14996795556505021"/>
              </font>
              <fill>
                <patternFill>
                  <bgColor theme="0"/>
                </patternFill>
              </fill>
            </x14:dxf>
          </x14:cfRule>
          <xm:sqref>F172:K172</xm:sqref>
        </x14:conditionalFormatting>
        <x14:conditionalFormatting xmlns:xm="http://schemas.microsoft.com/office/excel/2006/main">
          <x14:cfRule type="expression" priority="654" id="{F0F4A67E-E962-446D-8A34-5784E1ADC741}">
            <xm:f>NOT(Projektgrundlagen!$I$25)</xm:f>
            <x14:dxf>
              <font>
                <strike/>
                <color theme="0" tint="-0.14996795556505021"/>
              </font>
              <fill>
                <patternFill>
                  <bgColor theme="0"/>
                </patternFill>
              </fill>
            </x14:dxf>
          </x14:cfRule>
          <xm:sqref>G57:G60 D57:E60</xm:sqref>
        </x14:conditionalFormatting>
        <x14:conditionalFormatting xmlns:xm="http://schemas.microsoft.com/office/excel/2006/main">
          <x14:cfRule type="expression" priority="356" id="{1BB02B60-E640-4755-B15A-347BC6E15C75}">
            <xm:f>NOT(Projektgrundlagen!$I$25)</xm:f>
            <x14:dxf>
              <font>
                <strike/>
                <color theme="0" tint="-0.14996795556505021"/>
              </font>
              <fill>
                <patternFill>
                  <bgColor theme="0"/>
                </patternFill>
              </fill>
            </x14:dxf>
          </x14:cfRule>
          <xm:sqref>G148:J149</xm:sqref>
        </x14:conditionalFormatting>
        <x14:conditionalFormatting xmlns:xm="http://schemas.microsoft.com/office/excel/2006/main">
          <x14:cfRule type="expression" priority="822" id="{1F1B1D11-BB14-4005-A36D-3FA9FC02C2A9}">
            <xm:f>NOT(Projektgrundlagen!$I$25)</xm:f>
            <x14:dxf>
              <font>
                <strike/>
                <color theme="0" tint="-0.14996795556505021"/>
              </font>
              <fill>
                <patternFill>
                  <bgColor theme="0"/>
                </patternFill>
              </fill>
            </x14:dxf>
          </x14:cfRule>
          <xm:sqref>G49:K51 B14:E15 G14:K15 B16:C29 E27 B30:D34 B35:C35 B36:D37 E37 B38:E38 B39:D42 B43:E45 G43:K45 B46:D48 H46:K48 B49:E51 B155:F155 G173:K173</xm:sqref>
        </x14:conditionalFormatting>
        <x14:conditionalFormatting xmlns:xm="http://schemas.microsoft.com/office/excel/2006/main">
          <x14:cfRule type="expression" priority="809" id="{84100280-1627-4F63-8DDF-982949FBD850}">
            <xm:f>NOT(Projektgrundlagen!$I$25)</xm:f>
            <x14:dxf>
              <font>
                <strike/>
                <color theme="0" tint="-0.14996795556505021"/>
              </font>
              <fill>
                <patternFill>
                  <bgColor theme="0"/>
                </patternFill>
              </fill>
            </x14:dxf>
          </x14:cfRule>
          <xm:sqref>G61:K64 B61:E64</xm:sqref>
        </x14:conditionalFormatting>
        <x14:conditionalFormatting xmlns:xm="http://schemas.microsoft.com/office/excel/2006/main">
          <x14:cfRule type="expression" priority="796" id="{FEE4C104-2EAE-4CBB-9DE0-40474F145B1F}">
            <xm:f>NOT(Projektgrundlagen!$I$25)</xm:f>
            <x14:dxf>
              <font>
                <strike/>
                <color theme="0" tint="-0.14996795556505021"/>
              </font>
              <fill>
                <patternFill>
                  <bgColor theme="0"/>
                </patternFill>
              </fill>
            </x14:dxf>
          </x14:cfRule>
          <xm:sqref>G74:K77</xm:sqref>
        </x14:conditionalFormatting>
        <x14:conditionalFormatting xmlns:xm="http://schemas.microsoft.com/office/excel/2006/main">
          <x14:cfRule type="expression" priority="481" id="{C39A81BD-5571-435B-928A-3C595DA8264E}">
            <xm:f>NOT(Projektgrundlagen!$I$25)</xm:f>
            <x14:dxf>
              <font>
                <strike/>
                <color theme="0" tint="-0.14996795556505021"/>
              </font>
              <fill>
                <patternFill>
                  <bgColor theme="0"/>
                </patternFill>
              </fill>
            </x14:dxf>
          </x14:cfRule>
          <xm:sqref>G81:K88 B81:E102</xm:sqref>
        </x14:conditionalFormatting>
        <x14:conditionalFormatting xmlns:xm="http://schemas.microsoft.com/office/excel/2006/main">
          <x14:cfRule type="expression" priority="529" id="{DFE17A14-348F-43B5-8D15-8AB47DAA6471}">
            <xm:f>NOT(Projektgrundlagen!$I$25)</xm:f>
            <x14:dxf>
              <font>
                <strike/>
                <color theme="0" tint="-0.14996795556505021"/>
              </font>
              <fill>
                <patternFill>
                  <bgColor theme="0"/>
                </patternFill>
              </fill>
            </x14:dxf>
          </x14:cfRule>
          <xm:sqref>G89:K94</xm:sqref>
        </x14:conditionalFormatting>
        <x14:conditionalFormatting xmlns:xm="http://schemas.microsoft.com/office/excel/2006/main">
          <x14:cfRule type="expression" priority="577" id="{9B6D3305-2699-4B33-B84D-9064F32E665F}">
            <xm:f>NOT(Projektgrundlagen!$I$25)</xm:f>
            <x14:dxf>
              <font>
                <strike/>
                <color theme="0" tint="-0.14996795556505021"/>
              </font>
              <fill>
                <patternFill>
                  <bgColor theme="0"/>
                </patternFill>
              </fill>
            </x14:dxf>
          </x14:cfRule>
          <xm:sqref>G95:K98</xm:sqref>
        </x14:conditionalFormatting>
        <x14:conditionalFormatting xmlns:xm="http://schemas.microsoft.com/office/excel/2006/main">
          <x14:cfRule type="expression" priority="783" id="{7EC87ED2-51C4-454E-BE97-4C536A3D32D2}">
            <xm:f>NOT(Projektgrundlagen!$I$25)</xm:f>
            <x14:dxf>
              <font>
                <strike/>
                <color theme="0" tint="-0.14996795556505021"/>
              </font>
              <fill>
                <patternFill>
                  <bgColor theme="0"/>
                </patternFill>
              </fill>
            </x14:dxf>
          </x14:cfRule>
          <xm:sqref>G99:K102</xm:sqref>
        </x14:conditionalFormatting>
        <x14:conditionalFormatting xmlns:xm="http://schemas.microsoft.com/office/excel/2006/main">
          <x14:cfRule type="expression" priority="444" id="{391A3069-98B3-4029-A376-F9F4583E9ACF}">
            <xm:f>NOT(Projektgrundlagen!$I$25)</xm:f>
            <x14:dxf>
              <font>
                <strike/>
                <color theme="0" tint="-0.14996795556505021"/>
              </font>
              <fill>
                <patternFill>
                  <bgColor theme="0"/>
                </patternFill>
              </fill>
            </x14:dxf>
          </x14:cfRule>
          <xm:sqref>G114:K115</xm:sqref>
        </x14:conditionalFormatting>
        <x14:conditionalFormatting xmlns:xm="http://schemas.microsoft.com/office/excel/2006/main">
          <x14:cfRule type="expression" priority="770" id="{303127B4-F9F9-4B41-9F6A-F340CAE1B288}">
            <xm:f>NOT(Projektgrundlagen!$I$25)</xm:f>
            <x14:dxf>
              <font>
                <strike/>
                <color theme="0" tint="-0.14996795556505021"/>
              </font>
              <fill>
                <patternFill>
                  <bgColor theme="0"/>
                </patternFill>
              </fill>
            </x14:dxf>
          </x14:cfRule>
          <xm:sqref>G116:K119</xm:sqref>
        </x14:conditionalFormatting>
        <x14:conditionalFormatting xmlns:xm="http://schemas.microsoft.com/office/excel/2006/main">
          <x14:cfRule type="expression" priority="757" id="{5E050FFE-19FA-478F-9873-4960A1D4DF29}">
            <xm:f>NOT(Projektgrundlagen!$I$25)</xm:f>
            <x14:dxf>
              <font>
                <strike/>
                <color theme="0" tint="-0.14996795556505021"/>
              </font>
              <fill>
                <patternFill>
                  <bgColor theme="0"/>
                </patternFill>
              </fill>
            </x14:dxf>
          </x14:cfRule>
          <xm:sqref>G126:K131 B126:E131</xm:sqref>
        </x14:conditionalFormatting>
        <x14:conditionalFormatting xmlns:xm="http://schemas.microsoft.com/office/excel/2006/main">
          <x14:cfRule type="expression" priority="403" id="{0FDEF2E3-5BBD-4676-8545-6D9BB4E7AD8A}">
            <xm:f>NOT(Projektgrundlagen!$I$25)</xm:f>
            <x14:dxf>
              <font>
                <strike/>
                <color theme="0" tint="-0.14996795556505021"/>
              </font>
              <fill>
                <patternFill>
                  <bgColor theme="0"/>
                </patternFill>
              </fill>
            </x14:dxf>
          </x14:cfRule>
          <xm:sqref>G137:K138 B137:E142</xm:sqref>
        </x14:conditionalFormatting>
        <x14:conditionalFormatting xmlns:xm="http://schemas.microsoft.com/office/excel/2006/main">
          <x14:cfRule type="expression" priority="744" id="{1648905B-40E2-4872-9F23-7A48AB634F6C}">
            <xm:f>NOT(Projektgrundlagen!$I$25)</xm:f>
            <x14:dxf>
              <font>
                <strike/>
                <color theme="0" tint="-0.14996795556505021"/>
              </font>
              <fill>
                <patternFill>
                  <bgColor theme="0"/>
                </patternFill>
              </fill>
            </x14:dxf>
          </x14:cfRule>
          <xm:sqref>G139:K142</xm:sqref>
        </x14:conditionalFormatting>
        <x14:conditionalFormatting xmlns:xm="http://schemas.microsoft.com/office/excel/2006/main">
          <x14:cfRule type="expression" priority="945" id="{B3CFB817-12F7-47FC-AD01-CA0F76EA8F3D}">
            <xm:f>NOT(Projektgrundlagen!$I$25)</xm:f>
            <x14:dxf>
              <font>
                <strike/>
                <color theme="0" tint="-0.14996795556505021"/>
              </font>
              <fill>
                <patternFill>
                  <bgColor theme="0"/>
                </patternFill>
              </fill>
            </x14:dxf>
          </x14:cfRule>
          <xm:sqref>G147:K147</xm:sqref>
        </x14:conditionalFormatting>
        <x14:conditionalFormatting xmlns:xm="http://schemas.microsoft.com/office/excel/2006/main">
          <x14:cfRule type="expression" priority="317" id="{6F3A352B-CD8B-4287-80C3-47B34E5308A0}">
            <xm:f>NOT(Projektgrundlagen!$I$25)</xm:f>
            <x14:dxf>
              <font>
                <strike/>
                <color theme="0" tint="-0.14996795556505021"/>
              </font>
              <fill>
                <patternFill>
                  <bgColor theme="0"/>
                </patternFill>
              </fill>
            </x14:dxf>
          </x14:cfRule>
          <xm:sqref>G153:K157</xm:sqref>
        </x14:conditionalFormatting>
        <x14:conditionalFormatting xmlns:xm="http://schemas.microsoft.com/office/excel/2006/main">
          <x14:cfRule type="expression" priority="731" id="{0A149F7E-F9D5-4942-800B-FC634391B34C}">
            <xm:f>NOT(Projektgrundlagen!$I$25)</xm:f>
            <x14:dxf>
              <font>
                <strike/>
                <color theme="0" tint="-0.14996795556505021"/>
              </font>
              <fill>
                <patternFill>
                  <bgColor theme="0"/>
                </patternFill>
              </fill>
            </x14:dxf>
          </x14:cfRule>
          <xm:sqref>G158:K161 B156:E161</xm:sqref>
        </x14:conditionalFormatting>
        <x14:conditionalFormatting xmlns:xm="http://schemas.microsoft.com/office/excel/2006/main">
          <x14:cfRule type="expression" priority="718" id="{9D87FF3D-63E6-452B-A2C1-49E183D10C39}">
            <xm:f>NOT(Projektgrundlagen!$I$25)</xm:f>
            <x14:dxf>
              <font>
                <strike/>
                <color theme="0" tint="-0.14996795556505021"/>
              </font>
              <fill>
                <patternFill>
                  <bgColor theme="0"/>
                </patternFill>
              </fill>
            </x14:dxf>
          </x14:cfRule>
          <xm:sqref>G178:K183 B178:E183</xm:sqref>
        </x14:conditionalFormatting>
        <x14:conditionalFormatting xmlns:xm="http://schemas.microsoft.com/office/excel/2006/main">
          <x14:cfRule type="expression" priority="915" id="{511FD29E-772D-4350-9ACF-7D003B978A15}">
            <xm:f>NOT(Projektgrundlagen!$I$25)</xm:f>
            <x14:dxf>
              <font>
                <strike/>
                <color theme="0" tint="-0.14996795556505021"/>
              </font>
              <fill>
                <patternFill>
                  <bgColor theme="0"/>
                </patternFill>
              </fill>
            </x14:dxf>
          </x14:cfRule>
          <xm:sqref>H150:J150</xm:sqref>
        </x14:conditionalFormatting>
        <x14:conditionalFormatting xmlns:xm="http://schemas.microsoft.com/office/excel/2006/main">
          <x14:cfRule type="expression" priority="900" id="{6FA34A96-9DC0-4E1B-AE62-C7E23AFA26F4}">
            <xm:f>NOT(Projektgrundlagen!$I$25)</xm:f>
            <x14:dxf>
              <font>
                <strike/>
                <color theme="0" tint="-0.14996795556505021"/>
              </font>
              <fill>
                <patternFill>
                  <bgColor theme="0"/>
                </patternFill>
              </fill>
            </x14:dxf>
          </x14:cfRule>
          <xm:sqref>H152:J152</xm:sqref>
        </x14:conditionalFormatting>
        <x14:conditionalFormatting xmlns:xm="http://schemas.microsoft.com/office/excel/2006/main">
          <x14:cfRule type="expression" priority="668" id="{1166F04C-A8FE-4106-AEE3-280D07AA5F6B}">
            <xm:f>NOT(Projektgrundlagen!$I$25)</xm:f>
            <x14:dxf>
              <font>
                <strike/>
                <color theme="0" tint="-0.14996795556505021"/>
              </font>
              <fill>
                <patternFill>
                  <bgColor theme="0"/>
                </patternFill>
              </fill>
            </x14:dxf>
          </x14:cfRule>
          <xm:sqref>H16:K42 B55:C60</xm:sqref>
        </x14:conditionalFormatting>
        <x14:conditionalFormatting xmlns:xm="http://schemas.microsoft.com/office/excel/2006/main">
          <x14:cfRule type="expression" priority="661" id="{0DD65767-8FFA-42AE-9894-219816C76BCE}">
            <xm:f>NOT(Projektgrundlagen!$I$25)</xm:f>
            <x14:dxf>
              <font>
                <strike/>
                <color theme="0" tint="-0.14996795556505021"/>
              </font>
              <fill>
                <patternFill>
                  <bgColor theme="0"/>
                </patternFill>
              </fill>
            </x14:dxf>
          </x14:cfRule>
          <xm:sqref>H55:K60</xm:sqref>
        </x14:conditionalFormatting>
        <x14:conditionalFormatting xmlns:xm="http://schemas.microsoft.com/office/excel/2006/main">
          <x14:cfRule type="expression" priority="318" id="{2EEDC8AC-0DFB-4DD6-ADD9-4AF138013D0A}">
            <xm:f>NOT(Projektgrundlagen!$I$25)</xm:f>
            <x14:dxf>
              <font>
                <strike/>
                <color theme="0" tint="-0.14996795556505021"/>
              </font>
              <fill>
                <patternFill>
                  <bgColor theme="0"/>
                </patternFill>
              </fill>
            </x14:dxf>
          </x14:cfRule>
          <xm:sqref>K148:K150</xm:sqref>
        </x14:conditionalFormatting>
        <x14:conditionalFormatting xmlns:xm="http://schemas.microsoft.com/office/excel/2006/main">
          <x14:cfRule type="expression" priority="682" id="{1A7A6C38-E56E-48D2-B10F-74CF7E8F6043}">
            <xm:f>NOT(Projektgrundlagen!$I$25)</xm:f>
            <x14:dxf>
              <font>
                <strike/>
                <color theme="0" tint="-0.14996795556505021"/>
              </font>
              <fill>
                <patternFill>
                  <bgColor theme="0"/>
                </patternFill>
              </fill>
            </x14:dxf>
          </x14:cfRule>
          <xm:sqref>K152</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tabColor theme="7" tint="0.79998168889431442"/>
    <pageSetUpPr fitToPage="1"/>
  </sheetPr>
  <dimension ref="A1:P142"/>
  <sheetViews>
    <sheetView showGridLines="0" zoomScaleNormal="100" zoomScaleSheetLayoutView="110" workbookViewId="0">
      <pane ySplit="12" topLeftCell="A13" activePane="bottomLeft" state="frozen"/>
      <selection activeCell="F38" sqref="F38"/>
      <selection pane="bottomLeft" activeCell="F5" sqref="F5:G5"/>
    </sheetView>
  </sheetViews>
  <sheetFormatPr baseColWidth="10" defaultColWidth="0" defaultRowHeight="16.8" zeroHeight="1"/>
  <cols>
    <col min="1" max="1" width="5.6640625" style="531" customWidth="1"/>
    <col min="2" max="2" width="3.33203125" style="94" customWidth="1"/>
    <col min="3" max="3" width="4.109375" style="94" customWidth="1"/>
    <col min="4" max="4" width="3.33203125" style="94" customWidth="1"/>
    <col min="5" max="5" width="2.6640625" style="94" customWidth="1"/>
    <col min="6" max="6" width="44.44140625" style="94" customWidth="1"/>
    <col min="7" max="7" width="12.33203125" style="94" customWidth="1"/>
    <col min="8" max="9" width="7.33203125" style="94" customWidth="1"/>
    <col min="10" max="10" width="12.33203125" style="94" customWidth="1"/>
    <col min="11" max="11" width="12.6640625" style="95" customWidth="1"/>
    <col min="12" max="12" width="2.6640625" style="126" customWidth="1"/>
    <col min="13" max="13" width="11.44140625" style="131" hidden="1" customWidth="1"/>
    <col min="14" max="16" width="0" style="132" hidden="1" customWidth="1"/>
    <col min="17" max="16384" width="10.6640625" style="132" hidden="1"/>
  </cols>
  <sheetData>
    <row r="1" spans="1:16"/>
    <row r="2" spans="1:16" s="129" customFormat="1" ht="16.5" customHeight="1">
      <c r="A2" s="469"/>
      <c r="B2" s="1515" t="str">
        <f>Projektgrundlagen!L20</f>
        <v xml:space="preserve">Objektplanung Gebäude </v>
      </c>
      <c r="C2" s="1515"/>
      <c r="D2" s="1515"/>
      <c r="E2" s="1515"/>
      <c r="F2" s="1515"/>
      <c r="G2" s="1516"/>
      <c r="H2" s="1635" t="str">
        <f>IF(Projektgrundlagen!F2="","",Projektgrundlagen!F2)</f>
        <v>VII.10.4</v>
      </c>
      <c r="I2" s="1599"/>
      <c r="J2" s="1599" t="s">
        <v>330</v>
      </c>
      <c r="K2" s="1600"/>
      <c r="L2" s="1742" t="s">
        <v>840</v>
      </c>
      <c r="M2" s="128" t="s">
        <v>59</v>
      </c>
      <c r="P2" s="207" t="s">
        <v>169</v>
      </c>
    </row>
    <row r="3" spans="1:16" s="129" customFormat="1">
      <c r="A3" s="469"/>
      <c r="B3" s="1529" t="s">
        <v>475</v>
      </c>
      <c r="C3" s="1529"/>
      <c r="D3" s="1529"/>
      <c r="E3" s="1529"/>
      <c r="F3" s="1529"/>
      <c r="G3" s="1530"/>
      <c r="H3" s="1636" t="str">
        <f>IF(Projektgrundlagen!F3="","",Projektgrundlagen!F3)</f>
        <v>Vertrags-Nr.:</v>
      </c>
      <c r="I3" s="1637"/>
      <c r="J3" s="1632" t="str">
        <f>IF(Projektgrundlagen!G3="","",Projektgrundlagen!G3)</f>
        <v>000.792.717</v>
      </c>
      <c r="K3" s="1633"/>
      <c r="L3" s="1742"/>
      <c r="M3" s="130"/>
      <c r="P3" s="129" t="str">
        <f ca="1">MID(CELL("dateiname",A2),FIND("]",CELL("dateiname",A2))+1,255)</f>
        <v>HB-D2 Besondere Lstg Bund</v>
      </c>
    </row>
    <row r="4" spans="1:16" s="129" customFormat="1" ht="7.5" customHeight="1">
      <c r="A4" s="469"/>
      <c r="B4" s="373"/>
      <c r="C4" s="373"/>
      <c r="D4" s="373"/>
      <c r="E4" s="373"/>
      <c r="F4" s="373"/>
      <c r="G4" s="392"/>
      <c r="H4" s="146"/>
      <c r="I4" s="146"/>
      <c r="J4" s="189"/>
      <c r="K4" s="189"/>
      <c r="L4" s="1742"/>
      <c r="M4" s="130"/>
    </row>
    <row r="5" spans="1:16" s="129" customFormat="1">
      <c r="A5" s="469"/>
      <c r="B5" s="1641" t="str">
        <f>IF(Projektgrundlagen!B5="","",Projektgrundlagen!B5)</f>
        <v>Maßnahmennr:</v>
      </c>
      <c r="C5" s="1642"/>
      <c r="D5" s="1642"/>
      <c r="E5" s="1642"/>
      <c r="F5" s="1707" t="str">
        <f>IF(Projektgrundlagen!E5="","",Projektgrundlagen!E5)</f>
        <v>B14HA150700001</v>
      </c>
      <c r="G5" s="1707"/>
      <c r="H5" s="1638" t="str">
        <f>IF(Projektgrundlagen!F5="","",Projektgrundlagen!F5)</f>
        <v>Vergabe-Nr.:</v>
      </c>
      <c r="I5" s="1638"/>
      <c r="J5" s="1607" t="str">
        <f>IF(Projektgrundlagen!G5="","",Projektgrundlagen!G5)</f>
        <v>26-004187</v>
      </c>
      <c r="K5" s="1634"/>
      <c r="L5" s="1742"/>
      <c r="M5" s="130"/>
    </row>
    <row r="6" spans="1:16" s="129" customFormat="1">
      <c r="A6" s="469"/>
      <c r="B6" s="1643" t="str">
        <f>IF(Projektgrundlagen!B6="","",Projektgrundlagen!B6)</f>
        <v>Maßnahme:</v>
      </c>
      <c r="C6" s="1644"/>
      <c r="D6" s="1644"/>
      <c r="E6" s="1644"/>
      <c r="F6" s="1647" t="str">
        <f>IF(Projektgrundlagen!E6="","",Projektgrundlagen!E6)</f>
        <v>Neubau ASG TUM Campus Taufkirchen / Ottobrunn</v>
      </c>
      <c r="G6" s="1647"/>
      <c r="H6" s="1647"/>
      <c r="I6" s="1647"/>
      <c r="J6" s="1647"/>
      <c r="K6" s="1648"/>
      <c r="L6" s="1742"/>
      <c r="M6" s="130"/>
    </row>
    <row r="7" spans="1:16" s="129" customFormat="1">
      <c r="A7" s="469"/>
      <c r="B7" s="1645" t="str">
        <f>IF(Projektgrundlagen!B7="","",Projektgrundlagen!B7)</f>
        <v/>
      </c>
      <c r="C7" s="1646"/>
      <c r="D7" s="1646"/>
      <c r="E7" s="1646"/>
      <c r="F7" s="1649" t="str">
        <f>IF(Projektgrundlagen!E7="","",Projektgrundlagen!E7)</f>
        <v/>
      </c>
      <c r="G7" s="1649"/>
      <c r="H7" s="1649"/>
      <c r="I7" s="1649"/>
      <c r="J7" s="1649"/>
      <c r="K7" s="1650"/>
      <c r="L7" s="1742"/>
      <c r="M7" s="130"/>
    </row>
    <row r="8" spans="1:16" s="129" customFormat="1">
      <c r="A8" s="469"/>
      <c r="B8" s="1618" t="str">
        <f>IF(Projektgrundlagen!B8="","",Projektgrundlagen!B8)</f>
        <v>Bieter:</v>
      </c>
      <c r="C8" s="1619"/>
      <c r="D8" s="1619"/>
      <c r="E8" s="1619"/>
      <c r="F8" s="1708" t="str">
        <f>IF(Projektgrundlagen!E8="","",Projektgrundlagen!E8)</f>
        <v/>
      </c>
      <c r="G8" s="1708"/>
      <c r="H8" s="1708"/>
      <c r="I8" s="1708"/>
      <c r="J8" s="1708"/>
      <c r="K8" s="1709"/>
      <c r="L8" s="1742"/>
      <c r="M8" s="130"/>
    </row>
    <row r="9" spans="1:16" s="129" customFormat="1">
      <c r="A9" s="469"/>
      <c r="B9" s="374"/>
      <c r="C9" s="353"/>
      <c r="D9" s="353"/>
      <c r="E9" s="374"/>
      <c r="F9" s="374"/>
      <c r="G9" s="374"/>
      <c r="H9" s="374"/>
      <c r="I9" s="374"/>
      <c r="J9" s="374"/>
      <c r="K9" s="374"/>
      <c r="L9" s="125"/>
      <c r="M9" s="130"/>
    </row>
    <row r="10" spans="1:16" s="129" customFormat="1" ht="27" customHeight="1">
      <c r="A10" s="469"/>
      <c r="B10" s="1737" t="s">
        <v>857</v>
      </c>
      <c r="C10" s="1737"/>
      <c r="D10" s="1737"/>
      <c r="E10" s="1737"/>
      <c r="F10" s="1737"/>
      <c r="G10" s="792" t="s">
        <v>379</v>
      </c>
      <c r="H10" s="1738" t="s">
        <v>860</v>
      </c>
      <c r="I10" s="1739"/>
      <c r="J10" s="790" t="s">
        <v>378</v>
      </c>
      <c r="K10" s="791" t="s">
        <v>380</v>
      </c>
      <c r="L10" s="125"/>
      <c r="M10" s="130"/>
      <c r="O10" s="937" t="s">
        <v>420</v>
      </c>
    </row>
    <row r="11" spans="1:16" s="129" customFormat="1" ht="27.6" customHeight="1">
      <c r="A11" s="469"/>
      <c r="B11" s="1743" t="str">
        <f>IF(Projektgrundlagen!I26,"","Besondere Leistungen Hochbau Bund sind nicht Teil dieser Honorarermittlung!")</f>
        <v>Besondere Leistungen Hochbau Bund sind nicht Teil dieser Honorarermittlung!</v>
      </c>
      <c r="C11" s="1743"/>
      <c r="D11" s="1743"/>
      <c r="E11" s="1743"/>
      <c r="F11" s="1743"/>
      <c r="G11" s="602"/>
      <c r="H11" s="794" t="str">
        <f>IF(AND('E Honorarberechnung'!I22=0,'E Honorarberechnung'!L14,NOT('E Honorarberechnung'!M14)),"Fehlende Angabe des Basishonorarsatzes!",IF(AND('E Honorarberechnung'!I23=0,'E Honorarberechnung'!M14,NOT('E Honorarberechnung'!L14)),"Fehlende Angabe des Honorarsatzes!",""))</f>
        <v/>
      </c>
      <c r="I11" s="795"/>
      <c r="J11" s="603"/>
      <c r="K11" s="601"/>
      <c r="L11" s="125"/>
      <c r="M11" s="130"/>
      <c r="O11" s="1723">
        <f>IF(AND('E Honorarberechnung'!L14,NOT('E Honorarberechnung'!M14)),'E Honorarberechnung'!P36,IF(AND('E Honorarberechnung'!M14,NOT('E Honorarberechnung'!L14)),'E Honorarberechnung'!P36,""))</f>
        <v>5605210.5375046246</v>
      </c>
      <c r="P11" s="1723"/>
    </row>
    <row r="12" spans="1:16" ht="7.5" customHeight="1">
      <c r="B12" s="269"/>
      <c r="C12" s="1001"/>
      <c r="D12" s="176"/>
      <c r="E12" s="176"/>
      <c r="F12" s="173"/>
      <c r="G12" s="177"/>
      <c r="H12" s="173"/>
      <c r="I12" s="173"/>
      <c r="J12" s="178"/>
      <c r="K12" s="325"/>
    </row>
    <row r="13" spans="1:16" ht="22.5" customHeight="1">
      <c r="B13" s="585" t="s">
        <v>192</v>
      </c>
      <c r="C13" s="183"/>
      <c r="D13" s="183"/>
      <c r="E13" s="183"/>
      <c r="F13" s="183"/>
      <c r="G13" s="183"/>
      <c r="H13" s="541"/>
      <c r="I13" s="541"/>
      <c r="J13" s="586"/>
      <c r="K13" s="587"/>
      <c r="O13" s="428" t="s">
        <v>240</v>
      </c>
      <c r="P13" s="428" t="s">
        <v>337</v>
      </c>
    </row>
    <row r="14" spans="1:16" ht="17.399999999999999">
      <c r="B14" s="100"/>
      <c r="C14" s="1144" t="s">
        <v>43</v>
      </c>
      <c r="D14" s="939"/>
      <c r="E14" s="940"/>
      <c r="F14" s="1149" t="s">
        <v>694</v>
      </c>
      <c r="G14" s="448"/>
      <c r="H14" s="1716"/>
      <c r="I14" s="1717"/>
      <c r="J14" s="961"/>
      <c r="K14" s="440" t="str">
        <f>IF(M14,IF(O14,$O$11*H14%,IF(P14,J14)),"")</f>
        <v/>
      </c>
      <c r="M14" s="131" t="b">
        <v>0</v>
      </c>
      <c r="O14" s="132" t="b">
        <f>AND(M14,OR(AND(G14="",J14=""),G14="v.H.-Satz"))</f>
        <v>0</v>
      </c>
      <c r="P14" s="132" t="b">
        <f>AND(M14,OR(G14="",G14="pauschal"))</f>
        <v>0</v>
      </c>
    </row>
    <row r="15" spans="1:16" s="134" customFormat="1">
      <c r="A15" s="584"/>
      <c r="B15" s="188"/>
      <c r="C15" s="998"/>
      <c r="D15" s="672"/>
      <c r="E15" s="432"/>
      <c r="F15" s="676"/>
      <c r="G15" s="670"/>
      <c r="H15" s="962"/>
      <c r="I15" s="963"/>
      <c r="J15" s="669"/>
      <c r="K15" s="447"/>
      <c r="L15" s="127"/>
      <c r="M15" s="133"/>
    </row>
    <row r="16" spans="1:16" ht="17.399999999999999">
      <c r="B16" s="100"/>
      <c r="C16" s="1145" t="s">
        <v>42</v>
      </c>
      <c r="D16" s="941"/>
      <c r="E16" s="940"/>
      <c r="F16" s="1149" t="s">
        <v>695</v>
      </c>
      <c r="G16" s="448"/>
      <c r="H16" s="1711"/>
      <c r="I16" s="1712"/>
      <c r="J16" s="964"/>
      <c r="K16" s="439" t="str">
        <f>IF(M16,IF(O16,$O$11*H16%,IF(P16,J16)),"")</f>
        <v/>
      </c>
      <c r="M16" s="131" t="b">
        <v>0</v>
      </c>
      <c r="O16" s="132" t="b">
        <f>AND(M16,OR(AND(G16="",J16=""),G16="v.H.-Satz"))</f>
        <v>0</v>
      </c>
      <c r="P16" s="132" t="b">
        <f>AND(M16,OR(G16="",G16="pauschal"))</f>
        <v>0</v>
      </c>
    </row>
    <row r="17" spans="1:16" s="134" customFormat="1" ht="39.6">
      <c r="A17" s="584"/>
      <c r="B17" s="188"/>
      <c r="C17" s="992"/>
      <c r="D17" s="673"/>
      <c r="E17" s="432"/>
      <c r="F17" s="676" t="s">
        <v>696</v>
      </c>
      <c r="G17" s="670"/>
      <c r="H17" s="965"/>
      <c r="I17" s="966"/>
      <c r="J17" s="670"/>
      <c r="K17" s="446"/>
      <c r="L17" s="127"/>
      <c r="M17" s="133"/>
    </row>
    <row r="18" spans="1:16" ht="17.399999999999999">
      <c r="B18" s="100"/>
      <c r="C18" s="1145" t="s">
        <v>41</v>
      </c>
      <c r="D18" s="941"/>
      <c r="E18" s="940"/>
      <c r="F18" s="1149" t="s">
        <v>697</v>
      </c>
      <c r="G18" s="448"/>
      <c r="H18" s="1711"/>
      <c r="I18" s="1712"/>
      <c r="J18" s="964"/>
      <c r="K18" s="439" t="str">
        <f>IF(M18,IF(O18,$O$11*H18%,IF(P18,J18)),"")</f>
        <v/>
      </c>
      <c r="M18" s="131" t="b">
        <v>0</v>
      </c>
      <c r="O18" s="132" t="b">
        <f>AND(M18,OR(AND(G18="",J18=""),G18="v.H.-Satz"))</f>
        <v>0</v>
      </c>
      <c r="P18" s="132" t="b">
        <f>AND(M18,OR(G18="",G18="pauschal"))</f>
        <v>0</v>
      </c>
    </row>
    <row r="19" spans="1:16" s="134" customFormat="1" ht="52.8">
      <c r="A19" s="584"/>
      <c r="B19" s="188"/>
      <c r="C19" s="992"/>
      <c r="D19" s="673"/>
      <c r="E19" s="432"/>
      <c r="F19" s="960" t="s">
        <v>698</v>
      </c>
      <c r="G19" s="670"/>
      <c r="H19" s="965"/>
      <c r="I19" s="966"/>
      <c r="J19" s="670"/>
      <c r="K19" s="446"/>
      <c r="L19" s="127"/>
      <c r="M19" s="133"/>
    </row>
    <row r="20" spans="1:16" ht="17.399999999999999">
      <c r="B20" s="100"/>
      <c r="C20" s="1146" t="s">
        <v>193</v>
      </c>
      <c r="D20" s="941"/>
      <c r="E20" s="940"/>
      <c r="F20" s="1149" t="s">
        <v>606</v>
      </c>
      <c r="G20" s="448"/>
      <c r="H20" s="1711"/>
      <c r="I20" s="1712"/>
      <c r="J20" s="964"/>
      <c r="K20" s="439" t="str">
        <f>IF(M20,IF(O20,$O$11*H20%,IF(P20,J20)),"")</f>
        <v/>
      </c>
      <c r="M20" s="131" t="b">
        <v>0</v>
      </c>
      <c r="O20" s="132" t="b">
        <f>AND(M20,OR(AND(G20="",J20=""),G20="v.H.-Satz"))</f>
        <v>0</v>
      </c>
      <c r="P20" s="132" t="b">
        <f>AND(M20,OR(G20="",G20="pauschal"))</f>
        <v>0</v>
      </c>
    </row>
    <row r="21" spans="1:16" s="134" customFormat="1" ht="66">
      <c r="A21" s="584"/>
      <c r="B21" s="188"/>
      <c r="C21" s="992"/>
      <c r="D21" s="673"/>
      <c r="E21" s="432"/>
      <c r="F21" s="676" t="s">
        <v>607</v>
      </c>
      <c r="G21" s="670"/>
      <c r="H21" s="965"/>
      <c r="I21" s="966"/>
      <c r="J21" s="670"/>
      <c r="K21" s="446"/>
      <c r="L21" s="127"/>
      <c r="M21" s="133"/>
    </row>
    <row r="22" spans="1:16" ht="17.399999999999999">
      <c r="B22" s="100"/>
      <c r="C22" s="1146" t="s">
        <v>194</v>
      </c>
      <c r="D22" s="941"/>
      <c r="E22" s="940"/>
      <c r="F22" s="1149" t="s">
        <v>608</v>
      </c>
      <c r="G22" s="448"/>
      <c r="H22" s="1711"/>
      <c r="I22" s="1712"/>
      <c r="J22" s="964"/>
      <c r="K22" s="439" t="str">
        <f>IF(M22,IF(O22,$O$11*H22%,IF(P22,J22)),"")</f>
        <v/>
      </c>
      <c r="M22" s="131" t="b">
        <v>0</v>
      </c>
      <c r="O22" s="132" t="b">
        <f>AND(M22,OR(AND(G22="",J22=""),G22="v.H.-Satz"))</f>
        <v>0</v>
      </c>
      <c r="P22" s="132" t="b">
        <f>AND(M22,OR(G22="",G22="pauschal"))</f>
        <v>0</v>
      </c>
    </row>
    <row r="23" spans="1:16" s="134" customFormat="1" ht="105.6">
      <c r="A23" s="584"/>
      <c r="B23" s="188"/>
      <c r="C23" s="992"/>
      <c r="D23" s="673"/>
      <c r="E23" s="432"/>
      <c r="F23" s="676" t="s">
        <v>824</v>
      </c>
      <c r="G23" s="670"/>
      <c r="H23" s="965"/>
      <c r="I23" s="966"/>
      <c r="J23" s="670"/>
      <c r="K23" s="446"/>
      <c r="L23" s="127"/>
      <c r="M23" s="133"/>
    </row>
    <row r="24" spans="1:16" ht="17.399999999999999">
      <c r="B24" s="100"/>
      <c r="C24" s="1146" t="s">
        <v>195</v>
      </c>
      <c r="D24" s="941"/>
      <c r="E24" s="940"/>
      <c r="F24" s="1149" t="s">
        <v>609</v>
      </c>
      <c r="G24" s="448"/>
      <c r="H24" s="1711"/>
      <c r="I24" s="1712"/>
      <c r="J24" s="964"/>
      <c r="K24" s="439" t="str">
        <f>IF(M24,IF(O24,$O$11*H24%,IF(P24,J24)),"")</f>
        <v/>
      </c>
      <c r="M24" s="131" t="b">
        <v>0</v>
      </c>
      <c r="O24" s="132" t="b">
        <f>AND(M24,OR(AND(G24="",J24=""),G24="v.H.-Satz"))</f>
        <v>0</v>
      </c>
      <c r="P24" s="132" t="b">
        <f>AND(M24,OR(G24="",G24="pauschal"))</f>
        <v>0</v>
      </c>
    </row>
    <row r="25" spans="1:16" s="134" customFormat="1" ht="132">
      <c r="A25" s="584"/>
      <c r="B25" s="188"/>
      <c r="C25" s="992"/>
      <c r="D25" s="673"/>
      <c r="E25" s="432"/>
      <c r="F25" s="960" t="s">
        <v>821</v>
      </c>
      <c r="G25" s="670"/>
      <c r="H25" s="965"/>
      <c r="I25" s="966"/>
      <c r="J25" s="670"/>
      <c r="K25" s="446"/>
      <c r="L25" s="127"/>
      <c r="M25" s="133"/>
    </row>
    <row r="26" spans="1:16" ht="17.399999999999999">
      <c r="B26" s="100"/>
      <c r="C26" s="1146" t="s">
        <v>430</v>
      </c>
      <c r="D26" s="941"/>
      <c r="E26" s="940"/>
      <c r="F26" s="1149" t="s">
        <v>611</v>
      </c>
      <c r="G26" s="448"/>
      <c r="H26" s="1711"/>
      <c r="I26" s="1712"/>
      <c r="J26" s="964"/>
      <c r="K26" s="439" t="str">
        <f>IF(M26,IF(O26,$O$11*H26%,IF(P26,J26)),"")</f>
        <v/>
      </c>
      <c r="M26" s="131" t="b">
        <v>0</v>
      </c>
      <c r="O26" s="132" t="b">
        <f>AND(M26,OR(AND(G26="",J26=""),G26="v.H.-Satz"))</f>
        <v>0</v>
      </c>
      <c r="P26" s="132" t="b">
        <f>AND(M26,OR(G26="",G26="pauschal"))</f>
        <v>0</v>
      </c>
    </row>
    <row r="27" spans="1:16" s="134" customFormat="1" ht="79.2">
      <c r="A27" s="584"/>
      <c r="B27" s="188"/>
      <c r="C27" s="992"/>
      <c r="D27" s="673"/>
      <c r="E27" s="432"/>
      <c r="F27" s="676" t="s">
        <v>825</v>
      </c>
      <c r="G27" s="670"/>
      <c r="H27" s="965"/>
      <c r="I27" s="966"/>
      <c r="J27" s="670"/>
      <c r="K27" s="446"/>
      <c r="L27" s="127"/>
      <c r="M27" s="133"/>
    </row>
    <row r="28" spans="1:16" ht="17.399999999999999">
      <c r="B28" s="100"/>
      <c r="C28" s="1146" t="s">
        <v>605</v>
      </c>
      <c r="D28" s="941"/>
      <c r="E28" s="940"/>
      <c r="F28" s="1149" t="s">
        <v>612</v>
      </c>
      <c r="G28" s="448"/>
      <c r="H28" s="1711"/>
      <c r="I28" s="1712"/>
      <c r="J28" s="964"/>
      <c r="K28" s="439" t="str">
        <f>IF(M28,IF(O28,$O$11*H28%,IF(P28,J28)),"")</f>
        <v/>
      </c>
      <c r="M28" s="131" t="b">
        <v>0</v>
      </c>
      <c r="O28" s="132" t="b">
        <f>AND(M28,OR(AND(G28="",J28=""),G28="v.H.-Satz"))</f>
        <v>0</v>
      </c>
      <c r="P28" s="132" t="b">
        <f>AND(M28,OR(G28="",G28="pauschal"))</f>
        <v>0</v>
      </c>
    </row>
    <row r="29" spans="1:16" s="134" customFormat="1" ht="92.4">
      <c r="A29" s="584"/>
      <c r="B29" s="188"/>
      <c r="C29" s="992"/>
      <c r="D29" s="673"/>
      <c r="E29" s="432"/>
      <c r="F29" s="960" t="s">
        <v>827</v>
      </c>
      <c r="G29" s="670"/>
      <c r="H29" s="965"/>
      <c r="I29" s="966"/>
      <c r="J29" s="670"/>
      <c r="K29" s="446"/>
      <c r="L29" s="127"/>
      <c r="M29" s="133"/>
    </row>
    <row r="30" spans="1:16" ht="17.399999999999999">
      <c r="B30" s="100"/>
      <c r="C30" s="1146" t="s">
        <v>826</v>
      </c>
      <c r="D30" s="941"/>
      <c r="E30" s="940"/>
      <c r="F30" s="1149" t="s">
        <v>613</v>
      </c>
      <c r="G30" s="448"/>
      <c r="H30" s="1711"/>
      <c r="I30" s="1712"/>
      <c r="J30" s="964"/>
      <c r="K30" s="439" t="str">
        <f>IF(M30,IF(O30,$O$11*H30%,IF(P30,J30)),"")</f>
        <v/>
      </c>
      <c r="M30" s="131" t="b">
        <v>0</v>
      </c>
      <c r="O30" s="132" t="b">
        <f>AND(M30,OR(AND(G30="",J30=""),G30="v.H.-Satz"))</f>
        <v>0</v>
      </c>
      <c r="P30" s="132" t="b">
        <f>AND(M30,OR(G30="",G30="pauschal"))</f>
        <v>0</v>
      </c>
    </row>
    <row r="31" spans="1:16" s="134" customFormat="1" ht="39.6">
      <c r="A31" s="584"/>
      <c r="B31" s="188"/>
      <c r="C31" s="992"/>
      <c r="D31" s="673"/>
      <c r="E31" s="432"/>
      <c r="F31" s="676" t="s">
        <v>743</v>
      </c>
      <c r="G31" s="670"/>
      <c r="H31" s="965"/>
      <c r="I31" s="966"/>
      <c r="J31" s="670"/>
      <c r="K31" s="446"/>
      <c r="L31" s="127"/>
      <c r="M31" s="133"/>
    </row>
    <row r="32" spans="1:16" ht="17.399999999999999">
      <c r="B32" s="100"/>
      <c r="C32" s="1146" t="s">
        <v>601</v>
      </c>
      <c r="D32" s="941"/>
      <c r="E32" s="940"/>
      <c r="F32" s="1149" t="s">
        <v>614</v>
      </c>
      <c r="G32" s="448"/>
      <c r="H32" s="1711"/>
      <c r="I32" s="1712"/>
      <c r="J32" s="964"/>
      <c r="K32" s="439" t="str">
        <f>IF(M32,IF(O32,$O$11*H32%,IF(P32,J32)),"")</f>
        <v/>
      </c>
      <c r="M32" s="131" t="b">
        <v>0</v>
      </c>
      <c r="O32" s="132" t="b">
        <f>AND(M32,OR(AND(G32="",J32=""),G32="v.H.-Satz"))</f>
        <v>0</v>
      </c>
      <c r="P32" s="132" t="b">
        <f>AND(M32,OR(G32="",G32="pauschal"))</f>
        <v>0</v>
      </c>
    </row>
    <row r="33" spans="1:16" s="134" customFormat="1" ht="39.6">
      <c r="A33" s="584"/>
      <c r="B33" s="188"/>
      <c r="C33" s="992"/>
      <c r="D33" s="673"/>
      <c r="E33" s="432"/>
      <c r="F33" s="960" t="s">
        <v>744</v>
      </c>
      <c r="G33" s="670"/>
      <c r="H33" s="965"/>
      <c r="I33" s="966"/>
      <c r="J33" s="670"/>
      <c r="K33" s="446"/>
      <c r="L33" s="127"/>
      <c r="M33" s="133"/>
    </row>
    <row r="34" spans="1:16" ht="17.399999999999999">
      <c r="B34" s="100"/>
      <c r="C34" s="1146" t="s">
        <v>602</v>
      </c>
      <c r="D34" s="941"/>
      <c r="E34" s="940"/>
      <c r="F34" s="1149" t="s">
        <v>615</v>
      </c>
      <c r="G34" s="448"/>
      <c r="H34" s="1711"/>
      <c r="I34" s="1712"/>
      <c r="J34" s="964"/>
      <c r="K34" s="439" t="str">
        <f>IF(M34,IF(O34,$O$11*H34%,IF(P34,J34)),"")</f>
        <v/>
      </c>
      <c r="M34" s="131" t="b">
        <v>0</v>
      </c>
      <c r="O34" s="132" t="b">
        <f>AND(M34,OR(AND(G34="",J34=""),G34="v.H.-Satz"))</f>
        <v>0</v>
      </c>
      <c r="P34" s="132" t="b">
        <f>AND(M34,OR(G34="",G34="pauschal"))</f>
        <v>0</v>
      </c>
    </row>
    <row r="35" spans="1:16" s="134" customFormat="1" ht="39.6">
      <c r="A35" s="584"/>
      <c r="B35" s="188"/>
      <c r="C35" s="992"/>
      <c r="D35" s="673"/>
      <c r="E35" s="432"/>
      <c r="F35" s="676" t="s">
        <v>745</v>
      </c>
      <c r="G35" s="670"/>
      <c r="H35" s="965"/>
      <c r="I35" s="966"/>
      <c r="J35" s="670"/>
      <c r="K35" s="446"/>
      <c r="L35" s="127"/>
      <c r="M35" s="133"/>
    </row>
    <row r="36" spans="1:16" ht="17.399999999999999">
      <c r="B36" s="100"/>
      <c r="C36" s="1146" t="s">
        <v>603</v>
      </c>
      <c r="D36" s="941"/>
      <c r="E36" s="940"/>
      <c r="F36" s="1149" t="s">
        <v>616</v>
      </c>
      <c r="G36" s="448"/>
      <c r="H36" s="1711"/>
      <c r="I36" s="1712"/>
      <c r="J36" s="964"/>
      <c r="K36" s="439" t="str">
        <f>IF(M36,IF(O36,$O$11*H36%,IF(P36,J36)),"")</f>
        <v/>
      </c>
      <c r="M36" s="131" t="b">
        <v>0</v>
      </c>
      <c r="O36" s="132" t="b">
        <f>AND(M36,OR(AND(G36="",J36=""),G36="v.H.-Satz"))</f>
        <v>0</v>
      </c>
      <c r="P36" s="132" t="b">
        <f>AND(M36,OR(G36="",G36="pauschal"))</f>
        <v>0</v>
      </c>
    </row>
    <row r="37" spans="1:16" s="134" customFormat="1" ht="39.6">
      <c r="A37" s="584"/>
      <c r="B37" s="188"/>
      <c r="C37" s="992"/>
      <c r="D37" s="673"/>
      <c r="E37" s="432"/>
      <c r="F37" s="960" t="s">
        <v>746</v>
      </c>
      <c r="G37" s="670"/>
      <c r="H37" s="965"/>
      <c r="I37" s="966"/>
      <c r="J37" s="670"/>
      <c r="K37" s="446"/>
      <c r="L37" s="127"/>
      <c r="M37" s="133"/>
    </row>
    <row r="38" spans="1:16" ht="17.399999999999999">
      <c r="B38" s="100"/>
      <c r="C38" s="1147" t="s">
        <v>604</v>
      </c>
      <c r="D38" s="941"/>
      <c r="E38" s="940"/>
      <c r="F38" s="1148" t="s">
        <v>617</v>
      </c>
      <c r="G38" s="448"/>
      <c r="H38" s="1711"/>
      <c r="I38" s="1712"/>
      <c r="J38" s="964"/>
      <c r="K38" s="439" t="str">
        <f>IF(M38,IF(O38,$O$11*H38%,IF(P38,J38)),"")</f>
        <v/>
      </c>
      <c r="M38" s="131" t="b">
        <v>0</v>
      </c>
      <c r="O38" s="132" t="b">
        <f>AND(M38,OR(AND(G38="",J38=""),G38="v.H.-Satz"))</f>
        <v>0</v>
      </c>
      <c r="P38" s="132" t="b">
        <f>AND(M38,OR(G38="",G38="pauschal"))</f>
        <v>0</v>
      </c>
    </row>
    <row r="39" spans="1:16">
      <c r="B39" s="321"/>
      <c r="C39" s="1007"/>
      <c r="D39" s="679"/>
      <c r="E39" s="322"/>
      <c r="F39" s="1085" t="s">
        <v>740</v>
      </c>
      <c r="G39" s="1140"/>
      <c r="H39" s="968"/>
      <c r="I39" s="968"/>
      <c r="J39" s="969"/>
      <c r="K39" s="343"/>
    </row>
    <row r="40" spans="1:16">
      <c r="B40" s="321"/>
      <c r="C40" s="1007"/>
      <c r="D40" s="679"/>
      <c r="E40" s="204"/>
      <c r="F40" s="1085" t="s">
        <v>741</v>
      </c>
      <c r="G40" s="1140"/>
      <c r="H40" s="344"/>
      <c r="I40" s="344"/>
      <c r="J40" s="677"/>
      <c r="K40" s="343"/>
    </row>
    <row r="41" spans="1:16">
      <c r="B41" s="321"/>
      <c r="C41" s="1007"/>
      <c r="D41" s="679"/>
      <c r="E41" s="322"/>
      <c r="F41" s="1085" t="s">
        <v>742</v>
      </c>
      <c r="G41" s="1140"/>
      <c r="H41" s="968"/>
      <c r="I41" s="968"/>
      <c r="J41" s="969"/>
      <c r="K41" s="343"/>
    </row>
    <row r="42" spans="1:16">
      <c r="B42" s="321"/>
      <c r="C42" s="1007"/>
      <c r="D42" s="679"/>
      <c r="E42" s="204"/>
      <c r="F42" s="1085" t="s">
        <v>800</v>
      </c>
      <c r="G42" s="1140"/>
      <c r="H42" s="344"/>
      <c r="I42" s="344"/>
      <c r="J42" s="677"/>
      <c r="K42" s="343"/>
    </row>
    <row r="43" spans="1:16" s="134" customFormat="1">
      <c r="A43" s="584"/>
      <c r="B43" s="188"/>
      <c r="C43" s="992"/>
      <c r="D43" s="673"/>
      <c r="E43" s="432"/>
      <c r="F43" s="711"/>
      <c r="G43" s="670"/>
      <c r="H43" s="965"/>
      <c r="I43" s="966"/>
      <c r="J43" s="670"/>
      <c r="K43" s="446"/>
      <c r="L43" s="127"/>
      <c r="M43" s="133"/>
    </row>
    <row r="44" spans="1:16" ht="17.399999999999999">
      <c r="B44" s="100"/>
      <c r="C44" s="1146" t="s">
        <v>737</v>
      </c>
      <c r="D44" s="941"/>
      <c r="E44" s="940"/>
      <c r="F44" s="1150"/>
      <c r="G44" s="448"/>
      <c r="H44" s="1711"/>
      <c r="I44" s="1712"/>
      <c r="J44" s="964"/>
      <c r="K44" s="439" t="str">
        <f>IF(M44,IF(O44,$O$11*H44%,IF(P44,J44)),"")</f>
        <v/>
      </c>
      <c r="M44" s="131" t="b">
        <v>0</v>
      </c>
      <c r="O44" s="132" t="b">
        <f>AND(M44,OR(AND(G44="",J44=""),G44="v.H.-Satz"))</f>
        <v>0</v>
      </c>
      <c r="P44" s="132" t="b">
        <f>AND(M44,OR(G44="",G44="pauschal"))</f>
        <v>0</v>
      </c>
    </row>
    <row r="45" spans="1:16" s="134" customFormat="1">
      <c r="A45" s="584"/>
      <c r="B45" s="188"/>
      <c r="C45" s="992"/>
      <c r="D45" s="673"/>
      <c r="E45" s="432"/>
      <c r="F45" s="711"/>
      <c r="G45" s="670"/>
      <c r="H45" s="965"/>
      <c r="I45" s="966"/>
      <c r="J45" s="670"/>
      <c r="K45" s="446"/>
      <c r="L45" s="127"/>
      <c r="M45" s="133"/>
    </row>
    <row r="46" spans="1:16" ht="17.399999999999999">
      <c r="B46" s="100"/>
      <c r="C46" s="1146" t="s">
        <v>738</v>
      </c>
      <c r="D46" s="941"/>
      <c r="E46" s="940"/>
      <c r="F46" s="1150"/>
      <c r="G46" s="448"/>
      <c r="H46" s="1711"/>
      <c r="I46" s="1712"/>
      <c r="J46" s="964"/>
      <c r="K46" s="439" t="str">
        <f>IF(M46,IF(O46,$O$11*H46%,IF(P46,J46)),"")</f>
        <v/>
      </c>
      <c r="M46" s="131" t="b">
        <v>0</v>
      </c>
      <c r="O46" s="132" t="b">
        <f>AND(M46,OR(AND(G46="",J46=""),G46="v.H.-Satz"))</f>
        <v>0</v>
      </c>
      <c r="P46" s="132" t="b">
        <f>AND(M46,OR(G46="",G46="pauschal"))</f>
        <v>0</v>
      </c>
    </row>
    <row r="47" spans="1:16" s="134" customFormat="1">
      <c r="A47" s="584"/>
      <c r="B47" s="188"/>
      <c r="C47" s="992"/>
      <c r="D47" s="673"/>
      <c r="E47" s="432"/>
      <c r="F47" s="711"/>
      <c r="G47" s="670"/>
      <c r="H47" s="965"/>
      <c r="I47" s="966"/>
      <c r="J47" s="670"/>
      <c r="K47" s="446"/>
      <c r="L47" s="127"/>
      <c r="M47" s="133"/>
    </row>
    <row r="48" spans="1:16" ht="17.399999999999999">
      <c r="B48" s="100"/>
      <c r="C48" s="1146" t="s">
        <v>739</v>
      </c>
      <c r="D48" s="941"/>
      <c r="E48" s="940"/>
      <c r="F48" s="1150"/>
      <c r="G48" s="448"/>
      <c r="H48" s="1711"/>
      <c r="I48" s="1712"/>
      <c r="J48" s="964"/>
      <c r="K48" s="439" t="str">
        <f>IF(M48,IF(O48,$O$11*H48%,IF(P48,J48)),"")</f>
        <v/>
      </c>
      <c r="M48" s="131" t="b">
        <v>0</v>
      </c>
      <c r="O48" s="132" t="b">
        <f>AND(M48,OR(AND(G48="",J48=""),G48="v.H.-Satz"))</f>
        <v>0</v>
      </c>
      <c r="P48" s="132" t="b">
        <f>AND(M48,OR(G48="",G48="pauschal"))</f>
        <v>0</v>
      </c>
    </row>
    <row r="49" spans="1:16" s="134" customFormat="1" ht="17.399999999999999" thickBot="1">
      <c r="A49" s="584"/>
      <c r="B49" s="188"/>
      <c r="C49" s="992"/>
      <c r="D49" s="674"/>
      <c r="E49" s="432"/>
      <c r="F49" s="711"/>
      <c r="G49" s="670"/>
      <c r="H49" s="965"/>
      <c r="I49" s="966"/>
      <c r="J49" s="671"/>
      <c r="K49" s="446"/>
      <c r="L49" s="127"/>
      <c r="M49" s="133"/>
    </row>
    <row r="50" spans="1:16" ht="22.65" customHeight="1" thickBot="1">
      <c r="B50" s="535"/>
      <c r="C50" s="1002" t="s">
        <v>10</v>
      </c>
      <c r="D50" s="592"/>
      <c r="E50" s="594"/>
      <c r="F50" s="427"/>
      <c r="G50" s="605"/>
      <c r="H50" s="427"/>
      <c r="I50" s="427"/>
      <c r="J50" s="667" t="s">
        <v>269</v>
      </c>
      <c r="K50" s="552">
        <f>IF(Projektgrundlagen!I26,IF(COUNT(K14:K49)&gt;0,SUM(K14:K49),""),0)</f>
        <v>0</v>
      </c>
    </row>
    <row r="51" spans="1:16">
      <c r="B51" s="241"/>
      <c r="C51" s="1003"/>
      <c r="D51" s="138"/>
      <c r="E51" s="138"/>
      <c r="F51" s="33"/>
      <c r="G51" s="139"/>
      <c r="H51" s="33"/>
      <c r="I51" s="33"/>
      <c r="J51" s="36"/>
      <c r="K51" s="174"/>
    </row>
    <row r="52" spans="1:16" ht="22.65" customHeight="1">
      <c r="B52" s="585" t="s">
        <v>160</v>
      </c>
      <c r="C52" s="183"/>
      <c r="D52" s="183"/>
      <c r="E52" s="183"/>
      <c r="F52" s="183"/>
      <c r="G52" s="183"/>
      <c r="H52" s="541"/>
      <c r="I52" s="541"/>
      <c r="J52" s="586"/>
      <c r="K52" s="588"/>
    </row>
    <row r="53" spans="1:16" ht="16.5" customHeight="1">
      <c r="B53" s="102"/>
      <c r="C53" s="1151" t="s">
        <v>40</v>
      </c>
      <c r="D53" s="939"/>
      <c r="E53" s="940"/>
      <c r="F53" s="1149" t="s">
        <v>617</v>
      </c>
      <c r="G53" s="448"/>
      <c r="H53" s="1716"/>
      <c r="I53" s="1717"/>
      <c r="J53" s="961"/>
      <c r="K53" s="440" t="str">
        <f>IF(M53,IF(O53,$O$11*H53%,IF(P53,J53)),"")</f>
        <v/>
      </c>
      <c r="M53" s="131" t="b">
        <v>0</v>
      </c>
      <c r="O53" s="132" t="b">
        <f>AND(M53,OR(AND(G53="",J53=""),G53="v.H.-Satz"))</f>
        <v>0</v>
      </c>
      <c r="P53" s="132" t="b">
        <f>AND(M53,OR(G53="",G53="pauschal"))</f>
        <v>0</v>
      </c>
    </row>
    <row r="54" spans="1:16">
      <c r="B54" s="1091"/>
      <c r="C54" s="1007"/>
      <c r="D54" s="679"/>
      <c r="E54" s="322"/>
      <c r="F54" s="1085" t="s">
        <v>740</v>
      </c>
      <c r="G54" s="1140"/>
      <c r="H54" s="968"/>
      <c r="I54" s="968"/>
      <c r="J54" s="969"/>
      <c r="K54" s="343"/>
    </row>
    <row r="55" spans="1:16">
      <c r="B55" s="321"/>
      <c r="C55" s="1007"/>
      <c r="D55" s="679"/>
      <c r="E55" s="204"/>
      <c r="F55" s="1085" t="s">
        <v>741</v>
      </c>
      <c r="G55" s="1140"/>
      <c r="H55" s="344"/>
      <c r="I55" s="344"/>
      <c r="J55" s="677"/>
      <c r="K55" s="343"/>
    </row>
    <row r="56" spans="1:16">
      <c r="B56" s="321"/>
      <c r="C56" s="1007"/>
      <c r="D56" s="679"/>
      <c r="E56" s="322"/>
      <c r="F56" s="1085" t="s">
        <v>742</v>
      </c>
      <c r="G56" s="1140"/>
      <c r="H56" s="968"/>
      <c r="I56" s="968"/>
      <c r="J56" s="969"/>
      <c r="K56" s="343"/>
    </row>
    <row r="57" spans="1:16">
      <c r="B57" s="321"/>
      <c r="C57" s="1007"/>
      <c r="D57" s="679"/>
      <c r="E57" s="204"/>
      <c r="F57" s="1085" t="s">
        <v>800</v>
      </c>
      <c r="G57" s="1140"/>
      <c r="H57" s="344"/>
      <c r="I57" s="344"/>
      <c r="J57" s="677"/>
      <c r="K57" s="343"/>
    </row>
    <row r="58" spans="1:16" s="134" customFormat="1">
      <c r="A58" s="584"/>
      <c r="B58" s="1088"/>
      <c r="C58" s="1009"/>
      <c r="D58" s="672"/>
      <c r="E58" s="432"/>
      <c r="F58" s="711"/>
      <c r="G58" s="670"/>
      <c r="H58" s="962"/>
      <c r="I58" s="963"/>
      <c r="J58" s="669"/>
      <c r="K58" s="447"/>
      <c r="L58" s="127"/>
      <c r="M58" s="133"/>
    </row>
    <row r="59" spans="1:16" ht="17.399999999999999">
      <c r="B59" s="102"/>
      <c r="C59" s="1145" t="s">
        <v>39</v>
      </c>
      <c r="D59" s="941"/>
      <c r="E59" s="940"/>
      <c r="F59" s="1149" t="s">
        <v>747</v>
      </c>
      <c r="G59" s="448"/>
      <c r="H59" s="1711"/>
      <c r="I59" s="1712"/>
      <c r="J59" s="964"/>
      <c r="K59" s="439" t="str">
        <f>IF(M59,IF(O59,$O$11*H59%,IF(P59,J59)),"")</f>
        <v/>
      </c>
      <c r="M59" s="131" t="b">
        <v>0</v>
      </c>
      <c r="O59" s="132" t="b">
        <f>AND(M59,OR(AND(G59="",J59=""),G59="v.H.-Satz"))</f>
        <v>0</v>
      </c>
      <c r="P59" s="132" t="b">
        <f>AND(M59,OR(G59="",G59="pauschal"))</f>
        <v>0</v>
      </c>
    </row>
    <row r="60" spans="1:16" s="134" customFormat="1">
      <c r="A60" s="584"/>
      <c r="B60" s="267"/>
      <c r="C60" s="992"/>
      <c r="D60" s="673"/>
      <c r="E60" s="432"/>
      <c r="F60" s="711"/>
      <c r="G60" s="670"/>
      <c r="H60" s="965"/>
      <c r="I60" s="966"/>
      <c r="J60" s="670"/>
      <c r="K60" s="446"/>
      <c r="L60" s="127"/>
      <c r="M60" s="133"/>
    </row>
    <row r="61" spans="1:16" ht="17.399999999999999">
      <c r="B61" s="102"/>
      <c r="C61" s="1145" t="s">
        <v>38</v>
      </c>
      <c r="D61" s="941"/>
      <c r="E61" s="940"/>
      <c r="F61" s="1149" t="s">
        <v>618</v>
      </c>
      <c r="G61" s="448"/>
      <c r="H61" s="1711"/>
      <c r="I61" s="1712"/>
      <c r="J61" s="964"/>
      <c r="K61" s="439" t="str">
        <f>IF(M61,IF(O61,$O$11*H61%,IF(P61,J61)),"")</f>
        <v/>
      </c>
      <c r="M61" s="131" t="b">
        <v>0</v>
      </c>
      <c r="O61" s="132" t="b">
        <f>AND(M61,OR(AND(G61="",J61=""),G61="v.H.-Satz"))</f>
        <v>0</v>
      </c>
      <c r="P61" s="132" t="b">
        <f>AND(M61,OR(G61="",G61="pauschal"))</f>
        <v>0</v>
      </c>
    </row>
    <row r="62" spans="1:16" s="134" customFormat="1" ht="132">
      <c r="A62" s="584"/>
      <c r="B62" s="267"/>
      <c r="C62" s="992"/>
      <c r="D62" s="673"/>
      <c r="E62" s="432"/>
      <c r="F62" s="960" t="s">
        <v>820</v>
      </c>
      <c r="G62" s="670"/>
      <c r="H62" s="965"/>
      <c r="I62" s="966"/>
      <c r="J62" s="670"/>
      <c r="K62" s="446"/>
      <c r="L62" s="127"/>
      <c r="M62" s="133"/>
    </row>
    <row r="63" spans="1:16" ht="17.399999999999999">
      <c r="B63" s="100"/>
      <c r="C63" s="1145" t="s">
        <v>196</v>
      </c>
      <c r="D63" s="941"/>
      <c r="E63" s="940"/>
      <c r="F63" s="1150"/>
      <c r="G63" s="448"/>
      <c r="H63" s="1711"/>
      <c r="I63" s="1712"/>
      <c r="J63" s="964"/>
      <c r="K63" s="439" t="str">
        <f>IF(M63,IF(O63,$O$11*H63%,IF(P63,J63)),"")</f>
        <v/>
      </c>
      <c r="M63" s="131" t="b">
        <v>0</v>
      </c>
      <c r="O63" s="132" t="b">
        <f>AND(M63,OR(AND(G63="",J63=""),G63="v.H.-Satz"))</f>
        <v>0</v>
      </c>
      <c r="P63" s="132" t="b">
        <f>AND(M63,OR(G63="",G63="pauschal"))</f>
        <v>0</v>
      </c>
    </row>
    <row r="64" spans="1:16" s="134" customFormat="1">
      <c r="A64" s="584"/>
      <c r="B64" s="188"/>
      <c r="C64" s="992"/>
      <c r="D64" s="673"/>
      <c r="E64" s="432"/>
      <c r="F64" s="711"/>
      <c r="G64" s="670"/>
      <c r="H64" s="965"/>
      <c r="I64" s="966"/>
      <c r="J64" s="670"/>
      <c r="K64" s="446"/>
      <c r="L64" s="127"/>
      <c r="M64" s="133"/>
    </row>
    <row r="65" spans="1:16" ht="17.399999999999999">
      <c r="B65" s="100"/>
      <c r="C65" s="1145" t="s">
        <v>197</v>
      </c>
      <c r="D65" s="941"/>
      <c r="E65" s="940"/>
      <c r="F65" s="1150"/>
      <c r="G65" s="448"/>
      <c r="H65" s="1711"/>
      <c r="I65" s="1712"/>
      <c r="J65" s="964"/>
      <c r="K65" s="439" t="str">
        <f>IF(M65,IF(O65,$O$11*H65%,IF(P65,J65)),"")</f>
        <v/>
      </c>
      <c r="M65" s="131" t="b">
        <v>0</v>
      </c>
      <c r="O65" s="132" t="b">
        <f>AND(M65,OR(AND(G65="",J65=""),G65="v.H.-Satz"))</f>
        <v>0</v>
      </c>
      <c r="P65" s="132" t="b">
        <f>AND(M65,OR(G65="",G65="pauschal"))</f>
        <v>0</v>
      </c>
    </row>
    <row r="66" spans="1:16" s="134" customFormat="1">
      <c r="A66" s="584"/>
      <c r="B66" s="188"/>
      <c r="C66" s="992"/>
      <c r="D66" s="673"/>
      <c r="E66" s="432"/>
      <c r="F66" s="711"/>
      <c r="G66" s="670"/>
      <c r="H66" s="965"/>
      <c r="I66" s="966"/>
      <c r="J66" s="670"/>
      <c r="K66" s="446"/>
      <c r="L66" s="127"/>
      <c r="M66" s="133"/>
    </row>
    <row r="67" spans="1:16" ht="17.399999999999999">
      <c r="B67" s="100"/>
      <c r="C67" s="1145" t="s">
        <v>198</v>
      </c>
      <c r="D67" s="941"/>
      <c r="E67" s="940"/>
      <c r="F67" s="1150"/>
      <c r="G67" s="448"/>
      <c r="H67" s="1711"/>
      <c r="I67" s="1712"/>
      <c r="J67" s="964"/>
      <c r="K67" s="439" t="str">
        <f>IF(M67,IF(O67,$O$11*H67%,IF(P67,J67)),"")</f>
        <v/>
      </c>
      <c r="M67" s="131" t="b">
        <v>0</v>
      </c>
      <c r="O67" s="132" t="b">
        <f>AND(M67,OR(AND(G67="",J67=""),G67="v.H.-Satz"))</f>
        <v>0</v>
      </c>
      <c r="P67" s="132" t="b">
        <f>AND(M67,OR(G67="",G67="pauschal"))</f>
        <v>0</v>
      </c>
    </row>
    <row r="68" spans="1:16" s="134" customFormat="1" ht="17.399999999999999" thickBot="1">
      <c r="A68" s="584"/>
      <c r="B68" s="188"/>
      <c r="C68" s="992"/>
      <c r="D68" s="674"/>
      <c r="E68" s="675"/>
      <c r="F68" s="711"/>
      <c r="G68" s="670"/>
      <c r="H68" s="965"/>
      <c r="I68" s="966"/>
      <c r="J68" s="671"/>
      <c r="K68" s="446"/>
      <c r="L68" s="127"/>
      <c r="M68" s="133"/>
    </row>
    <row r="69" spans="1:16" ht="22.65" customHeight="1" thickBot="1">
      <c r="B69" s="595"/>
      <c r="C69" s="1002" t="s">
        <v>10</v>
      </c>
      <c r="D69" s="592"/>
      <c r="E69" s="594"/>
      <c r="F69" s="427"/>
      <c r="G69" s="605"/>
      <c r="H69" s="427"/>
      <c r="I69" s="427"/>
      <c r="J69" s="667" t="s">
        <v>270</v>
      </c>
      <c r="K69" s="552">
        <f>IF(Projektgrundlagen!I26,IF(COUNT(K53:K68)&gt;0,SUM(K53:K68),""),0)</f>
        <v>0</v>
      </c>
    </row>
    <row r="70" spans="1:16">
      <c r="B70" s="888"/>
      <c r="C70" s="1004"/>
      <c r="D70" s="140"/>
      <c r="E70" s="140"/>
      <c r="F70" s="141"/>
      <c r="G70" s="142"/>
      <c r="H70" s="141"/>
      <c r="I70" s="141"/>
      <c r="J70" s="175"/>
      <c r="K70" s="174"/>
    </row>
    <row r="71" spans="1:16" ht="22.65" customHeight="1">
      <c r="B71" s="585" t="s">
        <v>199</v>
      </c>
      <c r="C71" s="183"/>
      <c r="D71" s="183"/>
      <c r="E71" s="183"/>
      <c r="F71" s="183"/>
      <c r="G71" s="589"/>
      <c r="H71" s="541"/>
      <c r="I71" s="541"/>
      <c r="J71" s="586"/>
      <c r="K71" s="588"/>
    </row>
    <row r="72" spans="1:16" ht="17.399999999999999">
      <c r="B72" s="96"/>
      <c r="C72" s="1144" t="s">
        <v>37</v>
      </c>
      <c r="D72" s="939"/>
      <c r="E72" s="940"/>
      <c r="F72" s="1149" t="s">
        <v>619</v>
      </c>
      <c r="G72" s="448"/>
      <c r="H72" s="1716"/>
      <c r="I72" s="1717"/>
      <c r="J72" s="961"/>
      <c r="K72" s="440" t="str">
        <f>IF(M72,IF(O72,$O$11*H72%,IF(P72,J72)),"")</f>
        <v/>
      </c>
      <c r="M72" s="131" t="b">
        <v>0</v>
      </c>
      <c r="O72" s="132" t="b">
        <f>AND(M72,OR(AND(G72="",J72=""),G72="v.H.-Satz"))</f>
        <v>0</v>
      </c>
      <c r="P72" s="132" t="b">
        <f>AND(M72,OR(G72="",G72="pauschal"))</f>
        <v>0</v>
      </c>
    </row>
    <row r="73" spans="1:16" s="134" customFormat="1">
      <c r="A73" s="584"/>
      <c r="B73" s="188"/>
      <c r="C73" s="998"/>
      <c r="D73" s="672"/>
      <c r="E73" s="432"/>
      <c r="F73" s="960" t="s">
        <v>620</v>
      </c>
      <c r="G73" s="670"/>
      <c r="H73" s="962"/>
      <c r="I73" s="963"/>
      <c r="J73" s="669"/>
      <c r="K73" s="447"/>
      <c r="L73" s="127"/>
      <c r="M73" s="133"/>
    </row>
    <row r="74" spans="1:16" ht="17.399999999999999">
      <c r="B74" s="101"/>
      <c r="C74" s="1145" t="s">
        <v>36</v>
      </c>
      <c r="D74" s="941"/>
      <c r="E74" s="940"/>
      <c r="F74" s="1150"/>
      <c r="G74" s="448"/>
      <c r="H74" s="1711"/>
      <c r="I74" s="1712"/>
      <c r="J74" s="964"/>
      <c r="K74" s="439" t="str">
        <f>IF(M74,IF(O74,$O$11*H74%,IF(P74,J74)),"")</f>
        <v/>
      </c>
      <c r="M74" s="131" t="b">
        <v>0</v>
      </c>
      <c r="O74" s="132" t="b">
        <f>AND(M74,OR(AND(G74="",J74=""),G74="v.H.-Satz"))</f>
        <v>0</v>
      </c>
      <c r="P74" s="132" t="b">
        <f>AND(M74,OR(G74="",G74="pauschal"))</f>
        <v>0</v>
      </c>
    </row>
    <row r="75" spans="1:16" s="134" customFormat="1">
      <c r="A75" s="584"/>
      <c r="B75" s="267"/>
      <c r="C75" s="992"/>
      <c r="D75" s="673"/>
      <c r="E75" s="432"/>
      <c r="F75" s="711"/>
      <c r="G75" s="670"/>
      <c r="H75" s="965"/>
      <c r="I75" s="966"/>
      <c r="J75" s="670"/>
      <c r="K75" s="446"/>
      <c r="L75" s="127"/>
      <c r="M75" s="133"/>
    </row>
    <row r="76" spans="1:16" ht="17.399999999999999">
      <c r="B76" s="101"/>
      <c r="C76" s="1145" t="s">
        <v>35</v>
      </c>
      <c r="D76" s="941"/>
      <c r="E76" s="940"/>
      <c r="F76" s="1150"/>
      <c r="G76" s="448"/>
      <c r="H76" s="1711"/>
      <c r="I76" s="1712"/>
      <c r="J76" s="964"/>
      <c r="K76" s="439" t="str">
        <f>IF(M76,IF(O76,$O$11*H76%,IF(P76,J76)),"")</f>
        <v/>
      </c>
      <c r="M76" s="131" t="b">
        <v>0</v>
      </c>
      <c r="O76" s="132" t="b">
        <f>AND(M76,OR(AND(G76="",J76=""),G76="v.H.-Satz"))</f>
        <v>0</v>
      </c>
      <c r="P76" s="132" t="b">
        <f>AND(M76,OR(G76="",G76="pauschal"))</f>
        <v>0</v>
      </c>
    </row>
    <row r="77" spans="1:16" s="134" customFormat="1">
      <c r="A77" s="584"/>
      <c r="B77" s="267"/>
      <c r="C77" s="992"/>
      <c r="D77" s="673"/>
      <c r="E77" s="432"/>
      <c r="F77" s="711"/>
      <c r="G77" s="670"/>
      <c r="H77" s="965"/>
      <c r="I77" s="966"/>
      <c r="J77" s="670"/>
      <c r="K77" s="446"/>
      <c r="L77" s="127"/>
      <c r="M77" s="133"/>
    </row>
    <row r="78" spans="1:16" ht="17.399999999999999">
      <c r="B78" s="96"/>
      <c r="C78" s="1145" t="s">
        <v>200</v>
      </c>
      <c r="D78" s="941"/>
      <c r="E78" s="940"/>
      <c r="F78" s="1150"/>
      <c r="G78" s="448"/>
      <c r="H78" s="1711"/>
      <c r="I78" s="1712"/>
      <c r="J78" s="964"/>
      <c r="K78" s="439" t="str">
        <f>IF(M78,IF(O78,$O$11*H78%,IF(P78,J78)),"")</f>
        <v/>
      </c>
      <c r="M78" s="131" t="b">
        <v>0</v>
      </c>
      <c r="O78" s="132" t="b">
        <f>AND(M78,OR(AND(G78="",J78=""),G78="v.H.-Satz"))</f>
        <v>0</v>
      </c>
      <c r="P78" s="132" t="b">
        <f>AND(M78,OR(G78="",G78="pauschal"))</f>
        <v>0</v>
      </c>
    </row>
    <row r="79" spans="1:16" s="134" customFormat="1">
      <c r="A79" s="584"/>
      <c r="B79" s="188"/>
      <c r="C79" s="992"/>
      <c r="D79" s="673"/>
      <c r="E79" s="432"/>
      <c r="F79" s="711"/>
      <c r="G79" s="670"/>
      <c r="H79" s="965"/>
      <c r="I79" s="966"/>
      <c r="J79" s="670"/>
      <c r="K79" s="446"/>
      <c r="L79" s="127"/>
      <c r="M79" s="133"/>
    </row>
    <row r="80" spans="1:16" ht="17.399999999999999">
      <c r="B80" s="100"/>
      <c r="C80" s="1145" t="s">
        <v>201</v>
      </c>
      <c r="D80" s="941"/>
      <c r="E80" s="940"/>
      <c r="F80" s="1150"/>
      <c r="G80" s="448"/>
      <c r="H80" s="1711"/>
      <c r="I80" s="1712"/>
      <c r="J80" s="964"/>
      <c r="K80" s="439" t="str">
        <f>IF(M80,IF(O80,$O$11*H80%,IF(P80,J80)),"")</f>
        <v/>
      </c>
      <c r="M80" s="131" t="b">
        <v>0</v>
      </c>
      <c r="O80" s="132" t="b">
        <f>AND(M80,OR(AND(G80="",J80=""),G80="v.H.-Satz"))</f>
        <v>0</v>
      </c>
      <c r="P80" s="132" t="b">
        <f>AND(M80,OR(G80="",G80="pauschal"))</f>
        <v>0</v>
      </c>
    </row>
    <row r="81" spans="1:16" s="134" customFormat="1">
      <c r="A81" s="584"/>
      <c r="B81" s="188"/>
      <c r="C81" s="992"/>
      <c r="D81" s="673"/>
      <c r="E81" s="432"/>
      <c r="F81" s="711"/>
      <c r="G81" s="670"/>
      <c r="H81" s="965"/>
      <c r="I81" s="966"/>
      <c r="J81" s="670"/>
      <c r="K81" s="446"/>
      <c r="L81" s="127"/>
      <c r="M81" s="133"/>
    </row>
    <row r="82" spans="1:16" ht="17.399999999999999">
      <c r="B82" s="101"/>
      <c r="C82" s="1145" t="s">
        <v>202</v>
      </c>
      <c r="D82" s="941"/>
      <c r="E82" s="940"/>
      <c r="F82" s="1150"/>
      <c r="G82" s="448"/>
      <c r="H82" s="1711"/>
      <c r="I82" s="1712"/>
      <c r="J82" s="964"/>
      <c r="K82" s="439" t="str">
        <f>IF(M82,IF(O82,$O$11*H82%,IF(P82,J82)),"")</f>
        <v/>
      </c>
      <c r="M82" s="131" t="b">
        <v>0</v>
      </c>
      <c r="O82" s="132" t="b">
        <f>AND(M82,OR(AND(G82="",J82=""),G82="v.H.-Satz"))</f>
        <v>0</v>
      </c>
      <c r="P82" s="132" t="b">
        <f>AND(M82,OR(G82="",G82="pauschal"))</f>
        <v>0</v>
      </c>
    </row>
    <row r="83" spans="1:16" s="134" customFormat="1" ht="17.399999999999999" thickBot="1">
      <c r="A83" s="584"/>
      <c r="B83" s="267"/>
      <c r="C83" s="992"/>
      <c r="D83" s="673"/>
      <c r="E83" s="432"/>
      <c r="F83" s="711"/>
      <c r="G83" s="670"/>
      <c r="H83" s="965"/>
      <c r="I83" s="966"/>
      <c r="J83" s="670"/>
      <c r="K83" s="446"/>
      <c r="L83" s="127"/>
      <c r="M83" s="133"/>
    </row>
    <row r="84" spans="1:16" ht="22.65" customHeight="1" thickBot="1">
      <c r="B84" s="535"/>
      <c r="C84" s="1002" t="s">
        <v>10</v>
      </c>
      <c r="D84" s="592"/>
      <c r="E84" s="594"/>
      <c r="F84" s="427"/>
      <c r="G84" s="605"/>
      <c r="H84" s="427"/>
      <c r="I84" s="427"/>
      <c r="J84" s="667" t="s">
        <v>271</v>
      </c>
      <c r="K84" s="552">
        <f>IF(Projektgrundlagen!I26,IF(COUNT(K72:K83)&gt;0,SUM(K72:K83),""),0)</f>
        <v>0</v>
      </c>
    </row>
    <row r="85" spans="1:16">
      <c r="B85" s="888"/>
      <c r="C85" s="1005"/>
      <c r="D85" s="140"/>
      <c r="E85" s="140"/>
      <c r="F85" s="141"/>
      <c r="G85" s="142"/>
      <c r="H85" s="141"/>
      <c r="I85" s="141"/>
      <c r="J85" s="175"/>
      <c r="K85" s="179"/>
    </row>
    <row r="86" spans="1:16" ht="22.65" customHeight="1">
      <c r="B86" s="590" t="s">
        <v>163</v>
      </c>
      <c r="C86" s="33"/>
      <c r="D86" s="33"/>
      <c r="E86" s="33"/>
      <c r="F86" s="33"/>
      <c r="G86" s="33"/>
      <c r="H86" s="541"/>
      <c r="I86" s="541"/>
      <c r="J86" s="586"/>
      <c r="K86" s="588"/>
    </row>
    <row r="87" spans="1:16" ht="17.399999999999999">
      <c r="B87" s="98"/>
      <c r="C87" s="1145" t="s">
        <v>34</v>
      </c>
      <c r="D87" s="939"/>
      <c r="E87" s="942"/>
      <c r="F87" s="1154" t="s">
        <v>630</v>
      </c>
      <c r="G87" s="279"/>
      <c r="H87" s="1711"/>
      <c r="I87" s="1712"/>
      <c r="J87" s="961"/>
      <c r="K87" s="440" t="str">
        <f>IF(M87,IF(O87,$O$11*H87%,IF(P87,J87)),"")</f>
        <v/>
      </c>
      <c r="M87" s="131" t="b">
        <v>0</v>
      </c>
      <c r="O87" s="132" t="b">
        <f>AND(M87,OR(AND(G87="",J87=""),G87="v.H.-Satz"))</f>
        <v>0</v>
      </c>
      <c r="P87" s="132" t="b">
        <f>AND(M87,OR(G87="",G87="pauschal"))</f>
        <v>0</v>
      </c>
    </row>
    <row r="88" spans="1:16" ht="26.4">
      <c r="B88" s="319"/>
      <c r="C88" s="992"/>
      <c r="D88" s="673"/>
      <c r="E88" s="432"/>
      <c r="F88" s="676" t="s">
        <v>631</v>
      </c>
      <c r="G88" s="670"/>
      <c r="H88" s="965"/>
      <c r="I88" s="966"/>
      <c r="J88" s="670"/>
      <c r="K88" s="446"/>
      <c r="L88" s="127"/>
      <c r="M88" s="133"/>
      <c r="N88" s="134"/>
      <c r="O88" s="134"/>
      <c r="P88" s="134"/>
    </row>
    <row r="89" spans="1:16" ht="17.399999999999999">
      <c r="B89" s="98"/>
      <c r="C89" s="1145" t="s">
        <v>222</v>
      </c>
      <c r="D89" s="941" t="s">
        <v>74</v>
      </c>
      <c r="E89" s="943"/>
      <c r="F89" s="1148" t="s">
        <v>633</v>
      </c>
      <c r="G89" s="448"/>
      <c r="H89" s="1711"/>
      <c r="I89" s="1712"/>
      <c r="J89" s="964"/>
      <c r="K89" s="439" t="str">
        <f>IF(M89,IF(O89,$O$11*H89%,IF(P89,J89)),"")</f>
        <v/>
      </c>
      <c r="M89" s="131" t="b">
        <v>0</v>
      </c>
      <c r="O89" s="132" t="b">
        <f>AND(M89,OR(AND(G89="",J89=""),G89="v.H.-Satz"))</f>
        <v>0</v>
      </c>
      <c r="P89" s="132" t="b">
        <f>AND(M89,OR(G89="",G89="pauschal"))</f>
        <v>0</v>
      </c>
    </row>
    <row r="90" spans="1:16" ht="66">
      <c r="B90" s="320"/>
      <c r="C90" s="1006"/>
      <c r="D90" s="678"/>
      <c r="E90" s="450"/>
      <c r="F90" s="676" t="s">
        <v>632</v>
      </c>
      <c r="G90" s="670"/>
      <c r="H90" s="965"/>
      <c r="I90" s="966"/>
      <c r="J90" s="670"/>
      <c r="K90" s="446"/>
    </row>
    <row r="91" spans="1:16" ht="17.399999999999999">
      <c r="B91" s="98"/>
      <c r="C91" s="1143" t="s">
        <v>50</v>
      </c>
      <c r="D91" s="945"/>
      <c r="E91" s="92"/>
      <c r="F91" s="1152" t="s">
        <v>634</v>
      </c>
      <c r="G91" s="448"/>
      <c r="H91" s="1714"/>
      <c r="I91" s="1715"/>
      <c r="J91" s="967"/>
      <c r="K91" s="439" t="str">
        <f>IF(M91,IF(O91,$O$11*H91%,IF(P91,J91)),"")</f>
        <v/>
      </c>
      <c r="M91" s="131" t="b">
        <v>0</v>
      </c>
      <c r="O91" s="132" t="b">
        <f>AND(M91,OR(AND(G91="",J91=""),G91="v.H.-Satz"))</f>
        <v>0</v>
      </c>
      <c r="P91" s="132" t="b">
        <f>AND(M91,OR(G91="",G91="pauschal"))</f>
        <v>0</v>
      </c>
    </row>
    <row r="92" spans="1:16" s="134" customFormat="1" ht="26.4">
      <c r="A92" s="584"/>
      <c r="B92" s="267"/>
      <c r="C92" s="992"/>
      <c r="D92" s="673"/>
      <c r="E92" s="442"/>
      <c r="F92" s="676" t="s">
        <v>635</v>
      </c>
      <c r="G92" s="670"/>
      <c r="H92" s="965"/>
      <c r="I92" s="966"/>
      <c r="J92" s="670"/>
      <c r="K92" s="446"/>
      <c r="L92" s="127"/>
      <c r="M92" s="133"/>
    </row>
    <row r="93" spans="1:16" ht="17.399999999999999">
      <c r="B93" s="98"/>
      <c r="C93" s="1143" t="s">
        <v>223</v>
      </c>
      <c r="D93" s="945"/>
      <c r="E93" s="943"/>
      <c r="F93" s="1148" t="s">
        <v>748</v>
      </c>
      <c r="G93" s="448"/>
      <c r="H93" s="1714"/>
      <c r="I93" s="1715"/>
      <c r="J93" s="967"/>
      <c r="K93" s="439" t="str">
        <f>IF(M93,IF(O93,$O$11*H93%,IF(P93,J93)),"")</f>
        <v/>
      </c>
      <c r="M93" s="131" t="b">
        <v>0</v>
      </c>
      <c r="O93" s="132" t="b">
        <f>AND(M93,OR(AND(G93="",J93=""),G93="v.H.-Satz"))</f>
        <v>0</v>
      </c>
      <c r="P93" s="132" t="b">
        <f>AND(M93,OR(G93="",G93="pauschal"))</f>
        <v>0</v>
      </c>
    </row>
    <row r="94" spans="1:16" ht="66">
      <c r="B94" s="319"/>
      <c r="C94" s="1006"/>
      <c r="D94" s="673"/>
      <c r="E94" s="442"/>
      <c r="F94" s="676" t="s">
        <v>636</v>
      </c>
      <c r="G94" s="670"/>
      <c r="H94" s="965"/>
      <c r="I94" s="966"/>
      <c r="J94" s="670"/>
      <c r="K94" s="446"/>
      <c r="L94" s="127"/>
      <c r="M94" s="133"/>
      <c r="N94" s="134"/>
      <c r="O94" s="134"/>
      <c r="P94" s="134"/>
    </row>
    <row r="95" spans="1:16" ht="17.399999999999999">
      <c r="B95" s="96"/>
      <c r="C95" s="1146" t="s">
        <v>224</v>
      </c>
      <c r="D95" s="941"/>
      <c r="E95" s="940"/>
      <c r="F95" s="1148" t="s">
        <v>637</v>
      </c>
      <c r="G95" s="448"/>
      <c r="H95" s="1711"/>
      <c r="I95" s="1712"/>
      <c r="J95" s="964"/>
      <c r="K95" s="439" t="str">
        <f>IF(M95,IF(O95,$O$11*H95%,IF(P95,J95)),"")</f>
        <v/>
      </c>
      <c r="M95" s="131" t="b">
        <v>0</v>
      </c>
      <c r="O95" s="132" t="b">
        <f>AND(M95,OR(AND(G95="",J95=""),G95="v.H.-Satz"))</f>
        <v>0</v>
      </c>
      <c r="P95" s="132" t="b">
        <f>AND(M95,OR(G95="",G95="pauschal"))</f>
        <v>0</v>
      </c>
    </row>
    <row r="96" spans="1:16" s="134" customFormat="1" ht="92.4">
      <c r="A96" s="584"/>
      <c r="B96" s="188"/>
      <c r="C96" s="992"/>
      <c r="D96" s="673"/>
      <c r="E96" s="432"/>
      <c r="F96" s="676" t="s">
        <v>828</v>
      </c>
      <c r="G96" s="670"/>
      <c r="H96" s="965"/>
      <c r="I96" s="966"/>
      <c r="J96" s="670"/>
      <c r="K96" s="446"/>
      <c r="L96" s="127"/>
      <c r="M96" s="133"/>
    </row>
    <row r="97" spans="1:16" ht="17.399999999999999">
      <c r="B97" s="100"/>
      <c r="C97" s="1146" t="s">
        <v>397</v>
      </c>
      <c r="D97" s="941"/>
      <c r="E97" s="940"/>
      <c r="F97" s="1150"/>
      <c r="G97" s="448"/>
      <c r="H97" s="1711"/>
      <c r="I97" s="1712"/>
      <c r="J97" s="964"/>
      <c r="K97" s="439" t="str">
        <f>IF(M97,IF(O97,$O$11*H97%,IF(P97,J97)),"")</f>
        <v/>
      </c>
      <c r="M97" s="131" t="b">
        <v>0</v>
      </c>
      <c r="O97" s="132" t="b">
        <f>AND(M97,OR(AND(G97="",J97=""),G97="v.H.-Satz"))</f>
        <v>0</v>
      </c>
      <c r="P97" s="132" t="b">
        <f>AND(M97,OR(G97="",G97="pauschal"))</f>
        <v>0</v>
      </c>
    </row>
    <row r="98" spans="1:16" s="134" customFormat="1">
      <c r="A98" s="584"/>
      <c r="B98" s="188"/>
      <c r="C98" s="992"/>
      <c r="D98" s="673"/>
      <c r="E98" s="432"/>
      <c r="F98" s="711"/>
      <c r="G98" s="670"/>
      <c r="H98" s="965"/>
      <c r="I98" s="966"/>
      <c r="J98" s="670"/>
      <c r="K98" s="446"/>
      <c r="L98" s="127"/>
      <c r="M98" s="133"/>
    </row>
    <row r="99" spans="1:16" ht="17.399999999999999">
      <c r="B99" s="101"/>
      <c r="C99" s="1146" t="s">
        <v>398</v>
      </c>
      <c r="D99" s="941"/>
      <c r="E99" s="940"/>
      <c r="F99" s="1150"/>
      <c r="G99" s="448"/>
      <c r="H99" s="1711"/>
      <c r="I99" s="1712"/>
      <c r="J99" s="964"/>
      <c r="K99" s="439" t="str">
        <f>IF(M99,IF(O99,$O$11*H99%,IF(P99,J99)),"")</f>
        <v/>
      </c>
      <c r="M99" s="131" t="b">
        <v>0</v>
      </c>
      <c r="O99" s="132" t="b">
        <f>AND(M99,OR(AND(G99="",J99=""),G99="v.H.-Satz"))</f>
        <v>0</v>
      </c>
      <c r="P99" s="132" t="b">
        <f>AND(M99,OR(G99="",G99="pauschal"))</f>
        <v>0</v>
      </c>
    </row>
    <row r="100" spans="1:16" s="134" customFormat="1">
      <c r="A100" s="584"/>
      <c r="B100" s="267"/>
      <c r="C100" s="992"/>
      <c r="D100" s="673"/>
      <c r="E100" s="432"/>
      <c r="F100" s="711"/>
      <c r="G100" s="670"/>
      <c r="H100" s="965"/>
      <c r="I100" s="966"/>
      <c r="J100" s="670"/>
      <c r="K100" s="446"/>
      <c r="L100" s="127"/>
      <c r="M100" s="133"/>
    </row>
    <row r="101" spans="1:16" ht="17.399999999999999">
      <c r="B101" s="101"/>
      <c r="C101" s="1146" t="s">
        <v>400</v>
      </c>
      <c r="D101" s="941"/>
      <c r="E101" s="940"/>
      <c r="F101" s="1150"/>
      <c r="G101" s="448"/>
      <c r="H101" s="1711"/>
      <c r="I101" s="1712"/>
      <c r="J101" s="964"/>
      <c r="K101" s="439" t="str">
        <f>IF(M101,IF(O101,$O$11*H101%,IF(P101,J101)),"")</f>
        <v/>
      </c>
      <c r="M101" s="131" t="b">
        <v>0</v>
      </c>
      <c r="O101" s="132" t="b">
        <f>AND(M101,OR(AND(G101="",J101=""),G101="v.H.-Satz"))</f>
        <v>0</v>
      </c>
      <c r="P101" s="132" t="b">
        <f>AND(M101,OR(G101="",G101="pauschal"))</f>
        <v>0</v>
      </c>
    </row>
    <row r="102" spans="1:16" s="134" customFormat="1" ht="17.399999999999999" thickBot="1">
      <c r="A102" s="584"/>
      <c r="B102" s="267"/>
      <c r="C102" s="992"/>
      <c r="D102" s="674"/>
      <c r="E102" s="432"/>
      <c r="F102" s="711"/>
      <c r="G102" s="670"/>
      <c r="H102" s="965"/>
      <c r="I102" s="966"/>
      <c r="J102" s="671"/>
      <c r="K102" s="446"/>
      <c r="L102" s="127"/>
      <c r="M102" s="133"/>
    </row>
    <row r="103" spans="1:16" ht="22.65" customHeight="1" thickBot="1">
      <c r="B103" s="535"/>
      <c r="C103" s="1002"/>
      <c r="D103" s="592"/>
      <c r="E103" s="594"/>
      <c r="F103" s="427"/>
      <c r="G103" s="605"/>
      <c r="H103" s="427"/>
      <c r="I103" s="427"/>
      <c r="J103" s="667" t="s">
        <v>401</v>
      </c>
      <c r="K103" s="552">
        <f>IF(Projektgrundlagen!I26,IF(COUNT(K87:K102)&gt;0,SUM(K87:K102),""),0)</f>
        <v>0</v>
      </c>
    </row>
    <row r="104" spans="1:16">
      <c r="B104" s="888"/>
      <c r="C104" s="1008"/>
      <c r="D104" s="889"/>
      <c r="E104" s="889"/>
      <c r="F104" s="890"/>
      <c r="G104" s="891"/>
      <c r="H104" s="890"/>
      <c r="I104" s="890"/>
      <c r="J104" s="892"/>
      <c r="K104" s="174"/>
    </row>
    <row r="105" spans="1:16" ht="22.65" customHeight="1">
      <c r="B105" s="590" t="s">
        <v>164</v>
      </c>
      <c r="C105" s="33"/>
      <c r="D105" s="33"/>
      <c r="E105" s="33"/>
      <c r="F105" s="33"/>
      <c r="G105" s="33"/>
      <c r="H105" s="541"/>
      <c r="I105" s="541"/>
      <c r="J105" s="586"/>
      <c r="K105" s="588"/>
    </row>
    <row r="106" spans="1:16" ht="17.399999999999999">
      <c r="B106" s="323"/>
      <c r="C106" s="1145" t="s">
        <v>33</v>
      </c>
      <c r="D106" s="939"/>
      <c r="E106" s="942"/>
      <c r="F106" s="1154" t="s">
        <v>186</v>
      </c>
      <c r="G106" s="448"/>
      <c r="H106" s="1711"/>
      <c r="I106" s="1712"/>
      <c r="J106" s="961"/>
      <c r="K106" s="440" t="str">
        <f>IF(M106,IF(O106,$O$11*H106%,IF(P106,J106)),"")</f>
        <v/>
      </c>
      <c r="M106" s="131" t="b">
        <v>0</v>
      </c>
      <c r="O106" s="132" t="b">
        <f>AND(M106,OR(AND(G106="",J106=""),G106="v.H.-Satz"))</f>
        <v>0</v>
      </c>
      <c r="P106" s="132" t="b">
        <f>AND(M106,OR(G106="",G106="pauschal"))</f>
        <v>0</v>
      </c>
    </row>
    <row r="107" spans="1:16" ht="16.5" customHeight="1">
      <c r="B107" s="324"/>
      <c r="C107" s="992"/>
      <c r="D107" s="673"/>
      <c r="E107" s="203"/>
      <c r="F107" s="452" t="s">
        <v>187</v>
      </c>
      <c r="G107" s="670"/>
      <c r="H107" s="965"/>
      <c r="I107" s="966"/>
      <c r="J107" s="670"/>
      <c r="K107" s="447"/>
      <c r="L107" s="127"/>
      <c r="M107" s="133"/>
      <c r="N107" s="134"/>
      <c r="O107" s="134"/>
      <c r="P107" s="134"/>
    </row>
    <row r="108" spans="1:16" ht="17.399999999999999">
      <c r="B108" s="102"/>
      <c r="C108" s="1145" t="s">
        <v>32</v>
      </c>
      <c r="D108" s="941"/>
      <c r="E108" s="943"/>
      <c r="F108" s="1153" t="s">
        <v>624</v>
      </c>
      <c r="G108" s="448"/>
      <c r="H108" s="1711"/>
      <c r="I108" s="1712"/>
      <c r="J108" s="964"/>
      <c r="K108" s="439" t="str">
        <f>IF(M108,IF(O108,$O$11*H108%,IF(P108,J108)),"")</f>
        <v/>
      </c>
      <c r="M108" s="131" t="b">
        <v>0</v>
      </c>
      <c r="O108" s="132" t="b">
        <f>AND(M108,OR(AND(G108="",J108=""),G108="v.H.-Satz"))</f>
        <v>0</v>
      </c>
      <c r="P108" s="132" t="b">
        <f>AND(M108,OR(G108="",G108="pauschal"))</f>
        <v>0</v>
      </c>
    </row>
    <row r="109" spans="1:16" ht="16.5" customHeight="1">
      <c r="B109" s="324"/>
      <c r="C109" s="992"/>
      <c r="D109" s="673"/>
      <c r="E109" s="203"/>
      <c r="F109" s="452" t="s">
        <v>338</v>
      </c>
      <c r="G109" s="670"/>
      <c r="H109" s="965"/>
      <c r="I109" s="966"/>
      <c r="J109" s="670"/>
      <c r="K109" s="446"/>
      <c r="L109" s="127"/>
      <c r="M109" s="133"/>
      <c r="N109" s="134"/>
      <c r="O109" s="134"/>
      <c r="P109" s="134"/>
    </row>
    <row r="110" spans="1:16" ht="17.399999999999999">
      <c r="B110" s="102"/>
      <c r="C110" s="1145" t="s">
        <v>31</v>
      </c>
      <c r="D110" s="941"/>
      <c r="E110" s="940"/>
      <c r="F110" s="1153" t="s">
        <v>624</v>
      </c>
      <c r="G110" s="448"/>
      <c r="H110" s="1711"/>
      <c r="I110" s="1712"/>
      <c r="J110" s="964"/>
      <c r="K110" s="439" t="str">
        <f>IF(M110,IF(O110,$O$11*H110%,IF(P110,J110)),"")</f>
        <v/>
      </c>
      <c r="M110" s="131" t="b">
        <v>0</v>
      </c>
      <c r="O110" s="132" t="b">
        <f>AND(M110,OR(AND(G110="",J110=""),G110="v.H.-Satz"))</f>
        <v>0</v>
      </c>
      <c r="P110" s="132" t="b">
        <f>AND(M110,OR(G110="",G110="pauschal"))</f>
        <v>0</v>
      </c>
    </row>
    <row r="111" spans="1:16" ht="17.399999999999999">
      <c r="B111" s="268"/>
      <c r="C111" s="998"/>
      <c r="D111" s="945"/>
      <c r="E111" s="948"/>
      <c r="F111" s="452" t="s">
        <v>625</v>
      </c>
      <c r="G111" s="669"/>
      <c r="H111" s="962"/>
      <c r="I111" s="963"/>
      <c r="J111" s="669"/>
      <c r="K111" s="447"/>
    </row>
    <row r="112" spans="1:16">
      <c r="B112" s="321"/>
      <c r="C112" s="1007"/>
      <c r="D112" s="679"/>
      <c r="E112" s="1092"/>
      <c r="F112" s="1718" t="s">
        <v>753</v>
      </c>
      <c r="G112" s="1719"/>
      <c r="H112" s="968"/>
      <c r="I112" s="968"/>
      <c r="J112" s="969"/>
      <c r="K112" s="343"/>
    </row>
    <row r="113" spans="1:16" ht="30" customHeight="1">
      <c r="B113" s="321"/>
      <c r="C113" s="1007"/>
      <c r="D113" s="679"/>
      <c r="E113" s="442"/>
      <c r="F113" s="1718" t="s">
        <v>754</v>
      </c>
      <c r="G113" s="1719"/>
      <c r="H113" s="344"/>
      <c r="I113" s="344"/>
      <c r="J113" s="677"/>
      <c r="K113" s="343"/>
    </row>
    <row r="114" spans="1:16">
      <c r="B114" s="321"/>
      <c r="C114" s="1007"/>
      <c r="D114" s="679"/>
      <c r="E114" s="322"/>
      <c r="F114" s="1718" t="s">
        <v>751</v>
      </c>
      <c r="G114" s="1719"/>
      <c r="H114" s="344"/>
      <c r="I114" s="344"/>
      <c r="J114" s="677"/>
      <c r="K114" s="343"/>
    </row>
    <row r="115" spans="1:16" s="134" customFormat="1">
      <c r="A115" s="584"/>
      <c r="B115" s="1088"/>
      <c r="C115" s="1089"/>
      <c r="D115" s="673"/>
      <c r="E115" s="432"/>
      <c r="F115" s="711"/>
      <c r="G115" s="670"/>
      <c r="H115" s="965"/>
      <c r="I115" s="966"/>
      <c r="J115" s="670"/>
      <c r="K115" s="1090"/>
      <c r="L115" s="127"/>
      <c r="M115" s="133"/>
    </row>
    <row r="116" spans="1:16" ht="17.399999999999999">
      <c r="B116" s="102"/>
      <c r="C116" s="1145" t="s">
        <v>226</v>
      </c>
      <c r="D116" s="941"/>
      <c r="E116" s="940"/>
      <c r="F116" s="1153" t="s">
        <v>629</v>
      </c>
      <c r="G116" s="448"/>
      <c r="H116" s="1711"/>
      <c r="I116" s="1712"/>
      <c r="J116" s="964"/>
      <c r="K116" s="439" t="str">
        <f>IF(M116,IF(O116,$O$11*H116%,IF(P116,J116)),"")</f>
        <v/>
      </c>
      <c r="M116" s="131" t="b">
        <v>0</v>
      </c>
      <c r="O116" s="132" t="b">
        <f>AND(M116,OR(AND(G116="",J116=""),G116="v.H.-Satz"))</f>
        <v>0</v>
      </c>
      <c r="P116" s="132" t="b">
        <f>AND(M116,OR(G116="",G116="pauschal"))</f>
        <v>0</v>
      </c>
    </row>
    <row r="117" spans="1:16" s="134" customFormat="1" ht="66">
      <c r="A117" s="584"/>
      <c r="B117" s="268"/>
      <c r="C117" s="998"/>
      <c r="D117" s="672"/>
      <c r="E117" s="442"/>
      <c r="F117" s="452" t="s">
        <v>752</v>
      </c>
      <c r="G117" s="669"/>
      <c r="H117" s="962"/>
      <c r="I117" s="963"/>
      <c r="J117" s="669"/>
      <c r="K117" s="447"/>
      <c r="L117" s="127"/>
      <c r="M117" s="133"/>
    </row>
    <row r="118" spans="1:16">
      <c r="B118" s="321"/>
      <c r="C118" s="1007"/>
      <c r="D118" s="679"/>
      <c r="E118" s="204"/>
      <c r="F118" s="1085" t="s">
        <v>751</v>
      </c>
      <c r="G118" s="1140"/>
      <c r="H118" s="344"/>
      <c r="I118" s="344"/>
      <c r="J118" s="677"/>
      <c r="K118" s="343"/>
    </row>
    <row r="119" spans="1:16" s="134" customFormat="1">
      <c r="A119" s="584"/>
      <c r="B119" s="1088"/>
      <c r="C119" s="1089"/>
      <c r="D119" s="673"/>
      <c r="E119" s="432"/>
      <c r="F119" s="437"/>
      <c r="G119" s="670"/>
      <c r="H119" s="965"/>
      <c r="I119" s="966"/>
      <c r="J119" s="670"/>
      <c r="K119" s="1090"/>
      <c r="L119" s="127"/>
      <c r="M119" s="133"/>
    </row>
    <row r="120" spans="1:16" ht="17.399999999999999">
      <c r="B120" s="102"/>
      <c r="C120" s="1146" t="s">
        <v>227</v>
      </c>
      <c r="D120" s="941"/>
      <c r="E120" s="943"/>
      <c r="F120" s="1153" t="s">
        <v>627</v>
      </c>
      <c r="G120" s="448"/>
      <c r="H120" s="1711"/>
      <c r="I120" s="1712"/>
      <c r="J120" s="964"/>
      <c r="K120" s="439" t="str">
        <f>IF(M120,IF(O120,$O$11*H120%,IF(P120,J120)),"")</f>
        <v/>
      </c>
      <c r="M120" s="131" t="b">
        <v>0</v>
      </c>
      <c r="O120" s="132" t="b">
        <f>AND(M120,OR(AND(G120="",J120=""),G120="v.H.-Satz"))</f>
        <v>0</v>
      </c>
      <c r="P120" s="132" t="b">
        <f>AND(M120,OR(G120="",G120="pauschal"))</f>
        <v>0</v>
      </c>
    </row>
    <row r="121" spans="1:16" ht="16.5" customHeight="1">
      <c r="B121" s="1087"/>
      <c r="C121" s="998"/>
      <c r="D121" s="672"/>
      <c r="E121" s="203"/>
      <c r="F121" s="452" t="s">
        <v>628</v>
      </c>
      <c r="G121" s="669"/>
      <c r="H121" s="962"/>
      <c r="I121" s="963"/>
      <c r="J121" s="669"/>
      <c r="K121" s="447"/>
      <c r="L121" s="127"/>
      <c r="M121" s="133"/>
      <c r="N121" s="134"/>
      <c r="O121" s="134"/>
      <c r="P121" s="134"/>
    </row>
    <row r="122" spans="1:16">
      <c r="B122" s="321"/>
      <c r="C122" s="1007"/>
      <c r="D122" s="679"/>
      <c r="E122" s="322"/>
      <c r="F122" s="1085" t="s">
        <v>740</v>
      </c>
      <c r="G122" s="1140"/>
      <c r="H122" s="968"/>
      <c r="I122" s="968"/>
      <c r="J122" s="969"/>
      <c r="K122" s="343"/>
    </row>
    <row r="123" spans="1:16">
      <c r="B123" s="321"/>
      <c r="C123" s="1007"/>
      <c r="D123" s="679"/>
      <c r="E123" s="204"/>
      <c r="F123" s="1085" t="s">
        <v>741</v>
      </c>
      <c r="G123" s="1140"/>
      <c r="H123" s="344"/>
      <c r="I123" s="344"/>
      <c r="J123" s="677"/>
      <c r="K123" s="343"/>
    </row>
    <row r="124" spans="1:16">
      <c r="B124" s="321"/>
      <c r="C124" s="1007"/>
      <c r="D124" s="679"/>
      <c r="E124" s="322"/>
      <c r="F124" s="1085" t="s">
        <v>742</v>
      </c>
      <c r="G124" s="1140"/>
      <c r="H124" s="968"/>
      <c r="I124" s="968"/>
      <c r="J124" s="969"/>
      <c r="K124" s="343"/>
    </row>
    <row r="125" spans="1:16">
      <c r="B125" s="321"/>
      <c r="C125" s="1007"/>
      <c r="D125" s="679"/>
      <c r="E125" s="204"/>
      <c r="F125" s="1085" t="s">
        <v>800</v>
      </c>
      <c r="G125" s="1140"/>
      <c r="H125" s="344"/>
      <c r="I125" s="344"/>
      <c r="J125" s="677"/>
      <c r="K125" s="343"/>
    </row>
    <row r="126" spans="1:16">
      <c r="B126" s="321"/>
      <c r="C126" s="1007"/>
      <c r="D126" s="679"/>
      <c r="E126" s="1092"/>
      <c r="F126" s="1740" t="s">
        <v>750</v>
      </c>
      <c r="G126" s="1741"/>
      <c r="H126" s="344"/>
      <c r="I126" s="344"/>
      <c r="J126" s="677"/>
      <c r="K126" s="343"/>
    </row>
    <row r="127" spans="1:16">
      <c r="B127" s="321"/>
      <c r="C127" s="1007"/>
      <c r="D127" s="679"/>
      <c r="E127" s="442"/>
      <c r="F127" s="1740" t="s">
        <v>749</v>
      </c>
      <c r="G127" s="1741"/>
      <c r="H127" s="344"/>
      <c r="I127" s="344"/>
      <c r="J127" s="677"/>
      <c r="K127" s="343"/>
    </row>
    <row r="128" spans="1:16">
      <c r="B128" s="321"/>
      <c r="C128" s="1007"/>
      <c r="D128" s="679"/>
      <c r="E128" s="322"/>
      <c r="F128" s="1085" t="s">
        <v>751</v>
      </c>
      <c r="G128" s="1140"/>
      <c r="H128" s="344"/>
      <c r="I128" s="344"/>
      <c r="J128" s="677"/>
      <c r="K128" s="343"/>
    </row>
    <row r="129" spans="1:16" s="134" customFormat="1">
      <c r="A129" s="584"/>
      <c r="B129" s="1088"/>
      <c r="C129" s="1089"/>
      <c r="D129" s="673"/>
      <c r="E129" s="432"/>
      <c r="F129" s="437"/>
      <c r="G129" s="670"/>
      <c r="H129" s="965"/>
      <c r="I129" s="966"/>
      <c r="J129" s="670"/>
      <c r="K129" s="1090"/>
      <c r="L129" s="127"/>
      <c r="M129" s="133"/>
    </row>
    <row r="130" spans="1:16" ht="17.399999999999999">
      <c r="B130" s="102"/>
      <c r="C130" s="1146" t="s">
        <v>228</v>
      </c>
      <c r="D130" s="941"/>
      <c r="E130" s="940"/>
      <c r="F130" s="1155" t="s">
        <v>626</v>
      </c>
      <c r="G130" s="448"/>
      <c r="H130" s="1711"/>
      <c r="I130" s="1712"/>
      <c r="J130" s="964"/>
      <c r="K130" s="439" t="str">
        <f>IF(M130,IF(O130,$O$11*H130%,IF(P130,J130)),"")</f>
        <v/>
      </c>
      <c r="M130" s="131" t="b">
        <v>0</v>
      </c>
      <c r="O130" s="132" t="b">
        <f>AND(M130,OR(AND(G130="",J130=""),G130="v.H.-Satz"))</f>
        <v>0</v>
      </c>
      <c r="P130" s="132" t="b">
        <f>AND(M130,OR(G130="",G130="pauschal"))</f>
        <v>0</v>
      </c>
    </row>
    <row r="131" spans="1:16" s="134" customFormat="1">
      <c r="A131" s="584"/>
      <c r="B131" s="267"/>
      <c r="C131" s="992"/>
      <c r="D131" s="673"/>
      <c r="E131" s="432"/>
      <c r="F131" s="711"/>
      <c r="G131" s="670"/>
      <c r="H131" s="965"/>
      <c r="I131" s="966"/>
      <c r="J131" s="670"/>
      <c r="K131" s="446"/>
      <c r="L131" s="127"/>
      <c r="M131" s="133"/>
    </row>
    <row r="132" spans="1:16" ht="17.399999999999999">
      <c r="B132" s="102"/>
      <c r="C132" s="1146" t="s">
        <v>621</v>
      </c>
      <c r="D132" s="941"/>
      <c r="E132" s="940"/>
      <c r="F132" s="1150"/>
      <c r="G132" s="448"/>
      <c r="H132" s="1711"/>
      <c r="I132" s="1712"/>
      <c r="J132" s="964"/>
      <c r="K132" s="439" t="str">
        <f>IF(M132,IF(O132,$O$11*H132%,IF(P132,J132)),"")</f>
        <v/>
      </c>
      <c r="M132" s="131" t="b">
        <v>0</v>
      </c>
      <c r="O132" s="132" t="b">
        <f>AND(M132,OR(AND(G132="",J132=""),G132="v.H.-Satz"))</f>
        <v>0</v>
      </c>
      <c r="P132" s="132" t="b">
        <f>AND(M132,OR(G132="",G132="pauschal"))</f>
        <v>0</v>
      </c>
    </row>
    <row r="133" spans="1:16" s="134" customFormat="1">
      <c r="A133" s="584"/>
      <c r="B133" s="267"/>
      <c r="C133" s="992"/>
      <c r="D133" s="673"/>
      <c r="E133" s="432"/>
      <c r="F133" s="711"/>
      <c r="G133" s="670"/>
      <c r="H133" s="965"/>
      <c r="I133" s="966"/>
      <c r="J133" s="670"/>
      <c r="K133" s="446"/>
      <c r="L133" s="127"/>
      <c r="M133" s="133"/>
    </row>
    <row r="134" spans="1:16" ht="17.399999999999999">
      <c r="B134" s="102"/>
      <c r="C134" s="1146" t="s">
        <v>622</v>
      </c>
      <c r="D134" s="941"/>
      <c r="E134" s="940"/>
      <c r="F134" s="1150"/>
      <c r="G134" s="448"/>
      <c r="H134" s="1711"/>
      <c r="I134" s="1712"/>
      <c r="J134" s="964"/>
      <c r="K134" s="439" t="str">
        <f>IF(M134,IF(O134,$O$11*H134%,IF(P134,J134)),"")</f>
        <v/>
      </c>
      <c r="M134" s="131" t="b">
        <v>0</v>
      </c>
      <c r="O134" s="132" t="b">
        <f>AND(M134,OR(AND(G134="",J134=""),G134="v.H.-Satz"))</f>
        <v>0</v>
      </c>
      <c r="P134" s="132" t="b">
        <f>AND(M134,OR(G134="",G134="pauschal"))</f>
        <v>0</v>
      </c>
    </row>
    <row r="135" spans="1:16" s="134" customFormat="1">
      <c r="A135" s="584"/>
      <c r="B135" s="267"/>
      <c r="C135" s="992"/>
      <c r="D135" s="673"/>
      <c r="E135" s="432"/>
      <c r="F135" s="711"/>
      <c r="G135" s="670"/>
      <c r="H135" s="965"/>
      <c r="I135" s="966"/>
      <c r="J135" s="670"/>
      <c r="K135" s="446"/>
      <c r="L135" s="127"/>
      <c r="M135" s="133"/>
    </row>
    <row r="136" spans="1:16" ht="17.399999999999999">
      <c r="B136" s="102"/>
      <c r="C136" s="1146" t="s">
        <v>623</v>
      </c>
      <c r="D136" s="941"/>
      <c r="E136" s="940"/>
      <c r="F136" s="1150"/>
      <c r="G136" s="448"/>
      <c r="H136" s="1711"/>
      <c r="I136" s="1712"/>
      <c r="J136" s="964"/>
      <c r="K136" s="439" t="str">
        <f>IF(M136,IF(O136,$O$11*H136%,IF(P136,J136)),"")</f>
        <v/>
      </c>
      <c r="M136" s="131" t="b">
        <v>0</v>
      </c>
      <c r="O136" s="132" t="b">
        <f>AND(M136,OR(AND(G136="",J136=""),G136="v.H.-Satz"))</f>
        <v>0</v>
      </c>
      <c r="P136" s="132" t="b">
        <f>AND(M136,OR(G136="",G136="pauschal"))</f>
        <v>0</v>
      </c>
    </row>
    <row r="137" spans="1:16" s="134" customFormat="1" ht="17.399999999999999" thickBot="1">
      <c r="A137" s="584"/>
      <c r="B137" s="267"/>
      <c r="C137" s="992"/>
      <c r="D137" s="674"/>
      <c r="E137" s="432"/>
      <c r="F137" s="711"/>
      <c r="G137" s="670"/>
      <c r="H137" s="965"/>
      <c r="I137" s="966"/>
      <c r="J137" s="671"/>
      <c r="K137" s="446"/>
      <c r="L137" s="127"/>
      <c r="M137" s="133"/>
    </row>
    <row r="138" spans="1:16" ht="22.65" customHeight="1" thickBot="1">
      <c r="B138" s="535"/>
      <c r="C138" s="1002" t="s">
        <v>10</v>
      </c>
      <c r="D138" s="593"/>
      <c r="E138" s="593"/>
      <c r="F138" s="538"/>
      <c r="G138" s="604"/>
      <c r="H138" s="538"/>
      <c r="I138" s="538"/>
      <c r="J138" s="667" t="s">
        <v>402</v>
      </c>
      <c r="K138" s="552">
        <f>IF(Projektgrundlagen!I26,IF(COUNT(K106:K137)&gt;0,SUM(K106:K137),""),0)</f>
        <v>0</v>
      </c>
    </row>
    <row r="139" spans="1:16" ht="17.399999999999999" thickBot="1">
      <c r="B139" s="86"/>
      <c r="C139" s="86"/>
      <c r="D139" s="86"/>
      <c r="E139" s="86"/>
      <c r="F139" s="86"/>
      <c r="G139" s="86"/>
      <c r="H139" s="86"/>
      <c r="I139" s="86"/>
      <c r="J139" s="86"/>
      <c r="K139" s="345"/>
    </row>
    <row r="140" spans="1:16" ht="30" customHeight="1" thickBot="1">
      <c r="B140" s="685"/>
      <c r="C140" s="685" t="s">
        <v>10</v>
      </c>
      <c r="D140" s="683"/>
      <c r="E140" s="683"/>
      <c r="F140" s="684"/>
      <c r="G140" s="686"/>
      <c r="H140" s="684"/>
      <c r="I140" s="684"/>
      <c r="J140" s="687" t="s">
        <v>523</v>
      </c>
      <c r="K140" s="462">
        <f>IF(COUNT(K50,,K69,K84,K103,K138)&gt;0,SUM(K50,K69,K84,K103,K138),"")</f>
        <v>0</v>
      </c>
    </row>
    <row r="141" spans="1:16" ht="12.75" customHeight="1">
      <c r="K141" s="346"/>
    </row>
    <row r="142" spans="1:16"/>
  </sheetData>
  <sheetProtection sheet="1" formatRows="0"/>
  <mergeCells count="71">
    <mergeCell ref="F127:G127"/>
    <mergeCell ref="F113:G113"/>
    <mergeCell ref="F126:G126"/>
    <mergeCell ref="L2:L8"/>
    <mergeCell ref="B11:F11"/>
    <mergeCell ref="H5:I5"/>
    <mergeCell ref="J5:K5"/>
    <mergeCell ref="B6:E6"/>
    <mergeCell ref="F6:K6"/>
    <mergeCell ref="J2:K2"/>
    <mergeCell ref="B2:G2"/>
    <mergeCell ref="B3:G3"/>
    <mergeCell ref="J3:K3"/>
    <mergeCell ref="H2:I2"/>
    <mergeCell ref="H3:I3"/>
    <mergeCell ref="H65:I65"/>
    <mergeCell ref="H136:I136"/>
    <mergeCell ref="H97:I97"/>
    <mergeCell ref="H99:I99"/>
    <mergeCell ref="H101:I101"/>
    <mergeCell ref="H95:I95"/>
    <mergeCell ref="H130:I130"/>
    <mergeCell ref="H106:I106"/>
    <mergeCell ref="H120:I120"/>
    <mergeCell ref="H132:I132"/>
    <mergeCell ref="H134:I134"/>
    <mergeCell ref="H108:I108"/>
    <mergeCell ref="H110:I110"/>
    <mergeCell ref="H116:I116"/>
    <mergeCell ref="B8:E8"/>
    <mergeCell ref="F8:K8"/>
    <mergeCell ref="B5:E5"/>
    <mergeCell ref="B7:E7"/>
    <mergeCell ref="F7:K7"/>
    <mergeCell ref="F5:G5"/>
    <mergeCell ref="B10:F10"/>
    <mergeCell ref="H10:I10"/>
    <mergeCell ref="H22:I22"/>
    <mergeCell ref="H24:I24"/>
    <mergeCell ref="H46:I46"/>
    <mergeCell ref="H38:I38"/>
    <mergeCell ref="O11:P11"/>
    <mergeCell ref="H14:I14"/>
    <mergeCell ref="H44:I44"/>
    <mergeCell ref="H48:I48"/>
    <mergeCell ref="H74:I74"/>
    <mergeCell ref="H53:I53"/>
    <mergeCell ref="H59:I59"/>
    <mergeCell ref="H63:I63"/>
    <mergeCell ref="H61:I61"/>
    <mergeCell ref="H67:I67"/>
    <mergeCell ref="H72:I72"/>
    <mergeCell ref="H16:I16"/>
    <mergeCell ref="H18:I18"/>
    <mergeCell ref="H20:I20"/>
    <mergeCell ref="F112:G112"/>
    <mergeCell ref="F114:G114"/>
    <mergeCell ref="H26:I26"/>
    <mergeCell ref="H28:I28"/>
    <mergeCell ref="H34:I34"/>
    <mergeCell ref="H36:I36"/>
    <mergeCell ref="H30:I30"/>
    <mergeCell ref="H32:I32"/>
    <mergeCell ref="H76:I76"/>
    <mergeCell ref="H78:I78"/>
    <mergeCell ref="H80:I80"/>
    <mergeCell ref="H82:I82"/>
    <mergeCell ref="H87:I87"/>
    <mergeCell ref="H91:I91"/>
    <mergeCell ref="H93:I93"/>
    <mergeCell ref="H89:I89"/>
  </mergeCells>
  <conditionalFormatting sqref="F43">
    <cfRule type="expression" dxfId="1370" priority="666">
      <formula>NOT($M38)</formula>
    </cfRule>
  </conditionalFormatting>
  <conditionalFormatting sqref="F44">
    <cfRule type="expression" dxfId="1369" priority="92">
      <formula>AND($M44,F44="")</formula>
    </cfRule>
    <cfRule type="expression" dxfId="1368" priority="91">
      <formula>NOT($M44)</formula>
    </cfRule>
  </conditionalFormatting>
  <conditionalFormatting sqref="F45">
    <cfRule type="expression" dxfId="1367" priority="90">
      <formula>NOT($M44)</formula>
    </cfRule>
  </conditionalFormatting>
  <conditionalFormatting sqref="F46">
    <cfRule type="expression" dxfId="1366" priority="87">
      <formula>NOT($M46)</formula>
    </cfRule>
    <cfRule type="expression" dxfId="1365" priority="88">
      <formula>AND($M46,F46="")</formula>
    </cfRule>
  </conditionalFormatting>
  <conditionalFormatting sqref="F47">
    <cfRule type="expression" dxfId="1364" priority="86">
      <formula>NOT($M46)</formula>
    </cfRule>
  </conditionalFormatting>
  <conditionalFormatting sqref="F48">
    <cfRule type="expression" dxfId="1363" priority="83">
      <formula>NOT($M48)</formula>
    </cfRule>
    <cfRule type="expression" dxfId="1362" priority="84">
      <formula>AND($M48,F48="")</formula>
    </cfRule>
  </conditionalFormatting>
  <conditionalFormatting sqref="F49">
    <cfRule type="expression" dxfId="1361" priority="82">
      <formula>NOT($M48)</formula>
    </cfRule>
  </conditionalFormatting>
  <conditionalFormatting sqref="F58">
    <cfRule type="expression" dxfId="1360" priority="303">
      <formula>NOT($M53)</formula>
    </cfRule>
  </conditionalFormatting>
  <conditionalFormatting sqref="F60">
    <cfRule type="expression" dxfId="1359" priority="650">
      <formula>NOT($M59)</formula>
    </cfRule>
  </conditionalFormatting>
  <conditionalFormatting sqref="F63">
    <cfRule type="expression" dxfId="1358" priority="80">
      <formula>AND($M63,F63="")</formula>
    </cfRule>
    <cfRule type="expression" dxfId="1357" priority="79">
      <formula>NOT($M63)</formula>
    </cfRule>
  </conditionalFormatting>
  <conditionalFormatting sqref="F64">
    <cfRule type="expression" dxfId="1356" priority="78">
      <formula>NOT($M63)</formula>
    </cfRule>
  </conditionalFormatting>
  <conditionalFormatting sqref="F65">
    <cfRule type="expression" dxfId="1355" priority="75">
      <formula>NOT($M65)</formula>
    </cfRule>
    <cfRule type="expression" dxfId="1354" priority="76">
      <formula>AND($M65,F65="")</formula>
    </cfRule>
  </conditionalFormatting>
  <conditionalFormatting sqref="F66">
    <cfRule type="expression" dxfId="1353" priority="74">
      <formula>NOT($M65)</formula>
    </cfRule>
  </conditionalFormatting>
  <conditionalFormatting sqref="F67">
    <cfRule type="expression" dxfId="1352" priority="72">
      <formula>AND($M67,F67="")</formula>
    </cfRule>
    <cfRule type="expression" dxfId="1351" priority="71">
      <formula>NOT($M67)</formula>
    </cfRule>
  </conditionalFormatting>
  <conditionalFormatting sqref="F68">
    <cfRule type="expression" dxfId="1350" priority="70">
      <formula>NOT($M67)</formula>
    </cfRule>
  </conditionalFormatting>
  <conditionalFormatting sqref="F74">
    <cfRule type="expression" dxfId="1349" priority="67">
      <formula>NOT($M74)</formula>
    </cfRule>
    <cfRule type="expression" dxfId="1348" priority="68">
      <formula>AND($M74,F74="")</formula>
    </cfRule>
  </conditionalFormatting>
  <conditionalFormatting sqref="F75">
    <cfRule type="expression" dxfId="1347" priority="66">
      <formula>NOT($M74)</formula>
    </cfRule>
  </conditionalFormatting>
  <conditionalFormatting sqref="F76">
    <cfRule type="expression" dxfId="1346" priority="40">
      <formula>AND($M76,F76="")</formula>
    </cfRule>
    <cfRule type="expression" dxfId="1345" priority="39">
      <formula>NOT($M76)</formula>
    </cfRule>
  </conditionalFormatting>
  <conditionalFormatting sqref="F77">
    <cfRule type="expression" dxfId="1344" priority="38">
      <formula>NOT($M76)</formula>
    </cfRule>
  </conditionalFormatting>
  <conditionalFormatting sqref="F78">
    <cfRule type="expression" dxfId="1343" priority="36">
      <formula>AND($M78,F78="")</formula>
    </cfRule>
    <cfRule type="expression" dxfId="1342" priority="35">
      <formula>NOT($M78)</formula>
    </cfRule>
  </conditionalFormatting>
  <conditionalFormatting sqref="F79">
    <cfRule type="expression" dxfId="1341" priority="34">
      <formula>NOT($M78)</formula>
    </cfRule>
  </conditionalFormatting>
  <conditionalFormatting sqref="F80">
    <cfRule type="expression" dxfId="1340" priority="32">
      <formula>AND($M80,F80="")</formula>
    </cfRule>
    <cfRule type="expression" dxfId="1339" priority="31">
      <formula>NOT($M80)</formula>
    </cfRule>
  </conditionalFormatting>
  <conditionalFormatting sqref="F81">
    <cfRule type="expression" dxfId="1338" priority="30">
      <formula>NOT($M80)</formula>
    </cfRule>
  </conditionalFormatting>
  <conditionalFormatting sqref="F82">
    <cfRule type="expression" dxfId="1337" priority="28">
      <formula>AND($M82,F82="")</formula>
    </cfRule>
    <cfRule type="expression" dxfId="1336" priority="27">
      <formula>NOT($M82)</formula>
    </cfRule>
  </conditionalFormatting>
  <conditionalFormatting sqref="F83">
    <cfRule type="expression" dxfId="1335" priority="26">
      <formula>NOT($M82)</formula>
    </cfRule>
  </conditionalFormatting>
  <conditionalFormatting sqref="F97">
    <cfRule type="expression" dxfId="1334" priority="24">
      <formula>AND($M97,F97="")</formula>
    </cfRule>
    <cfRule type="expression" dxfId="1333" priority="23">
      <formula>NOT($M97)</formula>
    </cfRule>
  </conditionalFormatting>
  <conditionalFormatting sqref="F98">
    <cfRule type="expression" dxfId="1332" priority="22">
      <formula>NOT($M97)</formula>
    </cfRule>
  </conditionalFormatting>
  <conditionalFormatting sqref="F99">
    <cfRule type="expression" dxfId="1331" priority="20">
      <formula>AND($M99,F99="")</formula>
    </cfRule>
    <cfRule type="expression" dxfId="1330" priority="19">
      <formula>NOT($M99)</formula>
    </cfRule>
  </conditionalFormatting>
  <conditionalFormatting sqref="F100">
    <cfRule type="expression" dxfId="1329" priority="18">
      <formula>NOT($M99)</formula>
    </cfRule>
  </conditionalFormatting>
  <conditionalFormatting sqref="F101">
    <cfRule type="expression" dxfId="1328" priority="15">
      <formula>NOT($M101)</formula>
    </cfRule>
    <cfRule type="expression" dxfId="1327" priority="16">
      <formula>AND($M101,F101="")</formula>
    </cfRule>
  </conditionalFormatting>
  <conditionalFormatting sqref="F102">
    <cfRule type="expression" dxfId="1326" priority="14">
      <formula>NOT($M101)</formula>
    </cfRule>
  </conditionalFormatting>
  <conditionalFormatting sqref="F115">
    <cfRule type="expression" dxfId="1325" priority="228">
      <formula>NOT($M110)</formula>
    </cfRule>
  </conditionalFormatting>
  <conditionalFormatting sqref="F119">
    <cfRule type="expression" dxfId="1324" priority="202">
      <formula>NOT($M116)</formula>
    </cfRule>
  </conditionalFormatting>
  <conditionalFormatting sqref="F129">
    <cfRule type="expression" dxfId="1323" priority="207">
      <formula>NOT($M120)</formula>
    </cfRule>
  </conditionalFormatting>
  <conditionalFormatting sqref="F131">
    <cfRule type="expression" dxfId="1322" priority="476">
      <formula>NOT($M130)</formula>
    </cfRule>
  </conditionalFormatting>
  <conditionalFormatting sqref="F132">
    <cfRule type="expression" dxfId="1321" priority="12">
      <formula>AND($M132,F132="")</formula>
    </cfRule>
    <cfRule type="expression" dxfId="1320" priority="11">
      <formula>NOT($M132)</formula>
    </cfRule>
  </conditionalFormatting>
  <conditionalFormatting sqref="F133">
    <cfRule type="expression" dxfId="1319" priority="10">
      <formula>NOT($M132)</formula>
    </cfRule>
  </conditionalFormatting>
  <conditionalFormatting sqref="F134">
    <cfRule type="expression" dxfId="1318" priority="8">
      <formula>AND($M134,F134="")</formula>
    </cfRule>
    <cfRule type="expression" dxfId="1317" priority="7">
      <formula>NOT($M134)</formula>
    </cfRule>
  </conditionalFormatting>
  <conditionalFormatting sqref="F135">
    <cfRule type="expression" dxfId="1316" priority="6">
      <formula>NOT($M134)</formula>
    </cfRule>
  </conditionalFormatting>
  <conditionalFormatting sqref="F136">
    <cfRule type="expression" dxfId="1315" priority="3">
      <formula>NOT($M136)</formula>
    </cfRule>
    <cfRule type="expression" dxfId="1314" priority="4">
      <formula>AND($M136,F136="")</formula>
    </cfRule>
  </conditionalFormatting>
  <conditionalFormatting sqref="F137">
    <cfRule type="expression" dxfId="1313" priority="2">
      <formula>NOT($M136)</formula>
    </cfRule>
  </conditionalFormatting>
  <conditionalFormatting sqref="G14">
    <cfRule type="expression" dxfId="1312" priority="622">
      <formula>NOT($M14)</formula>
    </cfRule>
  </conditionalFormatting>
  <conditionalFormatting sqref="G16">
    <cfRule type="expression" dxfId="1311" priority="143">
      <formula>NOT($M16)</formula>
    </cfRule>
  </conditionalFormatting>
  <conditionalFormatting sqref="G18">
    <cfRule type="expression" dxfId="1310" priority="142">
      <formula>NOT($M18)</formula>
    </cfRule>
  </conditionalFormatting>
  <conditionalFormatting sqref="G20">
    <cfRule type="expression" dxfId="1309" priority="124">
      <formula>NOT($M20)</formula>
    </cfRule>
  </conditionalFormatting>
  <conditionalFormatting sqref="G22">
    <cfRule type="expression" dxfId="1308" priority="676">
      <formula>NOT($M22)</formula>
    </cfRule>
  </conditionalFormatting>
  <conditionalFormatting sqref="G24">
    <cfRule type="expression" dxfId="1307" priority="672">
      <formula>NOT($M24)</formula>
    </cfRule>
  </conditionalFormatting>
  <conditionalFormatting sqref="G26">
    <cfRule type="expression" dxfId="1306" priority="384">
      <formula>NOT($M26)</formula>
    </cfRule>
  </conditionalFormatting>
  <conditionalFormatting sqref="G28">
    <cfRule type="expression" dxfId="1305" priority="383">
      <formula>NOT($M28)</formula>
    </cfRule>
  </conditionalFormatting>
  <conditionalFormatting sqref="G30">
    <cfRule type="expression" dxfId="1304" priority="310">
      <formula>NOT($M30)</formula>
    </cfRule>
  </conditionalFormatting>
  <conditionalFormatting sqref="G32">
    <cfRule type="expression" dxfId="1303" priority="309">
      <formula>NOT($M32)</formula>
    </cfRule>
  </conditionalFormatting>
  <conditionalFormatting sqref="G34">
    <cfRule type="expression" dxfId="1302" priority="347">
      <formula>NOT($M34)</formula>
    </cfRule>
  </conditionalFormatting>
  <conditionalFormatting sqref="G36">
    <cfRule type="expression" dxfId="1301" priority="346">
      <formula>NOT($M36)</formula>
    </cfRule>
  </conditionalFormatting>
  <conditionalFormatting sqref="G38">
    <cfRule type="expression" dxfId="1300" priority="668">
      <formula>NOT($M38)</formula>
    </cfRule>
  </conditionalFormatting>
  <conditionalFormatting sqref="G44">
    <cfRule type="expression" dxfId="1299" priority="664">
      <formula>NOT($M44)</formula>
    </cfRule>
  </conditionalFormatting>
  <conditionalFormatting sqref="G46">
    <cfRule type="expression" dxfId="1298" priority="424">
      <formula>NOT($M46)</formula>
    </cfRule>
  </conditionalFormatting>
  <conditionalFormatting sqref="G48">
    <cfRule type="expression" dxfId="1297" priority="660">
      <formula>NOT($M48)</formula>
    </cfRule>
  </conditionalFormatting>
  <conditionalFormatting sqref="G53">
    <cfRule type="expression" dxfId="1296" priority="627">
      <formula>NOT($M53)</formula>
    </cfRule>
  </conditionalFormatting>
  <conditionalFormatting sqref="G59">
    <cfRule type="expression" dxfId="1295" priority="652">
      <formula>NOT($M59)</formula>
    </cfRule>
  </conditionalFormatting>
  <conditionalFormatting sqref="G61">
    <cfRule type="expression" dxfId="1294" priority="647">
      <formula>NOT($M61)</formula>
    </cfRule>
  </conditionalFormatting>
  <conditionalFormatting sqref="G63">
    <cfRule type="expression" dxfId="1293" priority="642">
      <formula>NOT($M63)</formula>
    </cfRule>
  </conditionalFormatting>
  <conditionalFormatting sqref="G65">
    <cfRule type="expression" dxfId="1292" priority="637">
      <formula>NOT($M65)</formula>
    </cfRule>
  </conditionalFormatting>
  <conditionalFormatting sqref="G67">
    <cfRule type="expression" dxfId="1291" priority="632">
      <formula>NOT($M67)</formula>
    </cfRule>
  </conditionalFormatting>
  <conditionalFormatting sqref="G72">
    <cfRule type="expression" dxfId="1290" priority="609">
      <formula>NOT($M72)</formula>
    </cfRule>
  </conditionalFormatting>
  <conditionalFormatting sqref="G74">
    <cfRule type="expression" dxfId="1289" priority="591">
      <formula>NOT($M74)</formula>
    </cfRule>
  </conditionalFormatting>
  <conditionalFormatting sqref="G76">
    <cfRule type="expression" dxfId="1288" priority="573">
      <formula>NOT($M76)</formula>
    </cfRule>
  </conditionalFormatting>
  <conditionalFormatting sqref="G78">
    <cfRule type="expression" dxfId="1287" priority="555">
      <formula>NOT($M78)</formula>
    </cfRule>
  </conditionalFormatting>
  <conditionalFormatting sqref="G80">
    <cfRule type="expression" dxfId="1286" priority="537">
      <formula>NOT($M80)</formula>
    </cfRule>
  </conditionalFormatting>
  <conditionalFormatting sqref="G82">
    <cfRule type="expression" dxfId="1285" priority="519">
      <formula>NOT($M82)</formula>
    </cfRule>
  </conditionalFormatting>
  <conditionalFormatting sqref="G87">
    <cfRule type="expression" dxfId="1284" priority="509">
      <formula>NOT($M87)</formula>
    </cfRule>
  </conditionalFormatting>
  <conditionalFormatting sqref="G89">
    <cfRule type="expression" dxfId="1283" priority="180">
      <formula>NOT($M89)</formula>
    </cfRule>
  </conditionalFormatting>
  <conditionalFormatting sqref="G91">
    <cfRule type="expression" dxfId="1282" priority="505">
      <formula>NOT($M91)</formula>
    </cfRule>
  </conditionalFormatting>
  <conditionalFormatting sqref="G93">
    <cfRule type="expression" dxfId="1281" priority="503">
      <formula>NOT($M93)</formula>
    </cfRule>
  </conditionalFormatting>
  <conditionalFormatting sqref="G95">
    <cfRule type="expression" dxfId="1280" priority="498">
      <formula>NOT($M95)</formula>
    </cfRule>
  </conditionalFormatting>
  <conditionalFormatting sqref="G97">
    <cfRule type="expression" dxfId="1279" priority="493">
      <formula>NOT($M97)</formula>
    </cfRule>
  </conditionalFormatting>
  <conditionalFormatting sqref="G99">
    <cfRule type="expression" dxfId="1278" priority="488">
      <formula>NOT($M99)</formula>
    </cfRule>
  </conditionalFormatting>
  <conditionalFormatting sqref="G101">
    <cfRule type="expression" dxfId="1277" priority="483">
      <formula>NOT($M101)</formula>
    </cfRule>
  </conditionalFormatting>
  <conditionalFormatting sqref="G106">
    <cfRule type="expression" dxfId="1276" priority="457">
      <formula>NOT($M106)</formula>
    </cfRule>
  </conditionalFormatting>
  <conditionalFormatting sqref="G108">
    <cfRule type="expression" dxfId="1275" priority="221">
      <formula>NOT($M108)</formula>
    </cfRule>
  </conditionalFormatting>
  <conditionalFormatting sqref="G110">
    <cfRule type="expression" dxfId="1274" priority="230">
      <formula>NOT($M110)</formula>
    </cfRule>
  </conditionalFormatting>
  <conditionalFormatting sqref="G116">
    <cfRule type="expression" dxfId="1273" priority="225">
      <formula>NOT($M116)</formula>
    </cfRule>
  </conditionalFormatting>
  <conditionalFormatting sqref="G120">
    <cfRule type="expression" dxfId="1272" priority="459">
      <formula>NOT($M120)</formula>
    </cfRule>
  </conditionalFormatting>
  <conditionalFormatting sqref="G130">
    <cfRule type="expression" dxfId="1270" priority="478">
      <formula>NOT($M130)</formula>
    </cfRule>
  </conditionalFormatting>
  <conditionalFormatting sqref="G132">
    <cfRule type="expression" dxfId="1269" priority="473">
      <formula>NOT($M132)</formula>
    </cfRule>
  </conditionalFormatting>
  <conditionalFormatting sqref="G134">
    <cfRule type="expression" dxfId="1268" priority="468">
      <formula>NOT($M134)</formula>
    </cfRule>
  </conditionalFormatting>
  <conditionalFormatting sqref="G136">
    <cfRule type="expression" dxfId="1267" priority="463">
      <formula>NOT($M136)</formula>
    </cfRule>
  </conditionalFormatting>
  <conditionalFormatting sqref="H14:I14">
    <cfRule type="expression" dxfId="1265" priority="1585">
      <formula>AND(M14,OR(G14="pauschal",J14&lt;&gt;""))</formula>
    </cfRule>
    <cfRule type="expression" dxfId="1264" priority="1582">
      <formula>AND(M14,H14="",G14&lt;&gt;"pauschal",J14="")</formula>
    </cfRule>
    <cfRule type="expression" dxfId="1263" priority="1581">
      <formula>M14=FALSE</formula>
    </cfRule>
  </conditionalFormatting>
  <conditionalFormatting sqref="H16:I16">
    <cfRule type="expression" dxfId="1262" priority="173">
      <formula>AND(M16,OR(G16="pauschal",J16&lt;&gt;""))</formula>
    </cfRule>
    <cfRule type="expression" dxfId="1261" priority="158">
      <formula>AND(M16,H16="",G16&lt;&gt;"pauschal",J16="")</formula>
    </cfRule>
    <cfRule type="expression" dxfId="1260" priority="169">
      <formula>M16=FALSE</formula>
    </cfRule>
    <cfRule type="expression" dxfId="1259" priority="161">
      <formula>AND(M16,OR(G16="pauschal",J16&lt;&gt;""))</formula>
    </cfRule>
    <cfRule type="expression" dxfId="1258" priority="157">
      <formula>M16=FALSE</formula>
    </cfRule>
    <cfRule type="expression" dxfId="1257" priority="170">
      <formula>AND(M16,H16="",G16&lt;&gt;"pauschal",J16="")</formula>
    </cfRule>
  </conditionalFormatting>
  <conditionalFormatting sqref="H18:I18">
    <cfRule type="expression" dxfId="1256" priority="152">
      <formula>AND(M18,H18="",G18&lt;&gt;"pauschal",J18="")</formula>
    </cfRule>
    <cfRule type="expression" dxfId="1255" priority="155">
      <formula>AND(M18,OR(G18="pauschal",J18&lt;&gt;""))</formula>
    </cfRule>
    <cfRule type="expression" dxfId="1254" priority="145">
      <formula>M18=FALSE</formula>
    </cfRule>
    <cfRule type="expression" dxfId="1253" priority="167">
      <formula>AND(M18,OR(G18="pauschal",J18&lt;&gt;""))</formula>
    </cfRule>
    <cfRule type="expression" dxfId="1252" priority="146">
      <formula>AND(M18,H18="",G18&lt;&gt;"pauschal",J18="")</formula>
    </cfRule>
    <cfRule type="expression" dxfId="1251" priority="151">
      <formula>M18=FALSE</formula>
    </cfRule>
    <cfRule type="expression" dxfId="1250" priority="149">
      <formula>AND(M18,OR(G18="pauschal",J18&lt;&gt;""))</formula>
    </cfRule>
    <cfRule type="expression" dxfId="1249" priority="164">
      <formula>AND(M18,H18="",G18&lt;&gt;"pauschal",J18="")</formula>
    </cfRule>
    <cfRule type="expression" dxfId="1248" priority="163">
      <formula>M18=FALSE</formula>
    </cfRule>
  </conditionalFormatting>
  <conditionalFormatting sqref="H20:I20">
    <cfRule type="expression" dxfId="1247" priority="126">
      <formula>M20=FALSE</formula>
    </cfRule>
    <cfRule type="expression" dxfId="1246" priority="136">
      <formula>AND(M20,OR(G20="pauschal",J20&lt;&gt;""))</formula>
    </cfRule>
    <cfRule type="expression" dxfId="1245" priority="133">
      <formula>AND(M20,H20="",G20&lt;&gt;"pauschal",J20="")</formula>
    </cfRule>
    <cfRule type="expression" dxfId="1244" priority="132">
      <formula>M20=FALSE</formula>
    </cfRule>
    <cfRule type="expression" dxfId="1243" priority="130">
      <formula>AND(M20,OR(G20="pauschal",J20&lt;&gt;""))</formula>
    </cfRule>
    <cfRule type="expression" dxfId="1242" priority="127">
      <formula>AND(M20,H20="",G20&lt;&gt;"pauschal",J20="")</formula>
    </cfRule>
  </conditionalFormatting>
  <conditionalFormatting sqref="H22:I22">
    <cfRule type="expression" dxfId="1241" priority="1373">
      <formula>M22=FALSE</formula>
    </cfRule>
    <cfRule type="expression" dxfId="1240" priority="1576">
      <formula>AND(M22,H22="",G22&lt;&gt;"pauschal",J22="")</formula>
    </cfRule>
    <cfRule type="expression" dxfId="1239" priority="1575">
      <formula>M22=FALSE</formula>
    </cfRule>
    <cfRule type="expression" dxfId="1238" priority="1377">
      <formula>AND(M22,OR(G22="pauschal",J22&lt;&gt;""))</formula>
    </cfRule>
    <cfRule type="expression" dxfId="1237" priority="1374">
      <formula>AND(M22,H22="",G22&lt;&gt;"pauschal",J22="")</formula>
    </cfRule>
    <cfRule type="expression" dxfId="1236" priority="1579">
      <formula>AND(M22,OR(G22="pauschal",J22&lt;&gt;""))</formula>
    </cfRule>
  </conditionalFormatting>
  <conditionalFormatting sqref="H24:I24">
    <cfRule type="expression" dxfId="1235" priority="1573">
      <formula>AND(M24,OR(G24="pauschal",J24&lt;&gt;""))</formula>
    </cfRule>
    <cfRule type="expression" dxfId="1234" priority="1570">
      <formula>AND(M24,H24="",G24&lt;&gt;"pauschal",J24="")</formula>
    </cfRule>
    <cfRule type="expression" dxfId="1233" priority="1569">
      <formula>M24=FALSE</formula>
    </cfRule>
    <cfRule type="expression" dxfId="1232" priority="1359">
      <formula>M24=FALSE</formula>
    </cfRule>
    <cfRule type="expression" dxfId="1231" priority="1360">
      <formula>AND(M24,H24="",G24&lt;&gt;"pauschal",J24="")</formula>
    </cfRule>
    <cfRule type="expression" dxfId="1230" priority="1363">
      <formula>AND(M24,OR(G24="pauschal",J24&lt;&gt;""))</formula>
    </cfRule>
    <cfRule type="expression" dxfId="1229" priority="1366">
      <formula>M24=FALSE</formula>
    </cfRule>
    <cfRule type="expression" dxfId="1228" priority="1367">
      <formula>AND(M24,H24="",G24&lt;&gt;"pauschal",J24="")</formula>
    </cfRule>
    <cfRule type="expression" dxfId="1227" priority="1370">
      <formula>AND(M24,OR(G24="pauschal",J24&lt;&gt;""))</formula>
    </cfRule>
  </conditionalFormatting>
  <conditionalFormatting sqref="H26:I26">
    <cfRule type="expression" dxfId="1226" priority="399">
      <formula>AND(M26,H26="",G26&lt;&gt;"pauschal",J26="")</formula>
    </cfRule>
    <cfRule type="expression" dxfId="1225" priority="402">
      <formula>AND(M26,OR(G26="pauschal",J26&lt;&gt;""))</formula>
    </cfRule>
    <cfRule type="expression" dxfId="1224" priority="411">
      <formula>AND(M26,H26="",G26&lt;&gt;"pauschal",J26="")</formula>
    </cfRule>
    <cfRule type="expression" dxfId="1223" priority="414">
      <formula>AND(M26,OR(G26="pauschal",J26&lt;&gt;""))</formula>
    </cfRule>
    <cfRule type="expression" dxfId="1222" priority="410">
      <formula>M26=FALSE</formula>
    </cfRule>
    <cfRule type="expression" dxfId="1221" priority="398">
      <formula>M26=FALSE</formula>
    </cfRule>
  </conditionalFormatting>
  <conditionalFormatting sqref="H28:I28">
    <cfRule type="expression" dxfId="1220" priority="387">
      <formula>AND(M28,H28="",G28&lt;&gt;"pauschal",J28="")</formula>
    </cfRule>
    <cfRule type="expression" dxfId="1219" priority="386">
      <formula>M28=FALSE</formula>
    </cfRule>
    <cfRule type="expression" dxfId="1218" priority="408">
      <formula>AND(M28,OR(G28="pauschal",J28&lt;&gt;""))</formula>
    </cfRule>
    <cfRule type="expression" dxfId="1217" priority="390">
      <formula>AND(M28,OR(G28="pauschal",J28&lt;&gt;""))</formula>
    </cfRule>
    <cfRule type="expression" dxfId="1216" priority="392">
      <formula>M28=FALSE</formula>
    </cfRule>
    <cfRule type="expression" dxfId="1215" priority="393">
      <formula>AND(M28,H28="",G28&lt;&gt;"pauschal",J28="")</formula>
    </cfRule>
    <cfRule type="expression" dxfId="1214" priority="396">
      <formula>AND(M28,OR(G28="pauschal",J28&lt;&gt;""))</formula>
    </cfRule>
    <cfRule type="expression" dxfId="1213" priority="404">
      <formula>M28=FALSE</formula>
    </cfRule>
    <cfRule type="expression" dxfId="1212" priority="405">
      <formula>AND(M28,H28="",G28&lt;&gt;"pauschal",J28="")</formula>
    </cfRule>
  </conditionalFormatting>
  <conditionalFormatting sqref="H30:I30">
    <cfRule type="expression" dxfId="1211" priority="324">
      <formula>M30=FALSE</formula>
    </cfRule>
    <cfRule type="expression" dxfId="1210" priority="328">
      <formula>AND(M30,OR(G30="pauschal",J30&lt;&gt;""))</formula>
    </cfRule>
    <cfRule type="expression" dxfId="1209" priority="325">
      <formula>AND(M30,H30="",G30&lt;&gt;"pauschal",J30="")</formula>
    </cfRule>
    <cfRule type="expression" dxfId="1208" priority="336">
      <formula>M30=FALSE</formula>
    </cfRule>
    <cfRule type="expression" dxfId="1207" priority="337">
      <formula>AND(M30,H30="",G30&lt;&gt;"pauschal",J30="")</formula>
    </cfRule>
    <cfRule type="expression" dxfId="1206" priority="340">
      <formula>AND(M30,OR(G30="pauschal",J30&lt;&gt;""))</formula>
    </cfRule>
  </conditionalFormatting>
  <conditionalFormatting sqref="H32:I32">
    <cfRule type="expression" dxfId="1205" priority="312">
      <formula>M32=FALSE</formula>
    </cfRule>
    <cfRule type="expression" dxfId="1204" priority="313">
      <formula>AND(M32,H32="",G32&lt;&gt;"pauschal",J32="")</formula>
    </cfRule>
    <cfRule type="expression" dxfId="1203" priority="316">
      <formula>AND(M32,OR(G32="pauschal",J32&lt;&gt;""))</formula>
    </cfRule>
    <cfRule type="expression" dxfId="1202" priority="318">
      <formula>M32=FALSE</formula>
    </cfRule>
    <cfRule type="expression" dxfId="1201" priority="331">
      <formula>AND(M32,H32="",G32&lt;&gt;"pauschal",J32="")</formula>
    </cfRule>
    <cfRule type="expression" dxfId="1200" priority="322">
      <formula>AND(M32,OR(G32="pauschal",J32&lt;&gt;""))</formula>
    </cfRule>
    <cfRule type="expression" dxfId="1199" priority="319">
      <formula>AND(M32,H32="",G32&lt;&gt;"pauschal",J32="")</formula>
    </cfRule>
    <cfRule type="expression" dxfId="1198" priority="330">
      <formula>M32=FALSE</formula>
    </cfRule>
    <cfRule type="expression" dxfId="1197" priority="334">
      <formula>AND(M32,OR(G32="pauschal",J32&lt;&gt;""))</formula>
    </cfRule>
  </conditionalFormatting>
  <conditionalFormatting sqref="H34:I34">
    <cfRule type="expression" dxfId="1196" priority="377">
      <formula>AND(M34,OR(G34="pauschal",J34&lt;&gt;""))</formula>
    </cfRule>
    <cfRule type="expression" dxfId="1195" priority="373">
      <formula>M34=FALSE</formula>
    </cfRule>
    <cfRule type="expression" dxfId="1194" priority="362">
      <formula>AND(M34,H34="",G34&lt;&gt;"pauschal",J34="")</formula>
    </cfRule>
    <cfRule type="expression" dxfId="1193" priority="365">
      <formula>AND(M34,OR(G34="pauschal",J34&lt;&gt;""))</formula>
    </cfRule>
    <cfRule type="expression" dxfId="1192" priority="361">
      <formula>M34=FALSE</formula>
    </cfRule>
    <cfRule type="expression" dxfId="1191" priority="374">
      <formula>AND(M34,H34="",G34&lt;&gt;"pauschal",J34="")</formula>
    </cfRule>
  </conditionalFormatting>
  <conditionalFormatting sqref="H36:I36">
    <cfRule type="expression" dxfId="1190" priority="359">
      <formula>AND(M36,OR(G36="pauschal",J36&lt;&gt;""))</formula>
    </cfRule>
    <cfRule type="expression" dxfId="1189" priority="356">
      <formula>AND(M36,H36="",G36&lt;&gt;"pauschal",J36="")</formula>
    </cfRule>
    <cfRule type="expression" dxfId="1188" priority="371">
      <formula>AND(M36,OR(G36="pauschal",J36&lt;&gt;""))</formula>
    </cfRule>
    <cfRule type="expression" dxfId="1187" priority="353">
      <formula>AND(M36,OR(G36="pauschal",J36&lt;&gt;""))</formula>
    </cfRule>
    <cfRule type="expression" dxfId="1186" priority="367">
      <formula>M36=FALSE</formula>
    </cfRule>
    <cfRule type="expression" dxfId="1185" priority="368">
      <formula>AND(M36,H36="",G36&lt;&gt;"pauschal",J36="")</formula>
    </cfRule>
    <cfRule type="expression" dxfId="1184" priority="349">
      <formula>M36=FALSE</formula>
    </cfRule>
    <cfRule type="expression" dxfId="1183" priority="350">
      <formula>AND(M36,H36="",G36&lt;&gt;"pauschal",J36="")</formula>
    </cfRule>
    <cfRule type="expression" dxfId="1182" priority="355">
      <formula>M36=FALSE</formula>
    </cfRule>
  </conditionalFormatting>
  <conditionalFormatting sqref="H38:I38">
    <cfRule type="expression" dxfId="1181" priority="1351">
      <formula>M38=FALSE</formula>
    </cfRule>
    <cfRule type="expression" dxfId="1180" priority="1352">
      <formula>AND(M38,H38="",G38&lt;&gt;"pauschal",J38="")</formula>
    </cfRule>
    <cfRule type="expression" dxfId="1179" priority="1355">
      <formula>AND(M38,OR(G38="pauschal",J38&lt;&gt;""))</formula>
    </cfRule>
    <cfRule type="expression" dxfId="1178" priority="1567">
      <formula>AND(M38,OR(G38="pauschal",J38&lt;&gt;""))</formula>
    </cfRule>
    <cfRule type="expression" dxfId="1177" priority="1339">
      <formula>AND(M38,H38="",G38&lt;&gt;"pauschal",J38="")</formula>
    </cfRule>
    <cfRule type="expression" dxfId="1176" priority="1563">
      <formula>M38=FALSE</formula>
    </cfRule>
    <cfRule type="expression" dxfId="1175" priority="1564">
      <formula>AND(M38,H38="",G38&lt;&gt;"pauschal",J38="")</formula>
    </cfRule>
    <cfRule type="expression" dxfId="1174" priority="1338">
      <formula>M38=FALSE</formula>
    </cfRule>
    <cfRule type="expression" dxfId="1173" priority="1342">
      <formula>AND(M38,OR(G38="pauschal",J38&lt;&gt;""))</formula>
    </cfRule>
  </conditionalFormatting>
  <conditionalFormatting sqref="H44:I44">
    <cfRule type="expression" dxfId="1172" priority="1331">
      <formula>M44=FALSE</formula>
    </cfRule>
    <cfRule type="expression" dxfId="1171" priority="1328">
      <formula>AND(M44,OR(G44="pauschal",J44&lt;&gt;""))</formula>
    </cfRule>
    <cfRule type="expression" dxfId="1170" priority="1325">
      <formula>AND(M44,H44="",G44&lt;&gt;"pauschal",J44="")</formula>
    </cfRule>
    <cfRule type="expression" dxfId="1169" priority="1324">
      <formula>M44=FALSE</formula>
    </cfRule>
    <cfRule type="expression" dxfId="1168" priority="1557">
      <formula>M44=FALSE</formula>
    </cfRule>
    <cfRule type="expression" dxfId="1167" priority="1345">
      <formula>M44=FALSE</formula>
    </cfRule>
    <cfRule type="expression" dxfId="1166" priority="1561">
      <formula>AND(M44,OR(G44="pauschal",J44&lt;&gt;""))</formula>
    </cfRule>
    <cfRule type="expression" dxfId="1165" priority="1558">
      <formula>AND(M44,H44="",G44&lt;&gt;"pauschal",J44="")</formula>
    </cfRule>
    <cfRule type="expression" dxfId="1164" priority="1346">
      <formula>AND(M44,H44="",G44&lt;&gt;"pauschal",J44="")</formula>
    </cfRule>
    <cfRule type="expression" dxfId="1163" priority="1349">
      <formula>AND(M44,OR(G44="pauschal",J44&lt;&gt;""))</formula>
    </cfRule>
    <cfRule type="expression" dxfId="1162" priority="1335">
      <formula>AND(M44,OR(G44="pauschal",J44&lt;&gt;""))</formula>
    </cfRule>
    <cfRule type="expression" dxfId="1161" priority="1332">
      <formula>AND(M44,H44="",G44&lt;&gt;"pauschal",J44="")</formula>
    </cfRule>
  </conditionalFormatting>
  <conditionalFormatting sqref="H46:I46">
    <cfRule type="expression" dxfId="1160" priority="429">
      <formula>AND(M46,H46="",G46&lt;&gt;"pauschal",J46="")</formula>
    </cfRule>
    <cfRule type="expression" dxfId="1159" priority="440">
      <formula>M46=FALSE</formula>
    </cfRule>
    <cfRule type="expression" dxfId="1158" priority="441">
      <formula>AND(M46,H46="",G46&lt;&gt;"pauschal",J46="")</formula>
    </cfRule>
    <cfRule type="expression" dxfId="1157" priority="444">
      <formula>AND(M46,OR(G46="pauschal",J46&lt;&gt;""))</formula>
    </cfRule>
    <cfRule type="expression" dxfId="1156" priority="446">
      <formula>M46=FALSE</formula>
    </cfRule>
    <cfRule type="expression" dxfId="1155" priority="447">
      <formula>AND(M46,H46="",G46&lt;&gt;"pauschal",J46="")</formula>
    </cfRule>
    <cfRule type="expression" dxfId="1154" priority="450">
      <formula>AND(M46,OR(G46="pauschal",J46&lt;&gt;""))</formula>
    </cfRule>
    <cfRule type="expression" dxfId="1153" priority="434">
      <formula>M46=FALSE</formula>
    </cfRule>
    <cfRule type="expression" dxfId="1152" priority="435">
      <formula>AND(M46,H46="",G46&lt;&gt;"pauschal",J46="")</formula>
    </cfRule>
    <cfRule type="expression" dxfId="1151" priority="432">
      <formula>AND(M46,OR(G46="pauschal",J46&lt;&gt;""))</formula>
    </cfRule>
    <cfRule type="expression" dxfId="1150" priority="428">
      <formula>M46=FALSE</formula>
    </cfRule>
    <cfRule type="expression" dxfId="1149" priority="438">
      <formula>AND(M46,OR(G46="pauschal",J46&lt;&gt;""))</formula>
    </cfRule>
  </conditionalFormatting>
  <conditionalFormatting sqref="H48:I48">
    <cfRule type="expression" dxfId="1148" priority="1551">
      <formula>M48=FALSE</formula>
    </cfRule>
    <cfRule type="expression" dxfId="1147" priority="1552">
      <formula>AND(M48,H48="",G48&lt;&gt;"pauschal",J48="")</formula>
    </cfRule>
    <cfRule type="expression" dxfId="1146" priority="1555">
      <formula>AND(M48,OR(G48="pauschal",J48&lt;&gt;""))</formula>
    </cfRule>
    <cfRule type="expression" dxfId="1145" priority="1311">
      <formula>AND(M48,H48="",G48&lt;&gt;"pauschal",J48="")</formula>
    </cfRule>
    <cfRule type="expression" dxfId="1144" priority="1314">
      <formula>AND(M48,OR(G48="pauschal",J48&lt;&gt;""))</formula>
    </cfRule>
    <cfRule type="expression" dxfId="1143" priority="1317">
      <formula>M48=FALSE</formula>
    </cfRule>
    <cfRule type="expression" dxfId="1142" priority="1303">
      <formula>M48=FALSE</formula>
    </cfRule>
    <cfRule type="expression" dxfId="1141" priority="1304">
      <formula>AND(M48,H48="",G48&lt;&gt;"pauschal",J48="")</formula>
    </cfRule>
    <cfRule type="expression" dxfId="1140" priority="1307">
      <formula>AND(M48,OR(G48="pauschal",J48&lt;&gt;""))</formula>
    </cfRule>
    <cfRule type="expression" dxfId="1139" priority="1310">
      <formula>M48=FALSE</formula>
    </cfRule>
    <cfRule type="expression" dxfId="1138" priority="1318">
      <formula>AND(M48,H48="",G48&lt;&gt;"pauschal",J48="")</formula>
    </cfRule>
    <cfRule type="expression" dxfId="1137" priority="1321">
      <formula>AND(M48,OR(G48="pauschal",J48&lt;&gt;""))</formula>
    </cfRule>
  </conditionalFormatting>
  <conditionalFormatting sqref="H53:I53">
    <cfRule type="expression" dxfId="1136" priority="1295">
      <formula>AND(M53,OR(G53="pauschal",J53&lt;&gt;""))</formula>
    </cfRule>
    <cfRule type="expression" dxfId="1135" priority="1292">
      <formula>AND(M53,H53="",G53&lt;&gt;"pauschal",J53="")</formula>
    </cfRule>
    <cfRule type="expression" dxfId="1134" priority="1291">
      <formula>M53=FALSE</formula>
    </cfRule>
  </conditionalFormatting>
  <conditionalFormatting sqref="H59:I59">
    <cfRule type="expression" dxfId="1133" priority="1289">
      <formula>AND(M59,OR(G59="pauschal",J59&lt;&gt;""))</formula>
    </cfRule>
    <cfRule type="expression" dxfId="1132" priority="1286">
      <formula>AND(M59,H59="",G59&lt;&gt;"pauschal",J59="")</formula>
    </cfRule>
    <cfRule type="expression" dxfId="1131" priority="1285">
      <formula>M59=FALSE</formula>
    </cfRule>
    <cfRule type="expression" dxfId="1130" priority="1253">
      <formula>M59=FALSE</formula>
    </cfRule>
    <cfRule type="expression" dxfId="1129" priority="1257">
      <formula>AND(M59,OR(G59="pauschal",J59&lt;&gt;""))</formula>
    </cfRule>
    <cfRule type="expression" dxfId="1128" priority="1254">
      <formula>AND(M59,H59="",G59&lt;&gt;"pauschal",J59="")</formula>
    </cfRule>
  </conditionalFormatting>
  <conditionalFormatting sqref="H61:I61">
    <cfRule type="expression" dxfId="1127" priority="1246">
      <formula>M61=FALSE</formula>
    </cfRule>
    <cfRule type="expression" dxfId="1126" priority="1283">
      <formula>AND(M61,OR(G61="pauschal",J61&lt;&gt;""))</formula>
    </cfRule>
    <cfRule type="expression" dxfId="1125" priority="1250">
      <formula>AND(M61,OR(G61="pauschal",J61&lt;&gt;""))</formula>
    </cfRule>
    <cfRule type="expression" dxfId="1124" priority="1279">
      <formula>M61=FALSE</formula>
    </cfRule>
    <cfRule type="expression" dxfId="1123" priority="1280">
      <formula>AND(M61,H61="",G61&lt;&gt;"pauschal",J61="")</formula>
    </cfRule>
    <cfRule type="expression" dxfId="1122" priority="1239">
      <formula>M61=FALSE</formula>
    </cfRule>
    <cfRule type="expression" dxfId="1121" priority="1247">
      <formula>AND(M61,H61="",G61&lt;&gt;"pauschal",J61="")</formula>
    </cfRule>
    <cfRule type="expression" dxfId="1120" priority="1243">
      <formula>AND(M61,OR(G61="pauschal",J61&lt;&gt;""))</formula>
    </cfRule>
    <cfRule type="expression" dxfId="1119" priority="1240">
      <formula>AND(M61,H61="",G61&lt;&gt;"pauschal",J61="")</formula>
    </cfRule>
  </conditionalFormatting>
  <conditionalFormatting sqref="H63:I63">
    <cfRule type="expression" dxfId="1118" priority="1235">
      <formula>AND(M63,OR(G63="pauschal",J63&lt;&gt;""))</formula>
    </cfRule>
    <cfRule type="expression" dxfId="1117" priority="1273">
      <formula>M63=FALSE</formula>
    </cfRule>
    <cfRule type="expression" dxfId="1116" priority="1231">
      <formula>M63=FALSE</formula>
    </cfRule>
    <cfRule type="expression" dxfId="1115" priority="1274">
      <formula>AND(M63,H63="",G63&lt;&gt;"pauschal",J63="")</formula>
    </cfRule>
    <cfRule type="expression" dxfId="1114" priority="1222">
      <formula>AND(M63,OR(G63="pauschal",J63&lt;&gt;""))</formula>
    </cfRule>
    <cfRule type="expression" dxfId="1113" priority="1219">
      <formula>AND(M63,H63="",G63&lt;&gt;"pauschal",J63="")</formula>
    </cfRule>
    <cfRule type="expression" dxfId="1112" priority="1218">
      <formula>M63=FALSE</formula>
    </cfRule>
    <cfRule type="expression" dxfId="1111" priority="1232">
      <formula>AND(M63,H63="",G63&lt;&gt;"pauschal",J63="")</formula>
    </cfRule>
    <cfRule type="expression" dxfId="1110" priority="1277">
      <formula>AND(M63,OR(G63="pauschal",J63&lt;&gt;""))</formula>
    </cfRule>
  </conditionalFormatting>
  <conditionalFormatting sqref="H65:I65">
    <cfRule type="expression" dxfId="1109" priority="1208">
      <formula>AND(M65,OR(G65="pauschal",J65&lt;&gt;""))</formula>
    </cfRule>
    <cfRule type="expression" dxfId="1108" priority="1267">
      <formula>M65=FALSE</formula>
    </cfRule>
    <cfRule type="expression" dxfId="1107" priority="1268">
      <formula>AND(M65,H65="",G65&lt;&gt;"pauschal",J65="")</formula>
    </cfRule>
    <cfRule type="expression" dxfId="1106" priority="1205">
      <formula>AND(M65,H65="",G65&lt;&gt;"pauschal",J65="")</formula>
    </cfRule>
    <cfRule type="expression" dxfId="1105" priority="1204">
      <formula>M65=FALSE</formula>
    </cfRule>
    <cfRule type="expression" dxfId="1104" priority="1271">
      <formula>AND(M65,OR(G65="pauschal",J65&lt;&gt;""))</formula>
    </cfRule>
    <cfRule type="expression" dxfId="1103" priority="1229">
      <formula>AND(M65,OR(G65="pauschal",J65&lt;&gt;""))</formula>
    </cfRule>
    <cfRule type="expression" dxfId="1102" priority="1225">
      <formula>M65=FALSE</formula>
    </cfRule>
    <cfRule type="expression" dxfId="1101" priority="1226">
      <formula>AND(M65,H65="",G65&lt;&gt;"pauschal",J65="")</formula>
    </cfRule>
    <cfRule type="expression" dxfId="1100" priority="1215">
      <formula>AND(M65,OR(G65="pauschal",J65&lt;&gt;""))</formula>
    </cfRule>
    <cfRule type="expression" dxfId="1099" priority="1212">
      <formula>AND(M65,H65="",G65&lt;&gt;"pauschal",J65="")</formula>
    </cfRule>
    <cfRule type="expression" dxfId="1098" priority="1211">
      <formula>M65=FALSE</formula>
    </cfRule>
  </conditionalFormatting>
  <conditionalFormatting sqref="H67:I67">
    <cfRule type="expression" dxfId="1097" priority="1184">
      <formula>AND(M67,H67="",G67&lt;&gt;"pauschal",J67="")</formula>
    </cfRule>
    <cfRule type="expression" dxfId="1096" priority="1201">
      <formula>AND(M67,OR(G67="pauschal",J67&lt;&gt;""))</formula>
    </cfRule>
    <cfRule type="expression" dxfId="1095" priority="1191">
      <formula>AND(M67,H67="",G67&lt;&gt;"pauschal",J67="")</formula>
    </cfRule>
    <cfRule type="expression" dxfId="1094" priority="1194">
      <formula>AND(M67,OR(G67="pauschal",J67&lt;&gt;""))</formula>
    </cfRule>
    <cfRule type="expression" dxfId="1093" priority="1198">
      <formula>AND(M67,H67="",G67&lt;&gt;"pauschal",J67="")</formula>
    </cfRule>
    <cfRule type="expression" dxfId="1092" priority="1197">
      <formula>M67=FALSE</formula>
    </cfRule>
    <cfRule type="expression" dxfId="1091" priority="1261">
      <formula>M67=FALSE</formula>
    </cfRule>
    <cfRule type="expression" dxfId="1090" priority="1183">
      <formula>M67=FALSE</formula>
    </cfRule>
    <cfRule type="expression" dxfId="1089" priority="1265">
      <formula>AND(M67,OR(G67="pauschal",J67&lt;&gt;""))</formula>
    </cfRule>
    <cfRule type="expression" dxfId="1088" priority="1262">
      <formula>AND(M67,H67="",G67&lt;&gt;"pauschal",J67="")</formula>
    </cfRule>
    <cfRule type="expression" dxfId="1087" priority="1187">
      <formula>AND(M67,OR(G67="pauschal",J67&lt;&gt;""))</formula>
    </cfRule>
    <cfRule type="expression" dxfId="1086" priority="1190">
      <formula>M67=FALSE</formula>
    </cfRule>
  </conditionalFormatting>
  <conditionalFormatting sqref="H72:I72">
    <cfRule type="expression" dxfId="1085" priority="614">
      <formula>M72=FALSE</formula>
    </cfRule>
    <cfRule type="expression" dxfId="1084" priority="618">
      <formula>AND(M72,OR(G72="pauschal",J72&lt;&gt;""))</formula>
    </cfRule>
    <cfRule type="expression" dxfId="1083" priority="615">
      <formula>AND(M72,H72="",G72&lt;&gt;"pauschal",J72="")</formula>
    </cfRule>
  </conditionalFormatting>
  <conditionalFormatting sqref="H74:I74">
    <cfRule type="expression" dxfId="1082" priority="596">
      <formula>AND(M74,H74="",G74&lt;&gt;"pauschal",J74="")</formula>
    </cfRule>
    <cfRule type="expression" dxfId="1081" priority="605">
      <formula>AND(M74,OR(G74="pauschal",J74&lt;&gt;""))</formula>
    </cfRule>
    <cfRule type="expression" dxfId="1080" priority="602">
      <formula>AND(M74,H74="",G74&lt;&gt;"pauschal",J74="")</formula>
    </cfRule>
    <cfRule type="expression" dxfId="1079" priority="595">
      <formula>M74=FALSE</formula>
    </cfRule>
    <cfRule type="expression" dxfId="1078" priority="601">
      <formula>M74=FALSE</formula>
    </cfRule>
    <cfRule type="expression" dxfId="1077" priority="599">
      <formula>AND(M74,OR(G74="pauschal",J74&lt;&gt;""))</formula>
    </cfRule>
  </conditionalFormatting>
  <conditionalFormatting sqref="H76:I76">
    <cfRule type="expression" dxfId="1076" priority="577">
      <formula>M76=FALSE</formula>
    </cfRule>
    <cfRule type="expression" dxfId="1075" priority="587">
      <formula>AND(M76,OR(G76="pauschal",J76&lt;&gt;""))</formula>
    </cfRule>
    <cfRule type="expression" dxfId="1074" priority="584">
      <formula>AND(M76,H76="",G76&lt;&gt;"pauschal",J76="")</formula>
    </cfRule>
    <cfRule type="expression" dxfId="1073" priority="583">
      <formula>M76=FALSE</formula>
    </cfRule>
    <cfRule type="expression" dxfId="1072" priority="581">
      <formula>AND(M76,OR(G76="pauschal",J76&lt;&gt;""))</formula>
    </cfRule>
    <cfRule type="expression" dxfId="1071" priority="578">
      <formula>AND(M76,H76="",G76&lt;&gt;"pauschal",J76="")</formula>
    </cfRule>
  </conditionalFormatting>
  <conditionalFormatting sqref="H78:I78">
    <cfRule type="expression" dxfId="1070" priority="560">
      <formula>AND(M78,H78="",G78&lt;&gt;"pauschal",J78="")</formula>
    </cfRule>
    <cfRule type="expression" dxfId="1069" priority="559">
      <formula>M78=FALSE</formula>
    </cfRule>
    <cfRule type="expression" dxfId="1068" priority="563">
      <formula>AND(M78,OR(G78="pauschal",J78&lt;&gt;""))</formula>
    </cfRule>
    <cfRule type="expression" dxfId="1067" priority="569">
      <formula>AND(M78,OR(G78="pauschal",J78&lt;&gt;""))</formula>
    </cfRule>
    <cfRule type="expression" dxfId="1066" priority="566">
      <formula>AND(M78,H78="",G78&lt;&gt;"pauschal",J78="")</formula>
    </cfRule>
    <cfRule type="expression" dxfId="1065" priority="565">
      <formula>M78=FALSE</formula>
    </cfRule>
  </conditionalFormatting>
  <conditionalFormatting sqref="H80:I80">
    <cfRule type="expression" dxfId="1064" priority="551">
      <formula>AND(M80,OR(G80="pauschal",J80&lt;&gt;""))</formula>
    </cfRule>
    <cfRule type="expression" dxfId="1063" priority="542">
      <formula>AND(M80,H80="",G80&lt;&gt;"pauschal",J80="")</formula>
    </cfRule>
    <cfRule type="expression" dxfId="1062" priority="541">
      <formula>M80=FALSE</formula>
    </cfRule>
    <cfRule type="expression" dxfId="1061" priority="545">
      <formula>AND(M80,OR(G80="pauschal",J80&lt;&gt;""))</formula>
    </cfRule>
    <cfRule type="expression" dxfId="1060" priority="547">
      <formula>M80=FALSE</formula>
    </cfRule>
    <cfRule type="expression" dxfId="1059" priority="548">
      <formula>AND(M80,H80="",G80&lt;&gt;"pauschal",J80="")</formula>
    </cfRule>
  </conditionalFormatting>
  <conditionalFormatting sqref="H82:I82">
    <cfRule type="expression" dxfId="1058" priority="529">
      <formula>M82=FALSE</formula>
    </cfRule>
    <cfRule type="expression" dxfId="1057" priority="530">
      <formula>AND(M82,H82="",G82&lt;&gt;"pauschal",J82="")</formula>
    </cfRule>
    <cfRule type="expression" dxfId="1056" priority="533">
      <formula>AND(M82,OR(G82="pauschal",J82&lt;&gt;""))</formula>
    </cfRule>
    <cfRule type="expression" dxfId="1055" priority="527">
      <formula>AND(M82,OR(G82="pauschal",J82&lt;&gt;""))</formula>
    </cfRule>
    <cfRule type="expression" dxfId="1054" priority="523">
      <formula>M82=FALSE</formula>
    </cfRule>
    <cfRule type="expression" dxfId="1053" priority="524">
      <formula>AND(M82,H82="",G82&lt;&gt;"pauschal",J82="")</formula>
    </cfRule>
  </conditionalFormatting>
  <conditionalFormatting sqref="H87:I87">
    <cfRule type="expression" dxfId="1052" priority="815">
      <formula>AND(M87,OR(G87="pauschal",J87&lt;&gt;""))</formula>
    </cfRule>
    <cfRule type="expression" dxfId="1051" priority="812">
      <formula>AND(M87,H87="",G87&lt;&gt;"pauschal",J87="")</formula>
    </cfRule>
    <cfRule type="expression" dxfId="1050" priority="811">
      <formula>M87=FALSE</formula>
    </cfRule>
    <cfRule type="expression" dxfId="1049" priority="808">
      <formula>AND(M87,OR(G87="pauschal",J87&lt;&gt;""))</formula>
    </cfRule>
    <cfRule type="expression" dxfId="1048" priority="793">
      <formula>AND(M87,H87="",G87&lt;&gt;"pauschal",J87="")</formula>
    </cfRule>
    <cfRule type="expression" dxfId="1047" priority="792">
      <formula>M87=FALSE</formula>
    </cfRule>
    <cfRule type="expression" dxfId="1046" priority="796">
      <formula>AND(M87,OR(G87="pauschal",J87&lt;&gt;""))</formula>
    </cfRule>
    <cfRule type="expression" dxfId="1045" priority="798">
      <formula>M87=FALSE</formula>
    </cfRule>
    <cfRule type="expression" dxfId="1044" priority="799">
      <formula>AND(M87,H87="",G87&lt;&gt;"pauschal",J87="")</formula>
    </cfRule>
    <cfRule type="expression" dxfId="1043" priority="804">
      <formula>M87=FALSE</formula>
    </cfRule>
    <cfRule type="expression" dxfId="1042" priority="802">
      <formula>AND(M87,OR(G87="pauschal",J87&lt;&gt;""))</formula>
    </cfRule>
    <cfRule type="expression" dxfId="1041" priority="805">
      <formula>AND(M87,H87="",G87&lt;&gt;"pauschal",J87="")</formula>
    </cfRule>
  </conditionalFormatting>
  <conditionalFormatting sqref="H89:I89">
    <cfRule type="expression" dxfId="1040" priority="184">
      <formula>AND(M89,H89="",G89&lt;&gt;"pauschal",J89="")</formula>
    </cfRule>
    <cfRule type="expression" dxfId="1039" priority="187">
      <formula>AND(M89,OR(G89="pauschal",J89&lt;&gt;""))</formula>
    </cfRule>
    <cfRule type="expression" dxfId="1038" priority="195">
      <formula>M89=FALSE</formula>
    </cfRule>
    <cfRule type="expression" dxfId="1037" priority="189">
      <formula>M89=FALSE</formula>
    </cfRule>
    <cfRule type="expression" dxfId="1036" priority="190">
      <formula>AND(M89,H89="",G89&lt;&gt;"pauschal",J89="")</formula>
    </cfRule>
    <cfRule type="expression" dxfId="1035" priority="196">
      <formula>AND(M89,H89="",G89&lt;&gt;"pauschal",J89="")</formula>
    </cfRule>
    <cfRule type="expression" dxfId="1034" priority="199">
      <formula>AND(M89,OR(G89="pauschal",J89&lt;&gt;""))</formula>
    </cfRule>
    <cfRule type="expression" dxfId="1033" priority="183">
      <formula>M89=FALSE</formula>
    </cfRule>
    <cfRule type="expression" dxfId="1032" priority="193">
      <formula>AND(M89,OR(G89="pauschal",J89&lt;&gt;""))</formula>
    </cfRule>
  </conditionalFormatting>
  <conditionalFormatting sqref="H91:I91">
    <cfRule type="expression" dxfId="1031" priority="742">
      <formula>AND(M91,OR(G91="pauschal",J91&lt;&gt;""))</formula>
    </cfRule>
    <cfRule type="expression" dxfId="1030" priority="744">
      <formula>M91=FALSE</formula>
    </cfRule>
    <cfRule type="expression" dxfId="1029" priority="739">
      <formula>AND(M91,H91="",G91&lt;&gt;"pauschal",J91="")</formula>
    </cfRule>
    <cfRule type="expression" dxfId="1028" priority="745">
      <formula>AND(M91,H91="",G91&lt;&gt;"pauschal",J91="")</formula>
    </cfRule>
    <cfRule type="expression" dxfId="1027" priority="748">
      <formula>AND(M91,OR(G91="pauschal",J91&lt;&gt;""))</formula>
    </cfRule>
    <cfRule type="expression" dxfId="1026" priority="750">
      <formula>M91=FALSE</formula>
    </cfRule>
    <cfRule type="expression" dxfId="1025" priority="738">
      <formula>M91=FALSE</formula>
    </cfRule>
    <cfRule type="expression" dxfId="1024" priority="751">
      <formula>AND(M91,H91="",G91&lt;&gt;"pauschal",J91="")</formula>
    </cfRule>
    <cfRule type="expression" dxfId="1023" priority="761">
      <formula>AND(M91,OR(G91="pauschal",J91&lt;&gt;""))</formula>
    </cfRule>
    <cfRule type="expression" dxfId="1022" priority="754">
      <formula>AND(M91,OR(G91="pauschal",J91&lt;&gt;""))</formula>
    </cfRule>
    <cfRule type="expression" dxfId="1021" priority="758">
      <formula>AND(M91,H91="",G91&lt;&gt;"pauschal",J91="")</formula>
    </cfRule>
    <cfRule type="expression" dxfId="1020" priority="757">
      <formula>M91=FALSE</formula>
    </cfRule>
  </conditionalFormatting>
  <conditionalFormatting sqref="H93:I93">
    <cfRule type="expression" dxfId="1019" priority="723">
      <formula>M93=FALSE</formula>
    </cfRule>
    <cfRule type="expression" dxfId="1018" priority="717">
      <formula>M93=FALSE</formula>
    </cfRule>
    <cfRule type="expression" dxfId="1017" priority="718">
      <formula>AND(M93,H93="",G93&lt;&gt;"pauschal",J93="")</formula>
    </cfRule>
    <cfRule type="expression" dxfId="1016" priority="721">
      <formula>AND(M93,OR(G93="pauschal",J93&lt;&gt;""))</formula>
    </cfRule>
    <cfRule type="expression" dxfId="1015" priority="715">
      <formula>AND(M93,OR(G93="pauschal",J93&lt;&gt;""))</formula>
    </cfRule>
    <cfRule type="expression" dxfId="1014" priority="712">
      <formula>AND(M93,H93="",G93&lt;&gt;"pauschal",J93="")</formula>
    </cfRule>
    <cfRule type="expression" dxfId="1013" priority="711">
      <formula>M93=FALSE</formula>
    </cfRule>
    <cfRule type="expression" dxfId="1012" priority="727">
      <formula>AND(M93,OR(G93="pauschal",J93&lt;&gt;""))</formula>
    </cfRule>
    <cfRule type="expression" dxfId="1011" priority="724">
      <formula>AND(M93,H93="",G93&lt;&gt;"pauschal",J93="")</formula>
    </cfRule>
    <cfRule type="expression" dxfId="1010" priority="731">
      <formula>AND(M93,H93="",G93&lt;&gt;"pauschal",J93="")</formula>
    </cfRule>
    <cfRule type="expression" dxfId="1009" priority="734">
      <formula>AND(M93,OR(G93="pauschal",J93&lt;&gt;""))</formula>
    </cfRule>
    <cfRule type="expression" dxfId="1008" priority="730">
      <formula>M93=FALSE</formula>
    </cfRule>
  </conditionalFormatting>
  <conditionalFormatting sqref="H95:I95">
    <cfRule type="expression" dxfId="1007" priority="1020">
      <formula>M95=FALSE</formula>
    </cfRule>
    <cfRule type="expression" dxfId="1006" priority="1021">
      <formula>AND(M95,H95="",G95&lt;&gt;"pauschal",J95="")</formula>
    </cfRule>
    <cfRule type="expression" dxfId="1005" priority="1053">
      <formula>M95=FALSE</formula>
    </cfRule>
    <cfRule type="expression" dxfId="1004" priority="1024">
      <formula>AND(M95,OR(G95="pauschal",J95&lt;&gt;""))</formula>
    </cfRule>
    <cfRule type="expression" dxfId="1003" priority="1031">
      <formula>AND(M95,OR(G95="pauschal",J95&lt;&gt;""))</formula>
    </cfRule>
    <cfRule type="expression" dxfId="1002" priority="1027">
      <formula>M95=FALSE</formula>
    </cfRule>
    <cfRule type="expression" dxfId="1001" priority="1028">
      <formula>AND(M95,H95="",G95&lt;&gt;"pauschal",J95="")</formula>
    </cfRule>
    <cfRule type="expression" dxfId="1000" priority="1057">
      <formula>AND(M95,OR(G95="pauschal",J95&lt;&gt;""))</formula>
    </cfRule>
    <cfRule type="expression" dxfId="999" priority="1054">
      <formula>AND(M95,H95="",G95&lt;&gt;"pauschal",J95="")</formula>
    </cfRule>
  </conditionalFormatting>
  <conditionalFormatting sqref="H97:I97">
    <cfRule type="expression" dxfId="998" priority="1048">
      <formula>AND(M97,H97="",G97&lt;&gt;"pauschal",J97="")</formula>
    </cfRule>
    <cfRule type="expression" dxfId="997" priority="1047">
      <formula>M97=FALSE</formula>
    </cfRule>
    <cfRule type="expression" dxfId="996" priority="1013">
      <formula>AND(M97,H97="",G97&lt;&gt;"pauschal",J97="")</formula>
    </cfRule>
    <cfRule type="expression" dxfId="995" priority="1016">
      <formula>AND(M97,OR(G97="pauschal",J97&lt;&gt;""))</formula>
    </cfRule>
    <cfRule type="expression" dxfId="994" priority="1012">
      <formula>M97=FALSE</formula>
    </cfRule>
    <cfRule type="expression" dxfId="993" priority="1003">
      <formula>AND(M97,OR(G97="pauschal",J97&lt;&gt;""))</formula>
    </cfRule>
    <cfRule type="expression" dxfId="992" priority="1000">
      <formula>AND(M97,H97="",G97&lt;&gt;"pauschal",J97="")</formula>
    </cfRule>
    <cfRule type="expression" dxfId="991" priority="1051">
      <formula>AND(M97,OR(G97="pauschal",J97&lt;&gt;""))</formula>
    </cfRule>
    <cfRule type="expression" dxfId="990" priority="999">
      <formula>M97=FALSE</formula>
    </cfRule>
  </conditionalFormatting>
  <conditionalFormatting sqref="H99:I99">
    <cfRule type="expression" dxfId="989" priority="1042">
      <formula>AND(M99,H99="",G99&lt;&gt;"pauschal",J99="")</formula>
    </cfRule>
    <cfRule type="expression" dxfId="988" priority="985">
      <formula>M99=FALSE</formula>
    </cfRule>
    <cfRule type="expression" dxfId="987" priority="1045">
      <formula>AND(M99,OR(G99="pauschal",J99&lt;&gt;""))</formula>
    </cfRule>
    <cfRule type="expression" dxfId="986" priority="986">
      <formula>AND(M99,H99="",G99&lt;&gt;"pauschal",J99="")</formula>
    </cfRule>
    <cfRule type="expression" dxfId="985" priority="1010">
      <formula>AND(M99,OR(G99="pauschal",J99&lt;&gt;""))</formula>
    </cfRule>
    <cfRule type="expression" dxfId="984" priority="1007">
      <formula>AND(M99,H99="",G99&lt;&gt;"pauschal",J99="")</formula>
    </cfRule>
    <cfRule type="expression" dxfId="983" priority="1006">
      <formula>M99=FALSE</formula>
    </cfRule>
    <cfRule type="expression" dxfId="982" priority="1041">
      <formula>M99=FALSE</formula>
    </cfRule>
    <cfRule type="expression" dxfId="981" priority="996">
      <formula>AND(M99,OR(G99="pauschal",J99&lt;&gt;""))</formula>
    </cfRule>
    <cfRule type="expression" dxfId="980" priority="993">
      <formula>AND(M99,H99="",G99&lt;&gt;"pauschal",J99="")</formula>
    </cfRule>
    <cfRule type="expression" dxfId="979" priority="992">
      <formula>M99=FALSE</formula>
    </cfRule>
    <cfRule type="expression" dxfId="978" priority="989">
      <formula>AND(M99,OR(G99="pauschal",J99&lt;&gt;""))</formula>
    </cfRule>
  </conditionalFormatting>
  <conditionalFormatting sqref="H101:I101">
    <cfRule type="expression" dxfId="977" priority="965">
      <formula>AND(M101,H101="",G101&lt;&gt;"pauschal",J101="")</formula>
    </cfRule>
    <cfRule type="expression" dxfId="976" priority="1035">
      <formula>M101=FALSE</formula>
    </cfRule>
    <cfRule type="expression" dxfId="975" priority="1036">
      <formula>AND(M101,H101="",G101&lt;&gt;"pauschal",J101="")</formula>
    </cfRule>
    <cfRule type="expression" dxfId="974" priority="982">
      <formula>AND(M101,OR(G101="pauschal",J101&lt;&gt;""))</formula>
    </cfRule>
    <cfRule type="expression" dxfId="973" priority="979">
      <formula>AND(M101,H101="",G101&lt;&gt;"pauschal",J101="")</formula>
    </cfRule>
    <cfRule type="expression" dxfId="972" priority="964">
      <formula>M101=FALSE</formula>
    </cfRule>
    <cfRule type="expression" dxfId="971" priority="978">
      <formula>M101=FALSE</formula>
    </cfRule>
    <cfRule type="expression" dxfId="970" priority="975">
      <formula>AND(M101,OR(G101="pauschal",J101&lt;&gt;""))</formula>
    </cfRule>
    <cfRule type="expression" dxfId="969" priority="968">
      <formula>AND(M101,OR(G101="pauschal",J101&lt;&gt;""))</formula>
    </cfRule>
    <cfRule type="expression" dxfId="968" priority="972">
      <formula>AND(M101,H101="",G101&lt;&gt;"pauschal",J101="")</formula>
    </cfRule>
    <cfRule type="expression" dxfId="967" priority="1039">
      <formula>AND(M101,OR(G101="pauschal",J101&lt;&gt;""))</formula>
    </cfRule>
    <cfRule type="expression" dxfId="966" priority="971">
      <formula>M101=FALSE</formula>
    </cfRule>
  </conditionalFormatting>
  <conditionalFormatting sqref="H106:I106">
    <cfRule type="expression" dxfId="965" priority="846">
      <formula>AND(M106,H106="",G106&lt;&gt;"pauschal",J106="")</formula>
    </cfRule>
    <cfRule type="expression" dxfId="964" priority="834">
      <formula>AND(M106,H106="",G106&lt;&gt;"pauschal",J106="")</formula>
    </cfRule>
    <cfRule type="expression" dxfId="963" priority="845">
      <formula>M106=FALSE</formula>
    </cfRule>
    <cfRule type="expression" dxfId="962" priority="849">
      <formula>AND(M106,OR(G106="pauschal",J106&lt;&gt;""))</formula>
    </cfRule>
    <cfRule type="expression" dxfId="961" priority="862">
      <formula>AND(M106,OR(G106="pauschal",J106&lt;&gt;""))</formula>
    </cfRule>
    <cfRule type="expression" dxfId="960" priority="833">
      <formula>M106=FALSE</formula>
    </cfRule>
    <cfRule type="expression" dxfId="959" priority="859">
      <formula>AND(M106,H106="",G106&lt;&gt;"pauschal",J106="")</formula>
    </cfRule>
    <cfRule type="expression" dxfId="958" priority="858">
      <formula>M106=FALSE</formula>
    </cfRule>
    <cfRule type="expression" dxfId="957" priority="837">
      <formula>AND(M106,OR(G106="pauschal",J106&lt;&gt;""))</formula>
    </cfRule>
  </conditionalFormatting>
  <conditionalFormatting sqref="H108:I108">
    <cfRule type="expression" dxfId="956" priority="250">
      <formula>AND(M108,OR(G108="pauschal",J108&lt;&gt;""))</formula>
    </cfRule>
    <cfRule type="expression" dxfId="955" priority="247">
      <formula>AND(M108,H108="",G108&lt;&gt;"pauschal",J108="")</formula>
    </cfRule>
    <cfRule type="expression" dxfId="954" priority="246">
      <formula>M108=FALSE</formula>
    </cfRule>
    <cfRule type="expression" dxfId="953" priority="253">
      <formula>AND(M108,H108="",G108&lt;&gt;"pauschal",J108="")</formula>
    </cfRule>
    <cfRule type="expression" dxfId="952" priority="241">
      <formula>AND(M108,H108="",G108&lt;&gt;"pauschal",J108="")</formula>
    </cfRule>
    <cfRule type="expression" dxfId="951" priority="240">
      <formula>M108=FALSE</formula>
    </cfRule>
    <cfRule type="expression" dxfId="950" priority="252">
      <formula>M108=FALSE</formula>
    </cfRule>
    <cfRule type="expression" dxfId="949" priority="235">
      <formula>AND(M108,H108="",G108&lt;&gt;"pauschal",J108="")</formula>
    </cfRule>
    <cfRule type="expression" dxfId="948" priority="234">
      <formula>M108=FALSE</formula>
    </cfRule>
    <cfRule type="expression" dxfId="947" priority="238">
      <formula>AND(M108,OR(G108="pauschal",J108&lt;&gt;""))</formula>
    </cfRule>
    <cfRule type="expression" dxfId="946" priority="244">
      <formula>AND(M108,OR(G108="pauschal",J108&lt;&gt;""))</formula>
    </cfRule>
    <cfRule type="expression" dxfId="945" priority="256">
      <formula>AND(M108,OR(G108="pauschal",J108&lt;&gt;""))</formula>
    </cfRule>
  </conditionalFormatting>
  <conditionalFormatting sqref="H110:I110">
    <cfRule type="expression" dxfId="944" priority="271">
      <formula>M110=FALSE</formula>
    </cfRule>
    <cfRule type="expression" dxfId="943" priority="294">
      <formula>AND(M110,OR(G110="pauschal",J110&lt;&gt;""))</formula>
    </cfRule>
    <cfRule type="expression" dxfId="942" priority="272">
      <formula>AND(M110,H110="",G110&lt;&gt;"pauschal",J110="")</formula>
    </cfRule>
    <cfRule type="expression" dxfId="941" priority="290">
      <formula>M110=FALSE</formula>
    </cfRule>
    <cfRule type="expression" dxfId="940" priority="277">
      <formula>M110=FALSE</formula>
    </cfRule>
    <cfRule type="expression" dxfId="939" priority="281">
      <formula>AND(M110,OR(G110="pauschal",J110&lt;&gt;""))</formula>
    </cfRule>
    <cfRule type="expression" dxfId="938" priority="275">
      <formula>AND(M110,OR(G110="pauschal",J110&lt;&gt;""))</formula>
    </cfRule>
    <cfRule type="expression" dxfId="937" priority="278">
      <formula>AND(M110,H110="",G110&lt;&gt;"pauschal",J110="")</formula>
    </cfRule>
    <cfRule type="expression" dxfId="936" priority="291">
      <formula>AND(M110,H110="",G110&lt;&gt;"pauschal",J110="")</formula>
    </cfRule>
  </conditionalFormatting>
  <conditionalFormatting sqref="H116:I116">
    <cfRule type="expression" dxfId="935" priority="285">
      <formula>AND(M116,H116="",G116&lt;&gt;"pauschal",J116="")</formula>
    </cfRule>
    <cfRule type="expression" dxfId="934" priority="269">
      <formula>AND(M116,OR(G116="pauschal",J116&lt;&gt;""))</formula>
    </cfRule>
    <cfRule type="expression" dxfId="933" priority="284">
      <formula>M116=FALSE</formula>
    </cfRule>
    <cfRule type="expression" dxfId="932" priority="288">
      <formula>AND(M116,OR(G116="pauschal",J116&lt;&gt;""))</formula>
    </cfRule>
    <cfRule type="expression" dxfId="931" priority="259">
      <formula>M116=FALSE</formula>
    </cfRule>
    <cfRule type="expression" dxfId="930" priority="260">
      <formula>AND(M116,H116="",G116&lt;&gt;"pauschal",J116="")</formula>
    </cfRule>
    <cfRule type="expression" dxfId="929" priority="263">
      <formula>AND(M116,OR(G116="pauschal",J116&lt;&gt;""))</formula>
    </cfRule>
    <cfRule type="expression" dxfId="928" priority="265">
      <formula>M116=FALSE</formula>
    </cfRule>
    <cfRule type="expression" dxfId="927" priority="266">
      <formula>AND(M116,H116="",G116&lt;&gt;"pauschal",J116="")</formula>
    </cfRule>
  </conditionalFormatting>
  <conditionalFormatting sqref="H120:I120">
    <cfRule type="expression" dxfId="926" priority="853">
      <formula>AND(M120,H120="",G120&lt;&gt;"pauschal",J120="")</formula>
    </cfRule>
    <cfRule type="expression" dxfId="925" priority="856">
      <formula>AND(M120,OR(G120="pauschal",J120&lt;&gt;""))</formula>
    </cfRule>
    <cfRule type="expression" dxfId="924" priority="831">
      <formula>AND(M120,OR(G120="pauschal",J120&lt;&gt;""))</formula>
    </cfRule>
    <cfRule type="expression" dxfId="923" priority="839">
      <formula>M120=FALSE</formula>
    </cfRule>
    <cfRule type="expression" dxfId="922" priority="821">
      <formula>M120=FALSE</formula>
    </cfRule>
    <cfRule type="expression" dxfId="921" priority="822">
      <formula>AND(M120,H120="",G120&lt;&gt;"pauschal",J120="")</formula>
    </cfRule>
    <cfRule type="expression" dxfId="920" priority="840">
      <formula>AND(M120,H120="",G120&lt;&gt;"pauschal",J120="")</formula>
    </cfRule>
    <cfRule type="expression" dxfId="919" priority="825">
      <formula>AND(M120,OR(G120="pauschal",J120&lt;&gt;""))</formula>
    </cfRule>
    <cfRule type="expression" dxfId="918" priority="827">
      <formula>M120=FALSE</formula>
    </cfRule>
    <cfRule type="expression" dxfId="917" priority="828">
      <formula>AND(M120,H120="",G120&lt;&gt;"pauschal",J120="")</formula>
    </cfRule>
    <cfRule type="expression" dxfId="916" priority="843">
      <formula>AND(M120,OR(G120="pauschal",J120&lt;&gt;""))</formula>
    </cfRule>
    <cfRule type="expression" dxfId="915" priority="852">
      <formula>M120=FALSE</formula>
    </cfRule>
  </conditionalFormatting>
  <conditionalFormatting sqref="H130:I130">
    <cfRule type="expression" dxfId="914" priority="929">
      <formula>AND(M130,H130="",G130&lt;&gt;"pauschal",J130="")</formula>
    </cfRule>
    <cfRule type="expression" dxfId="913" priority="928">
      <formula>M130=FALSE</formula>
    </cfRule>
    <cfRule type="expression" dxfId="912" priority="922">
      <formula>AND(M130,H130="",G130&lt;&gt;"pauschal",J130="")</formula>
    </cfRule>
    <cfRule type="expression" dxfId="911" priority="932">
      <formula>AND(M130,OR(G130="pauschal",J130&lt;&gt;""))</formula>
    </cfRule>
    <cfRule type="expression" dxfId="910" priority="955">
      <formula>AND(M130,H130="",G130&lt;&gt;"pauschal",J130="")</formula>
    </cfRule>
    <cfRule type="expression" dxfId="909" priority="958">
      <formula>AND(M130,OR(G130="pauschal",J130&lt;&gt;""))</formula>
    </cfRule>
    <cfRule type="expression" dxfId="908" priority="921">
      <formula>M130=FALSE</formula>
    </cfRule>
    <cfRule type="expression" dxfId="907" priority="925">
      <formula>AND(M130,OR(G130="pauschal",J130&lt;&gt;""))</formula>
    </cfRule>
    <cfRule type="expression" dxfId="906" priority="954">
      <formula>M130=FALSE</formula>
    </cfRule>
  </conditionalFormatting>
  <conditionalFormatting sqref="H132:I132">
    <cfRule type="expression" dxfId="905" priority="949">
      <formula>AND(M132,H132="",G132&lt;&gt;"pauschal",J132="")</formula>
    </cfRule>
    <cfRule type="expression" dxfId="904" priority="900">
      <formula>M132=FALSE</formula>
    </cfRule>
    <cfRule type="expression" dxfId="903" priority="948">
      <formula>M132=FALSE</formula>
    </cfRule>
    <cfRule type="expression" dxfId="902" priority="901">
      <formula>AND(M132,H132="",G132&lt;&gt;"pauschal",J132="")</formula>
    </cfRule>
    <cfRule type="expression" dxfId="901" priority="917">
      <formula>AND(M132,OR(G132="pauschal",J132&lt;&gt;""))</formula>
    </cfRule>
    <cfRule type="expression" dxfId="900" priority="952">
      <formula>AND(M132,OR(G132="pauschal",J132&lt;&gt;""))</formula>
    </cfRule>
    <cfRule type="expression" dxfId="899" priority="913">
      <formula>M132=FALSE</formula>
    </cfRule>
    <cfRule type="expression" dxfId="898" priority="904">
      <formula>AND(M132,OR(G132="pauschal",J132&lt;&gt;""))</formula>
    </cfRule>
    <cfRule type="expression" dxfId="897" priority="914">
      <formula>AND(M132,H132="",G132&lt;&gt;"pauschal",J132="")</formula>
    </cfRule>
  </conditionalFormatting>
  <conditionalFormatting sqref="H134:I134">
    <cfRule type="expression" dxfId="896" priority="907">
      <formula>M134=FALSE</formula>
    </cfRule>
    <cfRule type="expression" dxfId="895" priority="908">
      <formula>AND(M134,H134="",G134&lt;&gt;"pauschal",J134="")</formula>
    </cfRule>
    <cfRule type="expression" dxfId="894" priority="943">
      <formula>AND(M134,H134="",G134&lt;&gt;"pauschal",J134="")</formula>
    </cfRule>
    <cfRule type="expression" dxfId="893" priority="890">
      <formula>AND(M134,OR(G134="pauschal",J134&lt;&gt;""))</formula>
    </cfRule>
    <cfRule type="expression" dxfId="892" priority="887">
      <formula>AND(M134,H134="",G134&lt;&gt;"pauschal",J134="")</formula>
    </cfRule>
    <cfRule type="expression" dxfId="891" priority="946">
      <formula>AND(M134,OR(G134="pauschal",J134&lt;&gt;""))</formula>
    </cfRule>
    <cfRule type="expression" dxfId="890" priority="942">
      <formula>M134=FALSE</formula>
    </cfRule>
    <cfRule type="expression" dxfId="889" priority="894">
      <formula>AND(M134,H134="",G134&lt;&gt;"pauschal",J134="")</formula>
    </cfRule>
    <cfRule type="expression" dxfId="888" priority="886">
      <formula>M134=FALSE</formula>
    </cfRule>
    <cfRule type="expression" dxfId="887" priority="893">
      <formula>M134=FALSE</formula>
    </cfRule>
    <cfRule type="expression" dxfId="886" priority="897">
      <formula>AND(M134,OR(G134="pauschal",J134&lt;&gt;""))</formula>
    </cfRule>
    <cfRule type="expression" dxfId="885" priority="911">
      <formula>AND(M134,OR(G134="pauschal",J134&lt;&gt;""))</formula>
    </cfRule>
  </conditionalFormatting>
  <conditionalFormatting sqref="H136:I136">
    <cfRule type="expression" dxfId="884" priority="872">
      <formula>M136=FALSE</formula>
    </cfRule>
    <cfRule type="expression" dxfId="883" priority="869">
      <formula>AND(M136,OR(G136="pauschal",J136&lt;&gt;""))</formula>
    </cfRule>
    <cfRule type="expression" dxfId="882" priority="866">
      <formula>AND(M136,H136="",G136&lt;&gt;"pauschal",J136="")</formula>
    </cfRule>
    <cfRule type="expression" dxfId="881" priority="865">
      <formula>M136=FALSE</formula>
    </cfRule>
    <cfRule type="expression" dxfId="880" priority="873">
      <formula>AND(M136,H136="",G136&lt;&gt;"pauschal",J136="")</formula>
    </cfRule>
    <cfRule type="expression" dxfId="879" priority="936">
      <formula>M136=FALSE</formula>
    </cfRule>
    <cfRule type="expression" dxfId="878" priority="937">
      <formula>AND(M136,H136="",G136&lt;&gt;"pauschal",J136="")</formula>
    </cfRule>
    <cfRule type="expression" dxfId="877" priority="883">
      <formula>AND(M136,OR(G136="pauschal",J136&lt;&gt;""))</formula>
    </cfRule>
    <cfRule type="expression" dxfId="876" priority="880">
      <formula>AND(M136,H136="",G136&lt;&gt;"pauschal",J136="")</formula>
    </cfRule>
    <cfRule type="expression" dxfId="875" priority="879">
      <formula>M136=FALSE</formula>
    </cfRule>
    <cfRule type="expression" dxfId="874" priority="876">
      <formula>AND(M136,OR(G136="pauschal",J136&lt;&gt;""))</formula>
    </cfRule>
    <cfRule type="expression" dxfId="873" priority="940">
      <formula>AND(M136,OR(G136="pauschal",J136&lt;&gt;""))</formula>
    </cfRule>
  </conditionalFormatting>
  <conditionalFormatting sqref="J14">
    <cfRule type="expression" dxfId="866" priority="1583">
      <formula>AND(M14,J14="",G14&lt;&gt;"v.H.-Satz",H14="")</formula>
    </cfRule>
    <cfRule type="expression" dxfId="865" priority="1580">
      <formula>M14=FALSE</formula>
    </cfRule>
    <cfRule type="expression" dxfId="864" priority="1584">
      <formula>AND(M14,G14="v.H.-Satz")</formula>
    </cfRule>
  </conditionalFormatting>
  <conditionalFormatting sqref="J16">
    <cfRule type="expression" dxfId="863" priority="159">
      <formula>AND(M16,J16="",G16&lt;&gt;"v.H.-Satz",H16="")</formula>
    </cfRule>
    <cfRule type="expression" dxfId="862" priority="160">
      <formula>AND(M16,G16="v.H.-Satz")</formula>
    </cfRule>
    <cfRule type="expression" dxfId="861" priority="172">
      <formula>AND(M16,G16="v.H.-Satz")</formula>
    </cfRule>
    <cfRule type="expression" dxfId="860" priority="168">
      <formula>M16=FALSE</formula>
    </cfRule>
    <cfRule type="expression" dxfId="859" priority="171">
      <formula>AND(M16,J16="",G16&lt;&gt;"v.H.-Satz",H16="")</formula>
    </cfRule>
    <cfRule type="expression" dxfId="858" priority="156">
      <formula>M16=FALSE</formula>
    </cfRule>
  </conditionalFormatting>
  <conditionalFormatting sqref="J18">
    <cfRule type="expression" dxfId="857" priority="166">
      <formula>AND(M18,G18="v.H.-Satz")</formula>
    </cfRule>
    <cfRule type="expression" dxfId="856" priority="150">
      <formula>M18=FALSE</formula>
    </cfRule>
    <cfRule type="expression" dxfId="855" priority="154">
      <formula>AND(M18,G18="v.H.-Satz")</formula>
    </cfRule>
    <cfRule type="expression" dxfId="854" priority="144">
      <formula>M18=FALSE</formula>
    </cfRule>
    <cfRule type="expression" dxfId="853" priority="147">
      <formula>AND(M18,J18="",G18&lt;&gt;"v.H.-Satz",H18="")</formula>
    </cfRule>
    <cfRule type="expression" dxfId="852" priority="148">
      <formula>AND(M18,G18="v.H.-Satz")</formula>
    </cfRule>
    <cfRule type="expression" dxfId="851" priority="153">
      <formula>AND(M18,J18="",G18&lt;&gt;"v.H.-Satz",H18="")</formula>
    </cfRule>
    <cfRule type="expression" dxfId="850" priority="162">
      <formula>M18=FALSE</formula>
    </cfRule>
    <cfRule type="expression" dxfId="849" priority="165">
      <formula>AND(M18,J18="",G18&lt;&gt;"v.H.-Satz",H18="")</formula>
    </cfRule>
  </conditionalFormatting>
  <conditionalFormatting sqref="J20">
    <cfRule type="expression" dxfId="848" priority="125">
      <formula>M20=FALSE</formula>
    </cfRule>
    <cfRule type="expression" dxfId="847" priority="128">
      <formula>AND(M20,J20="",G20&lt;&gt;"v.H.-Satz",H20="")</formula>
    </cfRule>
    <cfRule type="expression" dxfId="846" priority="129">
      <formula>AND(M20,G20="v.H.-Satz")</formula>
    </cfRule>
    <cfRule type="expression" dxfId="845" priority="135">
      <formula>AND(M20,G20="v.H.-Satz")</formula>
    </cfRule>
    <cfRule type="expression" dxfId="844" priority="134">
      <formula>AND(M20,J20="",G20&lt;&gt;"v.H.-Satz",H20="")</formula>
    </cfRule>
    <cfRule type="expression" dxfId="843" priority="131">
      <formula>M20=FALSE</formula>
    </cfRule>
  </conditionalFormatting>
  <conditionalFormatting sqref="J22">
    <cfRule type="expression" dxfId="842" priority="1578">
      <formula>AND(M22,G22="v.H.-Satz")</formula>
    </cfRule>
    <cfRule type="expression" dxfId="841" priority="1574">
      <formula>M22=FALSE</formula>
    </cfRule>
    <cfRule type="expression" dxfId="840" priority="1376">
      <formula>AND(M22,G22="v.H.-Satz")</formula>
    </cfRule>
    <cfRule type="expression" dxfId="839" priority="1375">
      <formula>AND(M22,J22="",G22&lt;&gt;"v.H.-Satz",H22="")</formula>
    </cfRule>
    <cfRule type="expression" dxfId="838" priority="1372">
      <formula>M22=FALSE</formula>
    </cfRule>
    <cfRule type="expression" dxfId="837" priority="1577">
      <formula>AND(M22,J22="",G22&lt;&gt;"v.H.-Satz",H22="")</formula>
    </cfRule>
  </conditionalFormatting>
  <conditionalFormatting sqref="J24">
    <cfRule type="expression" dxfId="836" priority="1571">
      <formula>AND(M24,J24="",G24&lt;&gt;"v.H.-Satz",H24="")</formula>
    </cfRule>
    <cfRule type="expression" dxfId="835" priority="1361">
      <formula>AND(M24,J24="",G24&lt;&gt;"v.H.-Satz",H24="")</formula>
    </cfRule>
    <cfRule type="expression" dxfId="834" priority="1568">
      <formula>M24=FALSE</formula>
    </cfRule>
    <cfRule type="expression" dxfId="833" priority="1369">
      <formula>AND(M24,G24="v.H.-Satz")</formula>
    </cfRule>
    <cfRule type="expression" dxfId="832" priority="1572">
      <formula>AND(M24,G24="v.H.-Satz")</formula>
    </cfRule>
    <cfRule type="expression" dxfId="831" priority="1358">
      <formula>M24=FALSE</formula>
    </cfRule>
    <cfRule type="expression" dxfId="830" priority="1365">
      <formula>M24=FALSE</formula>
    </cfRule>
    <cfRule type="expression" dxfId="829" priority="1368">
      <formula>AND(M24,J24="",G24&lt;&gt;"v.H.-Satz",H24="")</formula>
    </cfRule>
    <cfRule type="expression" dxfId="828" priority="1362">
      <formula>AND(M24,G24="v.H.-Satz")</formula>
    </cfRule>
  </conditionalFormatting>
  <conditionalFormatting sqref="J26">
    <cfRule type="expression" dxfId="827" priority="413">
      <formula>AND(M26,G26="v.H.-Satz")</formula>
    </cfRule>
    <cfRule type="expression" dxfId="826" priority="412">
      <formula>AND(M26,J26="",G26&lt;&gt;"v.H.-Satz",H26="")</formula>
    </cfRule>
    <cfRule type="expression" dxfId="825" priority="409">
      <formula>M26=FALSE</formula>
    </cfRule>
    <cfRule type="expression" dxfId="824" priority="401">
      <formula>AND(M26,G26="v.H.-Satz")</formula>
    </cfRule>
    <cfRule type="expression" dxfId="823" priority="400">
      <formula>AND(M26,J26="",G26&lt;&gt;"v.H.-Satz",H26="")</formula>
    </cfRule>
    <cfRule type="expression" dxfId="822" priority="397">
      <formula>M26=FALSE</formula>
    </cfRule>
  </conditionalFormatting>
  <conditionalFormatting sqref="J28">
    <cfRule type="expression" dxfId="821" priority="391">
      <formula>M28=FALSE</formula>
    </cfRule>
    <cfRule type="expression" dxfId="820" priority="394">
      <formula>AND(M28,J28="",G28&lt;&gt;"v.H.-Satz",H28="")</formula>
    </cfRule>
    <cfRule type="expression" dxfId="819" priority="388">
      <formula>AND(M28,J28="",G28&lt;&gt;"v.H.-Satz",H28="")</formula>
    </cfRule>
    <cfRule type="expression" dxfId="818" priority="403">
      <formula>M28=FALSE</formula>
    </cfRule>
    <cfRule type="expression" dxfId="817" priority="406">
      <formula>AND(M28,J28="",G28&lt;&gt;"v.H.-Satz",H28="")</formula>
    </cfRule>
    <cfRule type="expression" dxfId="816" priority="395">
      <formula>AND(M28,G28="v.H.-Satz")</formula>
    </cfRule>
    <cfRule type="expression" dxfId="815" priority="389">
      <formula>AND(M28,G28="v.H.-Satz")</formula>
    </cfRule>
    <cfRule type="expression" dxfId="814" priority="407">
      <formula>AND(M28,G28="v.H.-Satz")</formula>
    </cfRule>
    <cfRule type="expression" dxfId="813" priority="385">
      <formula>M28=FALSE</formula>
    </cfRule>
  </conditionalFormatting>
  <conditionalFormatting sqref="J30">
    <cfRule type="expression" dxfId="812" priority="338">
      <formula>AND(M30,J30="",G30&lt;&gt;"v.H.-Satz",H30="")</formula>
    </cfRule>
    <cfRule type="expression" dxfId="811" priority="339">
      <formula>AND(M30,G30="v.H.-Satz")</formula>
    </cfRule>
    <cfRule type="expression" dxfId="810" priority="323">
      <formula>M30=FALSE</formula>
    </cfRule>
    <cfRule type="expression" dxfId="809" priority="326">
      <formula>AND(M30,J30="",G30&lt;&gt;"v.H.-Satz",H30="")</formula>
    </cfRule>
    <cfRule type="expression" dxfId="808" priority="327">
      <formula>AND(M30,G30="v.H.-Satz")</formula>
    </cfRule>
    <cfRule type="expression" dxfId="807" priority="335">
      <formula>M30=FALSE</formula>
    </cfRule>
  </conditionalFormatting>
  <conditionalFormatting sqref="J32">
    <cfRule type="expression" dxfId="806" priority="311">
      <formula>M32=FALSE</formula>
    </cfRule>
    <cfRule type="expression" dxfId="805" priority="314">
      <formula>AND(M32,J32="",G32&lt;&gt;"v.H.-Satz",H32="")</formula>
    </cfRule>
    <cfRule type="expression" dxfId="804" priority="315">
      <formula>AND(M32,G32="v.H.-Satz")</formula>
    </cfRule>
    <cfRule type="expression" dxfId="803" priority="317">
      <formula>M32=FALSE</formula>
    </cfRule>
    <cfRule type="expression" dxfId="802" priority="320">
      <formula>AND(M32,J32="",G32&lt;&gt;"v.H.-Satz",H32="")</formula>
    </cfRule>
    <cfRule type="expression" dxfId="801" priority="321">
      <formula>AND(M32,G32="v.H.-Satz")</formula>
    </cfRule>
    <cfRule type="expression" dxfId="800" priority="332">
      <formula>AND(M32,J32="",G32&lt;&gt;"v.H.-Satz",H32="")</formula>
    </cfRule>
    <cfRule type="expression" dxfId="799" priority="329">
      <formula>M32=FALSE</formula>
    </cfRule>
    <cfRule type="expression" dxfId="798" priority="333">
      <formula>AND(M32,G32="v.H.-Satz")</formula>
    </cfRule>
  </conditionalFormatting>
  <conditionalFormatting sqref="J34">
    <cfRule type="expression" dxfId="797" priority="376">
      <formula>AND(M34,G34="v.H.-Satz")</formula>
    </cfRule>
    <cfRule type="expression" dxfId="796" priority="375">
      <formula>AND(M34,J34="",G34&lt;&gt;"v.H.-Satz",H34="")</formula>
    </cfRule>
    <cfRule type="expression" dxfId="795" priority="364">
      <formula>AND(M34,G34="v.H.-Satz")</formula>
    </cfRule>
    <cfRule type="expression" dxfId="794" priority="372">
      <formula>M34=FALSE</formula>
    </cfRule>
    <cfRule type="expression" dxfId="793" priority="360">
      <formula>M34=FALSE</formula>
    </cfRule>
    <cfRule type="expression" dxfId="792" priority="363">
      <formula>AND(M34,J34="",G34&lt;&gt;"v.H.-Satz",H34="")</formula>
    </cfRule>
  </conditionalFormatting>
  <conditionalFormatting sqref="J36">
    <cfRule type="expression" dxfId="791" priority="357">
      <formula>AND(M36,J36="",G36&lt;&gt;"v.H.-Satz",H36="")</formula>
    </cfRule>
    <cfRule type="expression" dxfId="790" priority="358">
      <formula>AND(M36,G36="v.H.-Satz")</formula>
    </cfRule>
    <cfRule type="expression" dxfId="789" priority="366">
      <formula>M36=FALSE</formula>
    </cfRule>
    <cfRule type="expression" dxfId="788" priority="369">
      <formula>AND(M36,J36="",G36&lt;&gt;"v.H.-Satz",H36="")</formula>
    </cfRule>
    <cfRule type="expression" dxfId="787" priority="370">
      <formula>AND(M36,G36="v.H.-Satz")</formula>
    </cfRule>
    <cfRule type="expression" dxfId="786" priority="351">
      <formula>AND(M36,J36="",G36&lt;&gt;"v.H.-Satz",H36="")</formula>
    </cfRule>
    <cfRule type="expression" dxfId="785" priority="348">
      <formula>M36=FALSE</formula>
    </cfRule>
    <cfRule type="expression" dxfId="784" priority="352">
      <formula>AND(M36,G36="v.H.-Satz")</formula>
    </cfRule>
    <cfRule type="expression" dxfId="783" priority="354">
      <formula>M36=FALSE</formula>
    </cfRule>
  </conditionalFormatting>
  <conditionalFormatting sqref="J38">
    <cfRule type="expression" dxfId="782" priority="1562">
      <formula>M38=FALSE</formula>
    </cfRule>
    <cfRule type="expression" dxfId="781" priority="1337">
      <formula>M38=FALSE</formula>
    </cfRule>
    <cfRule type="expression" dxfId="780" priority="1341">
      <formula>AND(M38,G38="v.H.-Satz")</formula>
    </cfRule>
    <cfRule type="expression" dxfId="779" priority="1340">
      <formula>AND(M38,J38="",G38&lt;&gt;"v.H.-Satz",H38="")</formula>
    </cfRule>
    <cfRule type="expression" dxfId="778" priority="1354">
      <formula>AND(M38,G38="v.H.-Satz")</formula>
    </cfRule>
    <cfRule type="expression" dxfId="777" priority="1353">
      <formula>AND(M38,J38="",G38&lt;&gt;"v.H.-Satz",H38="")</formula>
    </cfRule>
    <cfRule type="expression" dxfId="776" priority="1565">
      <formula>AND(M38,J38="",G38&lt;&gt;"v.H.-Satz",H38="")</formula>
    </cfRule>
    <cfRule type="expression" dxfId="775" priority="1566">
      <formula>AND(M38,G38="v.H.-Satz")</formula>
    </cfRule>
    <cfRule type="expression" dxfId="774" priority="1350">
      <formula>M38=FALSE</formula>
    </cfRule>
  </conditionalFormatting>
  <conditionalFormatting sqref="J44">
    <cfRule type="expression" dxfId="773" priority="1327">
      <formula>AND(M44,G44="v.H.-Satz")</formula>
    </cfRule>
    <cfRule type="expression" dxfId="772" priority="1344">
      <formula>M44=FALSE</formula>
    </cfRule>
    <cfRule type="expression" dxfId="771" priority="1330">
      <formula>M44=FALSE</formula>
    </cfRule>
    <cfRule type="expression" dxfId="770" priority="1334">
      <formula>AND(M44,G44="v.H.-Satz")</formula>
    </cfRule>
    <cfRule type="expression" dxfId="769" priority="1333">
      <formula>AND(M44,J44="",G44&lt;&gt;"v.H.-Satz",H44="")</formula>
    </cfRule>
    <cfRule type="expression" dxfId="768" priority="1556">
      <formula>M44=FALSE</formula>
    </cfRule>
    <cfRule type="expression" dxfId="767" priority="1559">
      <formula>AND(M44,J44="",G44&lt;&gt;"v.H.-Satz",H44="")</formula>
    </cfRule>
    <cfRule type="expression" dxfId="766" priority="1560">
      <formula>AND(M44,G44="v.H.-Satz")</formula>
    </cfRule>
    <cfRule type="expression" dxfId="765" priority="1323">
      <formula>M44=FALSE</formula>
    </cfRule>
    <cfRule type="expression" dxfId="764" priority="1326">
      <formula>AND(M44,J44="",G44&lt;&gt;"v.H.-Satz",H44="")</formula>
    </cfRule>
    <cfRule type="expression" dxfId="763" priority="1348">
      <formula>AND(M44,G44="v.H.-Satz")</formula>
    </cfRule>
    <cfRule type="expression" dxfId="762" priority="1347">
      <formula>AND(M44,J44="",G44&lt;&gt;"v.H.-Satz",H44="")</formula>
    </cfRule>
  </conditionalFormatting>
  <conditionalFormatting sqref="J46">
    <cfRule type="expression" dxfId="761" priority="445">
      <formula>M46=FALSE</formula>
    </cfRule>
    <cfRule type="expression" dxfId="760" priority="430">
      <formula>AND(M46,J46="",G46&lt;&gt;"v.H.-Satz",H46="")</formula>
    </cfRule>
    <cfRule type="expression" dxfId="759" priority="431">
      <formula>AND(M46,G46="v.H.-Satz")</formula>
    </cfRule>
    <cfRule type="expression" dxfId="758" priority="433">
      <formula>M46=FALSE</formula>
    </cfRule>
    <cfRule type="expression" dxfId="757" priority="443">
      <formula>AND(M46,G46="v.H.-Satz")</formula>
    </cfRule>
    <cfRule type="expression" dxfId="756" priority="437">
      <formula>AND(M46,G46="v.H.-Satz")</formula>
    </cfRule>
    <cfRule type="expression" dxfId="755" priority="439">
      <formula>M46=FALSE</formula>
    </cfRule>
    <cfRule type="expression" dxfId="754" priority="442">
      <formula>AND(M46,J46="",G46&lt;&gt;"v.H.-Satz",H46="")</formula>
    </cfRule>
    <cfRule type="expression" dxfId="753" priority="448">
      <formula>AND(M46,J46="",G46&lt;&gt;"v.H.-Satz",H46="")</formula>
    </cfRule>
    <cfRule type="expression" dxfId="752" priority="449">
      <formula>AND(M46,G46="v.H.-Satz")</formula>
    </cfRule>
    <cfRule type="expression" dxfId="751" priority="436">
      <formula>AND(M46,J46="",G46&lt;&gt;"v.H.-Satz",H46="")</formula>
    </cfRule>
    <cfRule type="expression" dxfId="750" priority="427">
      <formula>M46=FALSE</formula>
    </cfRule>
  </conditionalFormatting>
  <conditionalFormatting sqref="J48">
    <cfRule type="expression" dxfId="749" priority="1316">
      <formula>M48=FALSE</formula>
    </cfRule>
    <cfRule type="expression" dxfId="748" priority="1302">
      <formula>M48=FALSE</formula>
    </cfRule>
    <cfRule type="expression" dxfId="747" priority="1305">
      <formula>AND(M48,J48="",G48&lt;&gt;"v.H.-Satz",H48="")</formula>
    </cfRule>
    <cfRule type="expression" dxfId="746" priority="1306">
      <formula>AND(M48,G48="v.H.-Satz")</formula>
    </cfRule>
    <cfRule type="expression" dxfId="745" priority="1550">
      <formula>M48=FALSE</formula>
    </cfRule>
    <cfRule type="expression" dxfId="744" priority="1553">
      <formula>AND(M48,J48="",G48&lt;&gt;"v.H.-Satz",H48="")</formula>
    </cfRule>
    <cfRule type="expression" dxfId="743" priority="1554">
      <formula>AND(M48,G48="v.H.-Satz")</formula>
    </cfRule>
    <cfRule type="expression" dxfId="742" priority="1313">
      <formula>AND(M48,G48="v.H.-Satz")</formula>
    </cfRule>
    <cfRule type="expression" dxfId="741" priority="1309">
      <formula>M48=FALSE</formula>
    </cfRule>
    <cfRule type="expression" dxfId="740" priority="1320">
      <formula>AND(M48,G48="v.H.-Satz")</formula>
    </cfRule>
    <cfRule type="expression" dxfId="739" priority="1319">
      <formula>AND(M48,J48="",G48&lt;&gt;"v.H.-Satz",H48="")</formula>
    </cfRule>
    <cfRule type="expression" dxfId="738" priority="1312">
      <formula>AND(M48,J48="",G48&lt;&gt;"v.H.-Satz",H48="")</formula>
    </cfRule>
  </conditionalFormatting>
  <conditionalFormatting sqref="J53">
    <cfRule type="expression" dxfId="737" priority="1294">
      <formula>AND(M53,G53="v.H.-Satz")</formula>
    </cfRule>
    <cfRule type="expression" dxfId="736" priority="1293">
      <formula>AND(M53,J53="",G53&lt;&gt;"v.H.-Satz",H53="")</formula>
    </cfRule>
    <cfRule type="expression" dxfId="735" priority="1290">
      <formula>M53=FALSE</formula>
    </cfRule>
  </conditionalFormatting>
  <conditionalFormatting sqref="J59">
    <cfRule type="expression" dxfId="734" priority="1255">
      <formula>AND(M59,J59="",G59&lt;&gt;"v.H.-Satz",H59="")</formula>
    </cfRule>
    <cfRule type="expression" dxfId="733" priority="1288">
      <formula>AND(M59,G59="v.H.-Satz")</formula>
    </cfRule>
    <cfRule type="expression" dxfId="732" priority="1287">
      <formula>AND(M59,J59="",G59&lt;&gt;"v.H.-Satz",H59="")</formula>
    </cfRule>
    <cfRule type="expression" dxfId="731" priority="1284">
      <formula>M59=FALSE</formula>
    </cfRule>
    <cfRule type="expression" dxfId="730" priority="1256">
      <formula>AND(M59,G59="v.H.-Satz")</formula>
    </cfRule>
    <cfRule type="expression" dxfId="729" priority="1252">
      <formula>M59=FALSE</formula>
    </cfRule>
  </conditionalFormatting>
  <conditionalFormatting sqref="J61">
    <cfRule type="expression" dxfId="728" priority="1278">
      <formula>M61=FALSE</formula>
    </cfRule>
    <cfRule type="expression" dxfId="727" priority="1282">
      <formula>AND(M61,G61="v.H.-Satz")</formula>
    </cfRule>
    <cfRule type="expression" dxfId="726" priority="1281">
      <formula>AND(M61,J61="",G61&lt;&gt;"v.H.-Satz",H61="")</formula>
    </cfRule>
    <cfRule type="expression" dxfId="725" priority="1249">
      <formula>AND(M61,G61="v.H.-Satz")</formula>
    </cfRule>
    <cfRule type="expression" dxfId="724" priority="1248">
      <formula>AND(M61,J61="",G61&lt;&gt;"v.H.-Satz",H61="")</formula>
    </cfRule>
    <cfRule type="expression" dxfId="723" priority="1245">
      <formula>M61=FALSE</formula>
    </cfRule>
    <cfRule type="expression" dxfId="722" priority="1242">
      <formula>AND(M61,G61="v.H.-Satz")</formula>
    </cfRule>
    <cfRule type="expression" dxfId="721" priority="1241">
      <formula>AND(M61,J61="",G61&lt;&gt;"v.H.-Satz",H61="")</formula>
    </cfRule>
    <cfRule type="expression" dxfId="720" priority="1238">
      <formula>M61=FALSE</formula>
    </cfRule>
  </conditionalFormatting>
  <conditionalFormatting sqref="J63">
    <cfRule type="expression" dxfId="719" priority="1276">
      <formula>AND(M63,G63="v.H.-Satz")</formula>
    </cfRule>
    <cfRule type="expression" dxfId="718" priority="1275">
      <formula>AND(M63,J63="",G63&lt;&gt;"v.H.-Satz",H63="")</formula>
    </cfRule>
    <cfRule type="expression" dxfId="717" priority="1272">
      <formula>M63=FALSE</formula>
    </cfRule>
    <cfRule type="expression" dxfId="716" priority="1233">
      <formula>AND(M63,J63="",G63&lt;&gt;"v.H.-Satz",H63="")</formula>
    </cfRule>
    <cfRule type="expression" dxfId="715" priority="1234">
      <formula>AND(M63,G63="v.H.-Satz")</formula>
    </cfRule>
    <cfRule type="expression" dxfId="714" priority="1230">
      <formula>M63=FALSE</formula>
    </cfRule>
    <cfRule type="expression" dxfId="713" priority="1221">
      <formula>AND(M63,G63="v.H.-Satz")</formula>
    </cfRule>
    <cfRule type="expression" dxfId="712" priority="1220">
      <formula>AND(M63,J63="",G63&lt;&gt;"v.H.-Satz",H63="")</formula>
    </cfRule>
    <cfRule type="expression" dxfId="711" priority="1217">
      <formula>M63=FALSE</formula>
    </cfRule>
  </conditionalFormatting>
  <conditionalFormatting sqref="J65">
    <cfRule type="expression" dxfId="710" priority="1266">
      <formula>M65=FALSE</formula>
    </cfRule>
    <cfRule type="expression" dxfId="709" priority="1206">
      <formula>AND(M65,J65="",G65&lt;&gt;"v.H.-Satz",H65="")</formula>
    </cfRule>
    <cfRule type="expression" dxfId="708" priority="1213">
      <formula>AND(M65,J65="",G65&lt;&gt;"v.H.-Satz",H65="")</formula>
    </cfRule>
    <cfRule type="expression" dxfId="707" priority="1203">
      <formula>M65=FALSE</formula>
    </cfRule>
    <cfRule type="expression" dxfId="706" priority="1210">
      <formula>M65=FALSE</formula>
    </cfRule>
    <cfRule type="expression" dxfId="705" priority="1228">
      <formula>AND(M65,G65="v.H.-Satz")</formula>
    </cfRule>
    <cfRule type="expression" dxfId="704" priority="1227">
      <formula>AND(M65,J65="",G65&lt;&gt;"v.H.-Satz",H65="")</formula>
    </cfRule>
    <cfRule type="expression" dxfId="703" priority="1224">
      <formula>M65=FALSE</formula>
    </cfRule>
    <cfRule type="expression" dxfId="702" priority="1207">
      <formula>AND(M65,G65="v.H.-Satz")</formula>
    </cfRule>
    <cfRule type="expression" dxfId="701" priority="1270">
      <formula>AND(M65,G65="v.H.-Satz")</formula>
    </cfRule>
    <cfRule type="expression" dxfId="700" priority="1269">
      <formula>AND(M65,J65="",G65&lt;&gt;"v.H.-Satz",H65="")</formula>
    </cfRule>
    <cfRule type="expression" dxfId="699" priority="1214">
      <formula>AND(M65,G65="v.H.-Satz")</formula>
    </cfRule>
  </conditionalFormatting>
  <conditionalFormatting sqref="J67">
    <cfRule type="expression" dxfId="698" priority="1182">
      <formula>M67=FALSE</formula>
    </cfRule>
    <cfRule type="expression" dxfId="697" priority="1189">
      <formula>M67=FALSE</formula>
    </cfRule>
    <cfRule type="expression" dxfId="696" priority="1263">
      <formula>AND(M67,J67="",G67&lt;&gt;"v.H.-Satz",H67="")</formula>
    </cfRule>
    <cfRule type="expression" dxfId="695" priority="1186">
      <formula>AND(M67,G67="v.H.-Satz")</formula>
    </cfRule>
    <cfRule type="expression" dxfId="694" priority="1196">
      <formula>M67=FALSE</formula>
    </cfRule>
    <cfRule type="expression" dxfId="693" priority="1185">
      <formula>AND(M67,J67="",G67&lt;&gt;"v.H.-Satz",H67="")</formula>
    </cfRule>
    <cfRule type="expression" dxfId="692" priority="1199">
      <formula>AND(M67,J67="",G67&lt;&gt;"v.H.-Satz",H67="")</formula>
    </cfRule>
    <cfRule type="expression" dxfId="691" priority="1192">
      <formula>AND(M67,J67="",G67&lt;&gt;"v.H.-Satz",H67="")</formula>
    </cfRule>
    <cfRule type="expression" dxfId="690" priority="1200">
      <formula>AND(M67,G67="v.H.-Satz")</formula>
    </cfRule>
    <cfRule type="expression" dxfId="689" priority="1264">
      <formula>AND(M67,G67="v.H.-Satz")</formula>
    </cfRule>
    <cfRule type="expression" dxfId="688" priority="1193">
      <formula>AND(M67,G67="v.H.-Satz")</formula>
    </cfRule>
    <cfRule type="expression" dxfId="687" priority="1260">
      <formula>M67=FALSE</formula>
    </cfRule>
  </conditionalFormatting>
  <conditionalFormatting sqref="J72">
    <cfRule type="expression" dxfId="686" priority="613">
      <formula>M72=FALSE</formula>
    </cfRule>
    <cfRule type="expression" dxfId="685" priority="616">
      <formula>AND(M72,J72="",G72&lt;&gt;"v.H.-Satz",H72="")</formula>
    </cfRule>
    <cfRule type="expression" dxfId="684" priority="617">
      <formula>AND(M72,G72="v.H.-Satz")</formula>
    </cfRule>
  </conditionalFormatting>
  <conditionalFormatting sqref="J74">
    <cfRule type="expression" dxfId="683" priority="594">
      <formula>M74=FALSE</formula>
    </cfRule>
    <cfRule type="expression" dxfId="682" priority="604">
      <formula>AND(M74,G74="v.H.-Satz")</formula>
    </cfRule>
    <cfRule type="expression" dxfId="681" priority="603">
      <formula>AND(M74,J74="",G74&lt;&gt;"v.H.-Satz",H74="")</formula>
    </cfRule>
    <cfRule type="expression" dxfId="680" priority="600">
      <formula>M74=FALSE</formula>
    </cfRule>
    <cfRule type="expression" dxfId="679" priority="598">
      <formula>AND(M74,G74="v.H.-Satz")</formula>
    </cfRule>
    <cfRule type="expression" dxfId="678" priority="597">
      <formula>AND(M74,J74="",G74&lt;&gt;"v.H.-Satz",H74="")</formula>
    </cfRule>
  </conditionalFormatting>
  <conditionalFormatting sqref="J76">
    <cfRule type="expression" dxfId="677" priority="580">
      <formula>AND(M76,G76="v.H.-Satz")</formula>
    </cfRule>
    <cfRule type="expression" dxfId="676" priority="582">
      <formula>M76=FALSE</formula>
    </cfRule>
    <cfRule type="expression" dxfId="675" priority="585">
      <formula>AND(M76,J76="",G76&lt;&gt;"v.H.-Satz",H76="")</formula>
    </cfRule>
    <cfRule type="expression" dxfId="674" priority="586">
      <formula>AND(M76,G76="v.H.-Satz")</formula>
    </cfRule>
    <cfRule type="expression" dxfId="673" priority="576">
      <formula>M76=FALSE</formula>
    </cfRule>
    <cfRule type="expression" dxfId="672" priority="579">
      <formula>AND(M76,J76="",G76&lt;&gt;"v.H.-Satz",H76="")</formula>
    </cfRule>
  </conditionalFormatting>
  <conditionalFormatting sqref="J78">
    <cfRule type="expression" dxfId="671" priority="561">
      <formula>AND(M78,J78="",G78&lt;&gt;"v.H.-Satz",H78="")</formula>
    </cfRule>
    <cfRule type="expression" dxfId="670" priority="562">
      <formula>AND(M78,G78="v.H.-Satz")</formula>
    </cfRule>
    <cfRule type="expression" dxfId="669" priority="564">
      <formula>M78=FALSE</formula>
    </cfRule>
    <cfRule type="expression" dxfId="668" priority="558">
      <formula>M78=FALSE</formula>
    </cfRule>
    <cfRule type="expression" dxfId="667" priority="567">
      <formula>AND(M78,J78="",G78&lt;&gt;"v.H.-Satz",H78="")</formula>
    </cfRule>
    <cfRule type="expression" dxfId="666" priority="568">
      <formula>AND(M78,G78="v.H.-Satz")</formula>
    </cfRule>
  </conditionalFormatting>
  <conditionalFormatting sqref="J80">
    <cfRule type="expression" dxfId="665" priority="549">
      <formula>AND(M80,J80="",G80&lt;&gt;"v.H.-Satz",H80="")</formula>
    </cfRule>
    <cfRule type="expression" dxfId="664" priority="540">
      <formula>M80=FALSE</formula>
    </cfRule>
    <cfRule type="expression" dxfId="663" priority="546">
      <formula>M80=FALSE</formula>
    </cfRule>
    <cfRule type="expression" dxfId="662" priority="544">
      <formula>AND(M80,G80="v.H.-Satz")</formula>
    </cfRule>
    <cfRule type="expression" dxfId="661" priority="543">
      <formula>AND(M80,J80="",G80&lt;&gt;"v.H.-Satz",H80="")</formula>
    </cfRule>
    <cfRule type="expression" dxfId="660" priority="550">
      <formula>AND(M80,G80="v.H.-Satz")</formula>
    </cfRule>
  </conditionalFormatting>
  <conditionalFormatting sqref="J82">
    <cfRule type="expression" dxfId="659" priority="532">
      <formula>AND(M82,G82="v.H.-Satz")</formula>
    </cfRule>
    <cfRule type="expression" dxfId="658" priority="531">
      <formula>AND(M82,J82="",G82&lt;&gt;"v.H.-Satz",H82="")</formula>
    </cfRule>
    <cfRule type="expression" dxfId="657" priority="525">
      <formula>AND(M82,J82="",G82&lt;&gt;"v.H.-Satz",H82="")</formula>
    </cfRule>
    <cfRule type="expression" dxfId="656" priority="528">
      <formula>M82=FALSE</formula>
    </cfRule>
    <cfRule type="expression" dxfId="655" priority="526">
      <formula>AND(M82,G82="v.H.-Satz")</formula>
    </cfRule>
    <cfRule type="expression" dxfId="654" priority="522">
      <formula>M82=FALSE</formula>
    </cfRule>
  </conditionalFormatting>
  <conditionalFormatting sqref="J87">
    <cfRule type="expression" dxfId="653" priority="813">
      <formula>AND(M87,J87="",G87&lt;&gt;"v.H.-Satz",H87="")</formula>
    </cfRule>
    <cfRule type="expression" dxfId="652" priority="806">
      <formula>AND(M87,J87="",G87&lt;&gt;"v.H.-Satz",H87="")</formula>
    </cfRule>
    <cfRule type="expression" dxfId="651" priority="795">
      <formula>AND(M87,G87="v.H.-Satz")</formula>
    </cfRule>
    <cfRule type="expression" dxfId="650" priority="794">
      <formula>AND(M87,J87="",G87&lt;&gt;"v.H.-Satz",H87="")</formula>
    </cfRule>
    <cfRule type="expression" dxfId="649" priority="791">
      <formula>M87=FALSE</formula>
    </cfRule>
    <cfRule type="expression" dxfId="648" priority="803">
      <formula>M87=FALSE</formula>
    </cfRule>
    <cfRule type="expression" dxfId="647" priority="807">
      <formula>AND(M87,G87="v.H.-Satz")</formula>
    </cfRule>
    <cfRule type="expression" dxfId="646" priority="814">
      <formula>AND(M87,G87="v.H.-Satz")</formula>
    </cfRule>
    <cfRule type="expression" dxfId="645" priority="810">
      <formula>M87=FALSE</formula>
    </cfRule>
    <cfRule type="expression" dxfId="644" priority="801">
      <formula>AND(M87,G87="v.H.-Satz")</formula>
    </cfRule>
    <cfRule type="expression" dxfId="643" priority="797">
      <formula>M87=FALSE</formula>
    </cfRule>
    <cfRule type="expression" dxfId="642" priority="800">
      <formula>AND(M87,J87="",G87&lt;&gt;"v.H.-Satz",H87="")</formula>
    </cfRule>
  </conditionalFormatting>
  <conditionalFormatting sqref="J89">
    <cfRule type="expression" dxfId="641" priority="185">
      <formula>AND(M89,J89="",G89&lt;&gt;"v.H.-Satz",H89="")</formula>
    </cfRule>
    <cfRule type="expression" dxfId="640" priority="186">
      <formula>AND(M89,G89="v.H.-Satz")</formula>
    </cfRule>
    <cfRule type="expression" dxfId="639" priority="188">
      <formula>M89=FALSE</formula>
    </cfRule>
    <cfRule type="expression" dxfId="638" priority="191">
      <formula>AND(M89,J89="",G89&lt;&gt;"v.H.-Satz",H89="")</formula>
    </cfRule>
    <cfRule type="expression" dxfId="637" priority="192">
      <formula>AND(M89,G89="v.H.-Satz")</formula>
    </cfRule>
    <cfRule type="expression" dxfId="636" priority="194">
      <formula>M89=FALSE</formula>
    </cfRule>
    <cfRule type="expression" dxfId="635" priority="198">
      <formula>AND(M89,G89="v.H.-Satz")</formula>
    </cfRule>
    <cfRule type="expression" dxfId="634" priority="182">
      <formula>M89=FALSE</formula>
    </cfRule>
    <cfRule type="expression" dxfId="633" priority="197">
      <formula>AND(M89,J89="",G89&lt;&gt;"v.H.-Satz",H89="")</formula>
    </cfRule>
  </conditionalFormatting>
  <conditionalFormatting sqref="J91">
    <cfRule type="expression" dxfId="632" priority="741">
      <formula>AND(M91,G91="v.H.-Satz")</formula>
    </cfRule>
    <cfRule type="expression" dxfId="631" priority="746">
      <formula>AND(M91,J91="",G91&lt;&gt;"v.H.-Satz",H91="")</formula>
    </cfRule>
    <cfRule type="expression" dxfId="630" priority="760">
      <formula>AND(M91,G91="v.H.-Satz")</formula>
    </cfRule>
    <cfRule type="expression" dxfId="629" priority="740">
      <formula>AND(M91,J91="",G91&lt;&gt;"v.H.-Satz",H91="")</formula>
    </cfRule>
    <cfRule type="expression" dxfId="628" priority="743">
      <formula>M91=FALSE</formula>
    </cfRule>
    <cfRule type="expression" dxfId="627" priority="753">
      <formula>AND(M91,G91="v.H.-Satz")</formula>
    </cfRule>
    <cfRule type="expression" dxfId="626" priority="752">
      <formula>AND(M91,J91="",G91&lt;&gt;"v.H.-Satz",H91="")</formula>
    </cfRule>
    <cfRule type="expression" dxfId="625" priority="737">
      <formula>M91=FALSE</formula>
    </cfRule>
    <cfRule type="expression" dxfId="624" priority="759">
      <formula>AND(M91,J91="",G91&lt;&gt;"v.H.-Satz",H91="")</formula>
    </cfRule>
    <cfRule type="expression" dxfId="623" priority="749">
      <formula>M91=FALSE</formula>
    </cfRule>
    <cfRule type="expression" dxfId="622" priority="756">
      <formula>M91=FALSE</formula>
    </cfRule>
    <cfRule type="expression" dxfId="621" priority="747">
      <formula>AND(M91,G91="v.H.-Satz")</formula>
    </cfRule>
  </conditionalFormatting>
  <conditionalFormatting sqref="J93">
    <cfRule type="expression" dxfId="620" priority="714">
      <formula>AND(M93,G93="v.H.-Satz")</formula>
    </cfRule>
    <cfRule type="expression" dxfId="619" priority="722">
      <formula>M93=FALSE</formula>
    </cfRule>
    <cfRule type="expression" dxfId="618" priority="720">
      <formula>AND(M93,G93="v.H.-Satz")</formula>
    </cfRule>
    <cfRule type="expression" dxfId="617" priority="719">
      <formula>AND(M93,J93="",G93&lt;&gt;"v.H.-Satz",H93="")</formula>
    </cfRule>
    <cfRule type="expression" dxfId="616" priority="710">
      <formula>M93=FALSE</formula>
    </cfRule>
    <cfRule type="expression" dxfId="615" priority="732">
      <formula>AND(M93,J93="",G93&lt;&gt;"v.H.-Satz",H93="")</formula>
    </cfRule>
    <cfRule type="expression" dxfId="614" priority="725">
      <formula>AND(M93,J93="",G93&lt;&gt;"v.H.-Satz",H93="")</formula>
    </cfRule>
    <cfRule type="expression" dxfId="613" priority="726">
      <formula>AND(M93,G93="v.H.-Satz")</formula>
    </cfRule>
    <cfRule type="expression" dxfId="612" priority="713">
      <formula>AND(M93,J93="",G93&lt;&gt;"v.H.-Satz",H93="")</formula>
    </cfRule>
    <cfRule type="expression" dxfId="611" priority="733">
      <formula>AND(M93,G93="v.H.-Satz")</formula>
    </cfRule>
    <cfRule type="expression" dxfId="610" priority="716">
      <formula>M93=FALSE</formula>
    </cfRule>
    <cfRule type="expression" dxfId="609" priority="729">
      <formula>M93=FALSE</formula>
    </cfRule>
  </conditionalFormatting>
  <conditionalFormatting sqref="J95">
    <cfRule type="expression" dxfId="608" priority="1022">
      <formula>AND(M95,J95="",G95&lt;&gt;"v.H.-Satz",H95="")</formula>
    </cfRule>
    <cfRule type="expression" dxfId="607" priority="1052">
      <formula>M95=FALSE</formula>
    </cfRule>
    <cfRule type="expression" dxfId="606" priority="1030">
      <formula>AND(M95,G95="v.H.-Satz")</formula>
    </cfRule>
    <cfRule type="expression" dxfId="605" priority="1029">
      <formula>AND(M95,J95="",G95&lt;&gt;"v.H.-Satz",H95="")</formula>
    </cfRule>
    <cfRule type="expression" dxfId="604" priority="1056">
      <formula>AND(M95,G95="v.H.-Satz")</formula>
    </cfRule>
    <cfRule type="expression" dxfId="603" priority="1023">
      <formula>AND(M95,G95="v.H.-Satz")</formula>
    </cfRule>
    <cfRule type="expression" dxfId="602" priority="1019">
      <formula>M95=FALSE</formula>
    </cfRule>
    <cfRule type="expression" dxfId="601" priority="1055">
      <formula>AND(M95,J95="",G95&lt;&gt;"v.H.-Satz",H95="")</formula>
    </cfRule>
    <cfRule type="expression" dxfId="600" priority="1026">
      <formula>M95=FALSE</formula>
    </cfRule>
  </conditionalFormatting>
  <conditionalFormatting sqref="J97">
    <cfRule type="expression" dxfId="599" priority="1050">
      <formula>AND(M97,G97="v.H.-Satz")</formula>
    </cfRule>
    <cfRule type="expression" dxfId="598" priority="1049">
      <formula>AND(M97,J97="",G97&lt;&gt;"v.H.-Satz",H97="")</formula>
    </cfRule>
    <cfRule type="expression" dxfId="597" priority="998">
      <formula>M97=FALSE</formula>
    </cfRule>
    <cfRule type="expression" dxfId="596" priority="1001">
      <formula>AND(M97,J97="",G97&lt;&gt;"v.H.-Satz",H97="")</formula>
    </cfRule>
    <cfRule type="expression" dxfId="595" priority="1015">
      <formula>AND(M97,G97="v.H.-Satz")</formula>
    </cfRule>
    <cfRule type="expression" dxfId="594" priority="1046">
      <formula>M97=FALSE</formula>
    </cfRule>
    <cfRule type="expression" dxfId="593" priority="1014">
      <formula>AND(M97,J97="",G97&lt;&gt;"v.H.-Satz",H97="")</formula>
    </cfRule>
    <cfRule type="expression" dxfId="592" priority="1011">
      <formula>M97=FALSE</formula>
    </cfRule>
    <cfRule type="expression" dxfId="591" priority="1002">
      <formula>AND(M97,G97="v.H.-Satz")</formula>
    </cfRule>
  </conditionalFormatting>
  <conditionalFormatting sqref="J99">
    <cfRule type="expression" dxfId="590" priority="1044">
      <formula>AND(M99,G99="v.H.-Satz")</formula>
    </cfRule>
    <cfRule type="expression" dxfId="589" priority="991">
      <formula>M99=FALSE</formula>
    </cfRule>
    <cfRule type="expression" dxfId="588" priority="1009">
      <formula>AND(M99,G99="v.H.-Satz")</formula>
    </cfRule>
    <cfRule type="expression" dxfId="587" priority="1008">
      <formula>AND(M99,J99="",G99&lt;&gt;"v.H.-Satz",H99="")</formula>
    </cfRule>
    <cfRule type="expression" dxfId="586" priority="984">
      <formula>M99=FALSE</formula>
    </cfRule>
    <cfRule type="expression" dxfId="585" priority="1043">
      <formula>AND(M99,J99="",G99&lt;&gt;"v.H.-Satz",H99="")</formula>
    </cfRule>
    <cfRule type="expression" dxfId="584" priority="1005">
      <formula>M99=FALSE</formula>
    </cfRule>
    <cfRule type="expression" dxfId="583" priority="988">
      <formula>AND(M99,G99="v.H.-Satz")</formula>
    </cfRule>
    <cfRule type="expression" dxfId="582" priority="1040">
      <formula>M99=FALSE</formula>
    </cfRule>
    <cfRule type="expression" dxfId="581" priority="987">
      <formula>AND(M99,J99="",G99&lt;&gt;"v.H.-Satz",H99="")</formula>
    </cfRule>
    <cfRule type="expression" dxfId="580" priority="995">
      <formula>AND(M99,G99="v.H.-Satz")</formula>
    </cfRule>
    <cfRule type="expression" dxfId="579" priority="994">
      <formula>AND(M99,J99="",G99&lt;&gt;"v.H.-Satz",H99="")</formula>
    </cfRule>
  </conditionalFormatting>
  <conditionalFormatting sqref="J101">
    <cfRule type="expression" dxfId="578" priority="966">
      <formula>AND(M101,J101="",G101&lt;&gt;"v.H.-Satz",H101="")</formula>
    </cfRule>
    <cfRule type="expression" dxfId="577" priority="963">
      <formula>M101=FALSE</formula>
    </cfRule>
    <cfRule type="expression" dxfId="576" priority="980">
      <formula>AND(M101,J101="",G101&lt;&gt;"v.H.-Satz",H101="")</formula>
    </cfRule>
    <cfRule type="expression" dxfId="575" priority="981">
      <formula>AND(M101,G101="v.H.-Satz")</formula>
    </cfRule>
    <cfRule type="expression" dxfId="574" priority="1034">
      <formula>M101=FALSE</formula>
    </cfRule>
    <cfRule type="expression" dxfId="573" priority="977">
      <formula>M101=FALSE</formula>
    </cfRule>
    <cfRule type="expression" dxfId="572" priority="970">
      <formula>M101=FALSE</formula>
    </cfRule>
    <cfRule type="expression" dxfId="571" priority="973">
      <formula>AND(M101,J101="",G101&lt;&gt;"v.H.-Satz",H101="")</formula>
    </cfRule>
    <cfRule type="expression" dxfId="570" priority="974">
      <formula>AND(M101,G101="v.H.-Satz")</formula>
    </cfRule>
    <cfRule type="expression" dxfId="569" priority="1038">
      <formula>AND(M101,G101="v.H.-Satz")</formula>
    </cfRule>
    <cfRule type="expression" dxfId="568" priority="967">
      <formula>AND(M101,G101="v.H.-Satz")</formula>
    </cfRule>
    <cfRule type="expression" dxfId="567" priority="1037">
      <formula>AND(M101,J101="",G101&lt;&gt;"v.H.-Satz",H101="")</formula>
    </cfRule>
  </conditionalFormatting>
  <conditionalFormatting sqref="J106">
    <cfRule type="expression" dxfId="566" priority="860">
      <formula>AND(M106,J106="",G106&lt;&gt;"v.H.-Satz",H106="")</formula>
    </cfRule>
    <cfRule type="expression" dxfId="565" priority="861">
      <formula>AND(M106,G106="v.H.-Satz")</formula>
    </cfRule>
    <cfRule type="expression" dxfId="564" priority="857">
      <formula>M106=FALSE</formula>
    </cfRule>
    <cfRule type="expression" dxfId="563" priority="836">
      <formula>AND(M106,G106="v.H.-Satz")</formula>
    </cfRule>
    <cfRule type="expression" dxfId="562" priority="835">
      <formula>AND(M106,J106="",G106&lt;&gt;"v.H.-Satz",H106="")</formula>
    </cfRule>
    <cfRule type="expression" dxfId="561" priority="832">
      <formula>M106=FALSE</formula>
    </cfRule>
    <cfRule type="expression" dxfId="560" priority="848">
      <formula>AND(M106,G106="v.H.-Satz")</formula>
    </cfRule>
    <cfRule type="expression" dxfId="559" priority="847">
      <formula>AND(M106,J106="",G106&lt;&gt;"v.H.-Satz",H106="")</formula>
    </cfRule>
    <cfRule type="expression" dxfId="558" priority="844">
      <formula>M106=FALSE</formula>
    </cfRule>
  </conditionalFormatting>
  <conditionalFormatting sqref="J108">
    <cfRule type="expression" dxfId="557" priority="236">
      <formula>AND(M108,J108="",G108&lt;&gt;"v.H.-Satz",H108="")</formula>
    </cfRule>
    <cfRule type="expression" dxfId="556" priority="237">
      <formula>AND(M108,G108="v.H.-Satz")</formula>
    </cfRule>
    <cfRule type="expression" dxfId="555" priority="254">
      <formula>AND(M108,J108="",G108&lt;&gt;"v.H.-Satz",H108="")</formula>
    </cfRule>
    <cfRule type="expression" dxfId="554" priority="233">
      <formula>M108=FALSE</formula>
    </cfRule>
    <cfRule type="expression" dxfId="553" priority="255">
      <formula>AND(M108,G108="v.H.-Satz")</formula>
    </cfRule>
    <cfRule type="expression" dxfId="552" priority="251">
      <formula>M108=FALSE</formula>
    </cfRule>
    <cfRule type="expression" dxfId="551" priority="249">
      <formula>AND(M108,G108="v.H.-Satz")</formula>
    </cfRule>
    <cfRule type="expression" dxfId="550" priority="248">
      <formula>AND(M108,J108="",G108&lt;&gt;"v.H.-Satz",H108="")</formula>
    </cfRule>
    <cfRule type="expression" dxfId="549" priority="245">
      <formula>M108=FALSE</formula>
    </cfRule>
    <cfRule type="expression" dxfId="548" priority="243">
      <formula>AND(M108,G108="v.H.-Satz")</formula>
    </cfRule>
    <cfRule type="expression" dxfId="547" priority="242">
      <formula>AND(M108,J108="",G108&lt;&gt;"v.H.-Satz",H108="")</formula>
    </cfRule>
    <cfRule type="expression" dxfId="546" priority="239">
      <formula>M108=FALSE</formula>
    </cfRule>
  </conditionalFormatting>
  <conditionalFormatting sqref="J110">
    <cfRule type="expression" dxfId="545" priority="292">
      <formula>AND(M110,J110="",G110&lt;&gt;"v.H.-Satz",H110="")</formula>
    </cfRule>
    <cfRule type="expression" dxfId="544" priority="293">
      <formula>AND(M110,G110="v.H.-Satz")</formula>
    </cfRule>
    <cfRule type="expression" dxfId="543" priority="289">
      <formula>M110=FALSE</formula>
    </cfRule>
    <cfRule type="expression" dxfId="542" priority="280">
      <formula>AND(M110,G110="v.H.-Satz")</formula>
    </cfRule>
    <cfRule type="expression" dxfId="541" priority="279">
      <formula>AND(M110,J110="",G110&lt;&gt;"v.H.-Satz",H110="")</formula>
    </cfRule>
    <cfRule type="expression" dxfId="540" priority="270">
      <formula>M110=FALSE</formula>
    </cfRule>
    <cfRule type="expression" dxfId="539" priority="276">
      <formula>M110=FALSE</formula>
    </cfRule>
    <cfRule type="expression" dxfId="538" priority="274">
      <formula>AND(M110,G110="v.H.-Satz")</formula>
    </cfRule>
    <cfRule type="expression" dxfId="537" priority="273">
      <formula>AND(M110,J110="",G110&lt;&gt;"v.H.-Satz",H110="")</formula>
    </cfRule>
  </conditionalFormatting>
  <conditionalFormatting sqref="J116">
    <cfRule type="expression" dxfId="536" priority="264">
      <formula>M116=FALSE</formula>
    </cfRule>
    <cfRule type="expression" dxfId="535" priority="262">
      <formula>AND(M116,G116="v.H.-Satz")</formula>
    </cfRule>
    <cfRule type="expression" dxfId="534" priority="261">
      <formula>AND(M116,J116="",G116&lt;&gt;"v.H.-Satz",H116="")</formula>
    </cfRule>
    <cfRule type="expression" dxfId="533" priority="258">
      <formula>M116=FALSE</formula>
    </cfRule>
    <cfRule type="expression" dxfId="532" priority="287">
      <formula>AND(M116,G116="v.H.-Satz")</formula>
    </cfRule>
    <cfRule type="expression" dxfId="531" priority="268">
      <formula>AND(M116,G116="v.H.-Satz")</formula>
    </cfRule>
    <cfRule type="expression" dxfId="530" priority="286">
      <formula>AND(M116,J116="",G116&lt;&gt;"v.H.-Satz",H116="")</formula>
    </cfRule>
    <cfRule type="expression" dxfId="529" priority="267">
      <formula>AND(M116,J116="",G116&lt;&gt;"v.H.-Satz",H116="")</formula>
    </cfRule>
    <cfRule type="expression" dxfId="528" priority="283">
      <formula>M116=FALSE</formula>
    </cfRule>
  </conditionalFormatting>
  <conditionalFormatting sqref="J120">
    <cfRule type="expression" dxfId="527" priority="824">
      <formula>AND(M120,G120="v.H.-Satz")</formula>
    </cfRule>
    <cfRule type="expression" dxfId="526" priority="823">
      <formula>AND(M120,J120="",G120&lt;&gt;"v.H.-Satz",H120="")</formula>
    </cfRule>
    <cfRule type="expression" dxfId="525" priority="820">
      <formula>M120=FALSE</formula>
    </cfRule>
    <cfRule type="expression" dxfId="524" priority="855">
      <formula>AND(M120,G120="v.H.-Satz")</formula>
    </cfRule>
    <cfRule type="expression" dxfId="523" priority="854">
      <formula>AND(M120,J120="",G120&lt;&gt;"v.H.-Satz",H120="")</formula>
    </cfRule>
    <cfRule type="expression" dxfId="522" priority="851">
      <formula>M120=FALSE</formula>
    </cfRule>
    <cfRule type="expression" dxfId="521" priority="842">
      <formula>AND(M120,G120="v.H.-Satz")</formula>
    </cfRule>
    <cfRule type="expression" dxfId="520" priority="841">
      <formula>AND(M120,J120="",G120&lt;&gt;"v.H.-Satz",H120="")</formula>
    </cfRule>
    <cfRule type="expression" dxfId="519" priority="838">
      <formula>M120=FALSE</formula>
    </cfRule>
    <cfRule type="expression" dxfId="518" priority="830">
      <formula>AND(M120,G120="v.H.-Satz")</formula>
    </cfRule>
    <cfRule type="expression" dxfId="517" priority="829">
      <formula>AND(M120,J120="",G120&lt;&gt;"v.H.-Satz",H120="")</formula>
    </cfRule>
    <cfRule type="expression" dxfId="516" priority="826">
      <formula>M120=FALSE</formula>
    </cfRule>
  </conditionalFormatting>
  <conditionalFormatting sqref="J130">
    <cfRule type="expression" dxfId="515" priority="920">
      <formula>M130=FALSE</formula>
    </cfRule>
    <cfRule type="expression" dxfId="514" priority="927">
      <formula>M130=FALSE</formula>
    </cfRule>
    <cfRule type="expression" dxfId="513" priority="930">
      <formula>AND(M130,J130="",G130&lt;&gt;"v.H.-Satz",H130="")</formula>
    </cfRule>
    <cfRule type="expression" dxfId="512" priority="931">
      <formula>AND(M130,G130="v.H.-Satz")</formula>
    </cfRule>
    <cfRule type="expression" dxfId="511" priority="956">
      <formula>AND(M130,J130="",G130&lt;&gt;"v.H.-Satz",H130="")</formula>
    </cfRule>
    <cfRule type="expression" dxfId="510" priority="953">
      <formula>M130=FALSE</formula>
    </cfRule>
    <cfRule type="expression" dxfId="509" priority="957">
      <formula>AND(M130,G130="v.H.-Satz")</formula>
    </cfRule>
    <cfRule type="expression" dxfId="508" priority="924">
      <formula>AND(M130,G130="v.H.-Satz")</formula>
    </cfRule>
    <cfRule type="expression" dxfId="507" priority="923">
      <formula>AND(M130,J130="",G130&lt;&gt;"v.H.-Satz",H130="")</formula>
    </cfRule>
  </conditionalFormatting>
  <conditionalFormatting sqref="J132">
    <cfRule type="expression" dxfId="506" priority="951">
      <formula>AND(M132,G132="v.H.-Satz")</formula>
    </cfRule>
    <cfRule type="expression" dxfId="505" priority="916">
      <formula>AND(M132,G132="v.H.-Satz")</formula>
    </cfRule>
    <cfRule type="expression" dxfId="504" priority="915">
      <formula>AND(M132,J132="",G132&lt;&gt;"v.H.-Satz",H132="")</formula>
    </cfRule>
    <cfRule type="expression" dxfId="503" priority="912">
      <formula>M132=FALSE</formula>
    </cfRule>
    <cfRule type="expression" dxfId="502" priority="902">
      <formula>AND(M132,J132="",G132&lt;&gt;"v.H.-Satz",H132="")</formula>
    </cfRule>
    <cfRule type="expression" dxfId="501" priority="950">
      <formula>AND(M132,J132="",G132&lt;&gt;"v.H.-Satz",H132="")</formula>
    </cfRule>
    <cfRule type="expression" dxfId="500" priority="947">
      <formula>M132=FALSE</formula>
    </cfRule>
    <cfRule type="expression" dxfId="499" priority="899">
      <formula>M132=FALSE</formula>
    </cfRule>
    <cfRule type="expression" dxfId="498" priority="903">
      <formula>AND(M132,G132="v.H.-Satz")</formula>
    </cfRule>
  </conditionalFormatting>
  <conditionalFormatting sqref="J134">
    <cfRule type="expression" dxfId="497" priority="909">
      <formula>AND(M134,J134="",G134&lt;&gt;"v.H.-Satz",H134="")</formula>
    </cfRule>
    <cfRule type="expression" dxfId="496" priority="945">
      <formula>AND(M134,G134="v.H.-Satz")</formula>
    </cfRule>
    <cfRule type="expression" dxfId="495" priority="944">
      <formula>AND(M134,J134="",G134&lt;&gt;"v.H.-Satz",H134="")</formula>
    </cfRule>
    <cfRule type="expression" dxfId="494" priority="941">
      <formula>M134=FALSE</formula>
    </cfRule>
    <cfRule type="expression" dxfId="493" priority="888">
      <formula>AND(M134,J134="",G134&lt;&gt;"v.H.-Satz",H134="")</formula>
    </cfRule>
    <cfRule type="expression" dxfId="492" priority="896">
      <formula>AND(M134,G134="v.H.-Satz")</formula>
    </cfRule>
    <cfRule type="expression" dxfId="491" priority="895">
      <formula>AND(M134,J134="",G134&lt;&gt;"v.H.-Satz",H134="")</formula>
    </cfRule>
    <cfRule type="expression" dxfId="490" priority="892">
      <formula>M134=FALSE</formula>
    </cfRule>
    <cfRule type="expression" dxfId="489" priority="889">
      <formula>AND(M134,G134="v.H.-Satz")</formula>
    </cfRule>
    <cfRule type="expression" dxfId="488" priority="885">
      <formula>M134=FALSE</formula>
    </cfRule>
    <cfRule type="expression" dxfId="487" priority="910">
      <formula>AND(M134,G134="v.H.-Satz")</formula>
    </cfRule>
    <cfRule type="expression" dxfId="486" priority="906">
      <formula>M134=FALSE</formula>
    </cfRule>
  </conditionalFormatting>
  <conditionalFormatting sqref="J136">
    <cfRule type="expression" dxfId="485" priority="874">
      <formula>AND(M136,J136="",G136&lt;&gt;"v.H.-Satz",H136="")</formula>
    </cfRule>
    <cfRule type="expression" dxfId="484" priority="867">
      <formula>AND(M136,J136="",G136&lt;&gt;"v.H.-Satz",H136="")</formula>
    </cfRule>
    <cfRule type="expression" dxfId="483" priority="868">
      <formula>AND(M136,G136="v.H.-Satz")</formula>
    </cfRule>
    <cfRule type="expression" dxfId="482" priority="875">
      <formula>AND(M136,G136="v.H.-Satz")</formula>
    </cfRule>
    <cfRule type="expression" dxfId="481" priority="939">
      <formula>AND(M136,G136="v.H.-Satz")</formula>
    </cfRule>
    <cfRule type="expression" dxfId="480" priority="935">
      <formula>M136=FALSE</formula>
    </cfRule>
    <cfRule type="expression" dxfId="479" priority="938">
      <formula>AND(M136,J136="",G136&lt;&gt;"v.H.-Satz",H136="")</formula>
    </cfRule>
    <cfRule type="expression" dxfId="478" priority="864">
      <formula>M136=FALSE</formula>
    </cfRule>
    <cfRule type="expression" dxfId="477" priority="882">
      <formula>AND(M136,G136="v.H.-Satz")</formula>
    </cfRule>
    <cfRule type="expression" dxfId="476" priority="881">
      <formula>AND(M136,J136="",G136&lt;&gt;"v.H.-Satz",H136="")</formula>
    </cfRule>
    <cfRule type="expression" dxfId="475" priority="878">
      <formula>M136=FALSE</formula>
    </cfRule>
    <cfRule type="expression" dxfId="474" priority="871">
      <formula>M136=FALSE</formula>
    </cfRule>
  </conditionalFormatting>
  <dataValidations count="2">
    <dataValidation type="list" allowBlank="1" showInputMessage="1" showErrorMessage="1" sqref="G38 G22 G93 G24 G20 G44 G48 G67 G59 G61 G63 G65 G14 G72 G74 G76 G78 G80 G82 G130 G132 G134 G95 G97 G99 G101 G120 G136 G110 G91 G87 G106 G46 G26 G28 G34 G36 G30 G32 G108 G116 G89 G16 G18 G53" xr:uid="{00000000-0002-0000-0800-000000000000}">
      <formula1>"v.H.-Satz,pauschal"</formula1>
    </dataValidation>
    <dataValidation allowBlank="1" showErrorMessage="1" sqref="E44:F44 E14 E28 E26 E38 E20 E22 E24 F43 E53 E48:F48 E46 E67 F58 F60 E59 E61 E74 E63 F49 E72 E30 F63:F68 E97 E16 E110:E111 E136 E82 E76 E80 F74:F83 F119 F97:F102 E18 E36 E101 E78 E116 F115 E132 E95 F45:F47 F129 E130 E99 E134 E65 E32 E34 F131:F137" xr:uid="{00000000-0002-0000-0800-000001000000}"/>
  </dataValidations>
  <pageMargins left="0.39370078740157483" right="0.19685039370078741" top="0.39370078740157483" bottom="0.47244094488188981" header="0.31496062992125984" footer="0.31496062992125984"/>
  <pageSetup paperSize="9" scale="84" fitToHeight="0" orientation="portrait" r:id="rId1"/>
  <headerFooter scaleWithDoc="0">
    <oddFooter>&amp;L&amp;8©  VHF Bayern - Stand Februar 2023&amp;R&amp;P</oddFooter>
  </headerFooter>
  <rowBreaks count="5" manualBreakCount="5">
    <brk id="29" max="11" man="1"/>
    <brk id="51" max="11" man="1"/>
    <brk id="70" max="11" man="1"/>
    <brk id="85" max="11" man="1"/>
    <brk id="104"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2" r:id="rId4" name="Check Box 2">
              <controlPr defaultSize="0" autoFill="0" autoLine="0" autoPict="0" altText="">
                <anchor moveWithCells="1">
                  <from>
                    <xdr:col>1</xdr:col>
                    <xdr:colOff>0</xdr:colOff>
                    <xdr:row>47</xdr:row>
                    <xdr:rowOff>0</xdr:rowOff>
                  </from>
                  <to>
                    <xdr:col>2</xdr:col>
                    <xdr:colOff>0</xdr:colOff>
                    <xdr:row>48</xdr:row>
                    <xdr:rowOff>0</xdr:rowOff>
                  </to>
                </anchor>
              </controlPr>
            </control>
          </mc:Choice>
        </mc:AlternateContent>
        <mc:AlternateContent xmlns:mc="http://schemas.openxmlformats.org/markup-compatibility/2006">
          <mc:Choice Requires="x14">
            <control shapeId="40964" r:id="rId5" name="Check Box 4">
              <controlPr defaultSize="0" autoFill="0" autoLine="0" autoPict="0" altText="">
                <anchor moveWithCells="1">
                  <from>
                    <xdr:col>1</xdr:col>
                    <xdr:colOff>0</xdr:colOff>
                    <xdr:row>62</xdr:row>
                    <xdr:rowOff>0</xdr:rowOff>
                  </from>
                  <to>
                    <xdr:col>2</xdr:col>
                    <xdr:colOff>0</xdr:colOff>
                    <xdr:row>63</xdr:row>
                    <xdr:rowOff>0</xdr:rowOff>
                  </to>
                </anchor>
              </controlPr>
            </control>
          </mc:Choice>
        </mc:AlternateContent>
        <mc:AlternateContent xmlns:mc="http://schemas.openxmlformats.org/markup-compatibility/2006">
          <mc:Choice Requires="x14">
            <control shapeId="40965" r:id="rId6" name="Check Box 5">
              <controlPr defaultSize="0" autoFill="0" autoLine="0" autoPict="0" altText="">
                <anchor moveWithCells="1">
                  <from>
                    <xdr:col>1</xdr:col>
                    <xdr:colOff>0</xdr:colOff>
                    <xdr:row>66</xdr:row>
                    <xdr:rowOff>0</xdr:rowOff>
                  </from>
                  <to>
                    <xdr:col>2</xdr:col>
                    <xdr:colOff>0</xdr:colOff>
                    <xdr:row>67</xdr:row>
                    <xdr:rowOff>0</xdr:rowOff>
                  </to>
                </anchor>
              </controlPr>
            </control>
          </mc:Choice>
        </mc:AlternateContent>
        <mc:AlternateContent xmlns:mc="http://schemas.openxmlformats.org/markup-compatibility/2006">
          <mc:Choice Requires="x14">
            <control shapeId="40966" r:id="rId7" name="Check Box 6">
              <controlPr defaultSize="0" autoFill="0" autoLine="0" autoPict="0" altText="">
                <anchor moveWithCells="1">
                  <from>
                    <xdr:col>1</xdr:col>
                    <xdr:colOff>0</xdr:colOff>
                    <xdr:row>73</xdr:row>
                    <xdr:rowOff>0</xdr:rowOff>
                  </from>
                  <to>
                    <xdr:col>2</xdr:col>
                    <xdr:colOff>0</xdr:colOff>
                    <xdr:row>74</xdr:row>
                    <xdr:rowOff>0</xdr:rowOff>
                  </to>
                </anchor>
              </controlPr>
            </control>
          </mc:Choice>
        </mc:AlternateContent>
        <mc:AlternateContent xmlns:mc="http://schemas.openxmlformats.org/markup-compatibility/2006">
          <mc:Choice Requires="x14">
            <control shapeId="40967" r:id="rId8" name="Check Box 7">
              <controlPr defaultSize="0" autoFill="0" autoLine="0" autoPict="0" altText="">
                <anchor moveWithCells="1">
                  <from>
                    <xdr:col>1</xdr:col>
                    <xdr:colOff>0</xdr:colOff>
                    <xdr:row>75</xdr:row>
                    <xdr:rowOff>0</xdr:rowOff>
                  </from>
                  <to>
                    <xdr:col>2</xdr:col>
                    <xdr:colOff>0</xdr:colOff>
                    <xdr:row>76</xdr:row>
                    <xdr:rowOff>0</xdr:rowOff>
                  </to>
                </anchor>
              </controlPr>
            </control>
          </mc:Choice>
        </mc:AlternateContent>
        <mc:AlternateContent xmlns:mc="http://schemas.openxmlformats.org/markup-compatibility/2006">
          <mc:Choice Requires="x14">
            <control shapeId="40968" r:id="rId9" name="Check Box 8">
              <controlPr defaultSize="0" autoFill="0" autoLine="0" autoPict="0" altText="">
                <anchor moveWithCells="1">
                  <from>
                    <xdr:col>1</xdr:col>
                    <xdr:colOff>0</xdr:colOff>
                    <xdr:row>77</xdr:row>
                    <xdr:rowOff>0</xdr:rowOff>
                  </from>
                  <to>
                    <xdr:col>2</xdr:col>
                    <xdr:colOff>0</xdr:colOff>
                    <xdr:row>78</xdr:row>
                    <xdr:rowOff>0</xdr:rowOff>
                  </to>
                </anchor>
              </controlPr>
            </control>
          </mc:Choice>
        </mc:AlternateContent>
        <mc:AlternateContent xmlns:mc="http://schemas.openxmlformats.org/markup-compatibility/2006">
          <mc:Choice Requires="x14">
            <control shapeId="40969" r:id="rId10" name="Check Box 9">
              <controlPr defaultSize="0" autoFill="0" autoLine="0" autoPict="0" altText="">
                <anchor moveWithCells="1">
                  <from>
                    <xdr:col>1</xdr:col>
                    <xdr:colOff>0</xdr:colOff>
                    <xdr:row>79</xdr:row>
                    <xdr:rowOff>0</xdr:rowOff>
                  </from>
                  <to>
                    <xdr:col>2</xdr:col>
                    <xdr:colOff>0</xdr:colOff>
                    <xdr:row>80</xdr:row>
                    <xdr:rowOff>0</xdr:rowOff>
                  </to>
                </anchor>
              </controlPr>
            </control>
          </mc:Choice>
        </mc:AlternateContent>
        <mc:AlternateContent xmlns:mc="http://schemas.openxmlformats.org/markup-compatibility/2006">
          <mc:Choice Requires="x14">
            <control shapeId="40970" r:id="rId11" name="Check Box 10">
              <controlPr defaultSize="0" autoFill="0" autoLine="0" autoPict="0" altText="">
                <anchor moveWithCells="1">
                  <from>
                    <xdr:col>1</xdr:col>
                    <xdr:colOff>0</xdr:colOff>
                    <xdr:row>81</xdr:row>
                    <xdr:rowOff>0</xdr:rowOff>
                  </from>
                  <to>
                    <xdr:col>2</xdr:col>
                    <xdr:colOff>0</xdr:colOff>
                    <xdr:row>82</xdr:row>
                    <xdr:rowOff>0</xdr:rowOff>
                  </to>
                </anchor>
              </controlPr>
            </control>
          </mc:Choice>
        </mc:AlternateContent>
        <mc:AlternateContent xmlns:mc="http://schemas.openxmlformats.org/markup-compatibility/2006">
          <mc:Choice Requires="x14">
            <control shapeId="40974" r:id="rId12" name="Check Box 14">
              <controlPr defaultSize="0" autoFill="0" autoLine="0" autoPict="0" altText="3 Fahrstreifen">
                <anchor moveWithCells="1">
                  <from>
                    <xdr:col>1</xdr:col>
                    <xdr:colOff>0</xdr:colOff>
                    <xdr:row>105</xdr:row>
                    <xdr:rowOff>0</xdr:rowOff>
                  </from>
                  <to>
                    <xdr:col>2</xdr:col>
                    <xdr:colOff>0</xdr:colOff>
                    <xdr:row>106</xdr:row>
                    <xdr:rowOff>0</xdr:rowOff>
                  </to>
                </anchor>
              </controlPr>
            </control>
          </mc:Choice>
        </mc:AlternateContent>
        <mc:AlternateContent xmlns:mc="http://schemas.openxmlformats.org/markup-compatibility/2006">
          <mc:Choice Requires="x14">
            <control shapeId="40976" r:id="rId13" name="Check Box 16">
              <controlPr defaultSize="0" autoFill="0" autoLine="0" autoPict="0" altText="">
                <anchor moveWithCells="1">
                  <from>
                    <xdr:col>1</xdr:col>
                    <xdr:colOff>0</xdr:colOff>
                    <xdr:row>88</xdr:row>
                    <xdr:rowOff>0</xdr:rowOff>
                  </from>
                  <to>
                    <xdr:col>2</xdr:col>
                    <xdr:colOff>0</xdr:colOff>
                    <xdr:row>89</xdr:row>
                    <xdr:rowOff>0</xdr:rowOff>
                  </to>
                </anchor>
              </controlPr>
            </control>
          </mc:Choice>
        </mc:AlternateContent>
        <mc:AlternateContent xmlns:mc="http://schemas.openxmlformats.org/markup-compatibility/2006">
          <mc:Choice Requires="x14">
            <control shapeId="40977" r:id="rId14" name="Check Box 17">
              <controlPr defaultSize="0" autoFill="0" autoLine="0" autoPict="0" altText="">
                <anchor moveWithCells="1">
                  <from>
                    <xdr:col>1</xdr:col>
                    <xdr:colOff>0</xdr:colOff>
                    <xdr:row>86</xdr:row>
                    <xdr:rowOff>0</xdr:rowOff>
                  </from>
                  <to>
                    <xdr:col>2</xdr:col>
                    <xdr:colOff>0</xdr:colOff>
                    <xdr:row>87</xdr:row>
                    <xdr:rowOff>0</xdr:rowOff>
                  </to>
                </anchor>
              </controlPr>
            </control>
          </mc:Choice>
        </mc:AlternateContent>
        <mc:AlternateContent xmlns:mc="http://schemas.openxmlformats.org/markup-compatibility/2006">
          <mc:Choice Requires="x14">
            <control shapeId="40978" r:id="rId15" name="Check Box 18">
              <controlPr defaultSize="0" autoFill="0" autoLine="0" autoPict="0" altText="">
                <anchor moveWithCells="1">
                  <from>
                    <xdr:col>1</xdr:col>
                    <xdr:colOff>0</xdr:colOff>
                    <xdr:row>90</xdr:row>
                    <xdr:rowOff>0</xdr:rowOff>
                  </from>
                  <to>
                    <xdr:col>2</xdr:col>
                    <xdr:colOff>0</xdr:colOff>
                    <xdr:row>91</xdr:row>
                    <xdr:rowOff>0</xdr:rowOff>
                  </to>
                </anchor>
              </controlPr>
            </control>
          </mc:Choice>
        </mc:AlternateContent>
        <mc:AlternateContent xmlns:mc="http://schemas.openxmlformats.org/markup-compatibility/2006">
          <mc:Choice Requires="x14">
            <control shapeId="40979" r:id="rId16" name="Check Box 19">
              <controlPr defaultSize="0" autoFill="0" autoLine="0" autoPict="0" altText="">
                <anchor moveWithCells="1">
                  <from>
                    <xdr:col>1</xdr:col>
                    <xdr:colOff>0</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40985" r:id="rId17" name="Check Box 25">
              <controlPr defaultSize="0" autoFill="0" autoLine="0" autoPict="0" altText="">
                <anchor moveWithCells="1">
                  <from>
                    <xdr:col>1</xdr:col>
                    <xdr:colOff>0</xdr:colOff>
                    <xdr:row>71</xdr:row>
                    <xdr:rowOff>0</xdr:rowOff>
                  </from>
                  <to>
                    <xdr:col>2</xdr:col>
                    <xdr:colOff>0</xdr:colOff>
                    <xdr:row>72</xdr:row>
                    <xdr:rowOff>0</xdr:rowOff>
                  </to>
                </anchor>
              </controlPr>
            </control>
          </mc:Choice>
        </mc:AlternateContent>
        <mc:AlternateContent xmlns:mc="http://schemas.openxmlformats.org/markup-compatibility/2006">
          <mc:Choice Requires="x14">
            <control shapeId="40986" r:id="rId18" name="Check Box 26">
              <controlPr defaultSize="0" autoFill="0" autoLine="0" autoPict="0" altText="">
                <anchor moveWithCells="1">
                  <from>
                    <xdr:col>1</xdr:col>
                    <xdr:colOff>0</xdr:colOff>
                    <xdr:row>58</xdr:row>
                    <xdr:rowOff>0</xdr:rowOff>
                  </from>
                  <to>
                    <xdr:col>2</xdr:col>
                    <xdr:colOff>0</xdr:colOff>
                    <xdr:row>58</xdr:row>
                    <xdr:rowOff>228600</xdr:rowOff>
                  </to>
                </anchor>
              </controlPr>
            </control>
          </mc:Choice>
        </mc:AlternateContent>
        <mc:AlternateContent xmlns:mc="http://schemas.openxmlformats.org/markup-compatibility/2006">
          <mc:Choice Requires="x14">
            <control shapeId="40990" r:id="rId19" name="Check Box 30">
              <controlPr defaultSize="0" autoFill="0" autoLine="0" autoPict="0" altText="">
                <anchor moveWithCells="1">
                  <from>
                    <xdr:col>1</xdr:col>
                    <xdr:colOff>0</xdr:colOff>
                    <xdr:row>52</xdr:row>
                    <xdr:rowOff>0</xdr:rowOff>
                  </from>
                  <to>
                    <xdr:col>2</xdr:col>
                    <xdr:colOff>0</xdr:colOff>
                    <xdr:row>53</xdr:row>
                    <xdr:rowOff>22860</xdr:rowOff>
                  </to>
                </anchor>
              </controlPr>
            </control>
          </mc:Choice>
        </mc:AlternateContent>
        <mc:AlternateContent xmlns:mc="http://schemas.openxmlformats.org/markup-compatibility/2006">
          <mc:Choice Requires="x14">
            <control shapeId="40991" r:id="rId20" name="Check Box 31">
              <controlPr defaultSize="0" autoFill="0" autoLine="0" autoPict="0" altText="">
                <anchor moveWithCells="1">
                  <from>
                    <xdr:col>1</xdr:col>
                    <xdr:colOff>0</xdr:colOff>
                    <xdr:row>60</xdr:row>
                    <xdr:rowOff>0</xdr:rowOff>
                  </from>
                  <to>
                    <xdr:col>2</xdr:col>
                    <xdr:colOff>0</xdr:colOff>
                    <xdr:row>61</xdr:row>
                    <xdr:rowOff>0</xdr:rowOff>
                  </to>
                </anchor>
              </controlPr>
            </control>
          </mc:Choice>
        </mc:AlternateContent>
        <mc:AlternateContent xmlns:mc="http://schemas.openxmlformats.org/markup-compatibility/2006">
          <mc:Choice Requires="x14">
            <control shapeId="40992" r:id="rId21" name="Check Box 32">
              <controlPr defaultSize="0" autoFill="0" autoLine="0" autoPict="0" altText="">
                <anchor moveWithCells="1">
                  <from>
                    <xdr:col>1</xdr:col>
                    <xdr:colOff>0</xdr:colOff>
                    <xdr:row>64</xdr:row>
                    <xdr:rowOff>0</xdr:rowOff>
                  </from>
                  <to>
                    <xdr:col>2</xdr:col>
                    <xdr:colOff>0</xdr:colOff>
                    <xdr:row>65</xdr:row>
                    <xdr:rowOff>0</xdr:rowOff>
                  </to>
                </anchor>
              </controlPr>
            </control>
          </mc:Choice>
        </mc:AlternateContent>
        <mc:AlternateContent xmlns:mc="http://schemas.openxmlformats.org/markup-compatibility/2006">
          <mc:Choice Requires="x14">
            <control shapeId="40993" r:id="rId22" name="Check Box 33">
              <controlPr defaultSize="0" autoFill="0" autoLine="0" autoPict="0" altText="">
                <anchor moveWithCells="1">
                  <from>
                    <xdr:col>1</xdr:col>
                    <xdr:colOff>0</xdr:colOff>
                    <xdr:row>64</xdr:row>
                    <xdr:rowOff>0</xdr:rowOff>
                  </from>
                  <to>
                    <xdr:col>2</xdr:col>
                    <xdr:colOff>0</xdr:colOff>
                    <xdr:row>65</xdr:row>
                    <xdr:rowOff>0</xdr:rowOff>
                  </to>
                </anchor>
              </controlPr>
            </control>
          </mc:Choice>
        </mc:AlternateContent>
        <mc:AlternateContent xmlns:mc="http://schemas.openxmlformats.org/markup-compatibility/2006">
          <mc:Choice Requires="x14">
            <control shapeId="41002" r:id="rId23" name="Check Box 42">
              <controlPr defaultSize="0" autoFill="0" autoLine="0" autoPict="0" altText="">
                <anchor moveWithCells="1">
                  <from>
                    <xdr:col>1</xdr:col>
                    <xdr:colOff>0</xdr:colOff>
                    <xdr:row>94</xdr:row>
                    <xdr:rowOff>0</xdr:rowOff>
                  </from>
                  <to>
                    <xdr:col>2</xdr:col>
                    <xdr:colOff>0</xdr:colOff>
                    <xdr:row>95</xdr:row>
                    <xdr:rowOff>7620</xdr:rowOff>
                  </to>
                </anchor>
              </controlPr>
            </control>
          </mc:Choice>
        </mc:AlternateContent>
        <mc:AlternateContent xmlns:mc="http://schemas.openxmlformats.org/markup-compatibility/2006">
          <mc:Choice Requires="x14">
            <control shapeId="41003" r:id="rId24" name="Check Box 43">
              <controlPr defaultSize="0" autoFill="0" autoLine="0" autoPict="0" altText="">
                <anchor moveWithCells="1">
                  <from>
                    <xdr:col>1</xdr:col>
                    <xdr:colOff>0</xdr:colOff>
                    <xdr:row>96</xdr:row>
                    <xdr:rowOff>0</xdr:rowOff>
                  </from>
                  <to>
                    <xdr:col>2</xdr:col>
                    <xdr:colOff>0</xdr:colOff>
                    <xdr:row>97</xdr:row>
                    <xdr:rowOff>0</xdr:rowOff>
                  </to>
                </anchor>
              </controlPr>
            </control>
          </mc:Choice>
        </mc:AlternateContent>
        <mc:AlternateContent xmlns:mc="http://schemas.openxmlformats.org/markup-compatibility/2006">
          <mc:Choice Requires="x14">
            <control shapeId="41004" r:id="rId25" name="Check Box 44">
              <controlPr defaultSize="0" autoFill="0" autoLine="0" autoPict="0" altText="">
                <anchor moveWithCells="1">
                  <from>
                    <xdr:col>1</xdr:col>
                    <xdr:colOff>0</xdr:colOff>
                    <xdr:row>100</xdr:row>
                    <xdr:rowOff>0</xdr:rowOff>
                  </from>
                  <to>
                    <xdr:col>2</xdr:col>
                    <xdr:colOff>0</xdr:colOff>
                    <xdr:row>101</xdr:row>
                    <xdr:rowOff>7620</xdr:rowOff>
                  </to>
                </anchor>
              </controlPr>
            </control>
          </mc:Choice>
        </mc:AlternateContent>
        <mc:AlternateContent xmlns:mc="http://schemas.openxmlformats.org/markup-compatibility/2006">
          <mc:Choice Requires="x14">
            <control shapeId="41005" r:id="rId26" name="Check Box 45">
              <controlPr defaultSize="0" autoFill="0" autoLine="0" autoPict="0" altText="3 Fahrstreifen">
                <anchor moveWithCells="1">
                  <from>
                    <xdr:col>1</xdr:col>
                    <xdr:colOff>0</xdr:colOff>
                    <xdr:row>129</xdr:row>
                    <xdr:rowOff>0</xdr:rowOff>
                  </from>
                  <to>
                    <xdr:col>2</xdr:col>
                    <xdr:colOff>0</xdr:colOff>
                    <xdr:row>130</xdr:row>
                    <xdr:rowOff>0</xdr:rowOff>
                  </to>
                </anchor>
              </controlPr>
            </control>
          </mc:Choice>
        </mc:AlternateContent>
        <mc:AlternateContent xmlns:mc="http://schemas.openxmlformats.org/markup-compatibility/2006">
          <mc:Choice Requires="x14">
            <control shapeId="41006" r:id="rId27" name="Check Box 46">
              <controlPr defaultSize="0" autoFill="0" autoLine="0" autoPict="0" altText="3 Fahrstreifen">
                <anchor moveWithCells="1">
                  <from>
                    <xdr:col>1</xdr:col>
                    <xdr:colOff>0</xdr:colOff>
                    <xdr:row>131</xdr:row>
                    <xdr:rowOff>0</xdr:rowOff>
                  </from>
                  <to>
                    <xdr:col>2</xdr:col>
                    <xdr:colOff>0</xdr:colOff>
                    <xdr:row>132</xdr:row>
                    <xdr:rowOff>0</xdr:rowOff>
                  </to>
                </anchor>
              </controlPr>
            </control>
          </mc:Choice>
        </mc:AlternateContent>
        <mc:AlternateContent xmlns:mc="http://schemas.openxmlformats.org/markup-compatibility/2006">
          <mc:Choice Requires="x14">
            <control shapeId="41007" r:id="rId28" name="Check Box 47">
              <controlPr defaultSize="0" autoFill="0" autoLine="0" autoPict="0" altText="3 Fahrstreifen">
                <anchor moveWithCells="1">
                  <from>
                    <xdr:col>1</xdr:col>
                    <xdr:colOff>0</xdr:colOff>
                    <xdr:row>133</xdr:row>
                    <xdr:rowOff>0</xdr:rowOff>
                  </from>
                  <to>
                    <xdr:col>2</xdr:col>
                    <xdr:colOff>0</xdr:colOff>
                    <xdr:row>134</xdr:row>
                    <xdr:rowOff>0</xdr:rowOff>
                  </to>
                </anchor>
              </controlPr>
            </control>
          </mc:Choice>
        </mc:AlternateContent>
        <mc:AlternateContent xmlns:mc="http://schemas.openxmlformats.org/markup-compatibility/2006">
          <mc:Choice Requires="x14">
            <control shapeId="41008" r:id="rId29" name="Check Box 48">
              <controlPr defaultSize="0" autoFill="0" autoLine="0" autoPict="0" altText="3 Fahrstreifen">
                <anchor moveWithCells="1">
                  <from>
                    <xdr:col>1</xdr:col>
                    <xdr:colOff>0</xdr:colOff>
                    <xdr:row>135</xdr:row>
                    <xdr:rowOff>0</xdr:rowOff>
                  </from>
                  <to>
                    <xdr:col>2</xdr:col>
                    <xdr:colOff>0</xdr:colOff>
                    <xdr:row>135</xdr:row>
                    <xdr:rowOff>213360</xdr:rowOff>
                  </to>
                </anchor>
              </controlPr>
            </control>
          </mc:Choice>
        </mc:AlternateContent>
        <mc:AlternateContent xmlns:mc="http://schemas.openxmlformats.org/markup-compatibility/2006">
          <mc:Choice Requires="x14">
            <control shapeId="41012" r:id="rId30" name="Check Box 52">
              <controlPr defaultSize="0" autoFill="0" autoLine="0" autoPict="0" altText="">
                <anchor moveWithCells="1">
                  <from>
                    <xdr:col>1</xdr:col>
                    <xdr:colOff>0</xdr:colOff>
                    <xdr:row>47</xdr:row>
                    <xdr:rowOff>0</xdr:rowOff>
                  </from>
                  <to>
                    <xdr:col>2</xdr:col>
                    <xdr:colOff>0</xdr:colOff>
                    <xdr:row>48</xdr:row>
                    <xdr:rowOff>0</xdr:rowOff>
                  </to>
                </anchor>
              </controlPr>
            </control>
          </mc:Choice>
        </mc:AlternateContent>
        <mc:AlternateContent xmlns:mc="http://schemas.openxmlformats.org/markup-compatibility/2006">
          <mc:Choice Requires="x14">
            <control shapeId="41013" r:id="rId31" name="Check Box 53">
              <controlPr defaultSize="0" autoFill="0" autoLine="0" autoPict="0" altText="">
                <anchor moveWithCells="1">
                  <from>
                    <xdr:col>1</xdr:col>
                    <xdr:colOff>0</xdr:colOff>
                    <xdr:row>47</xdr:row>
                    <xdr:rowOff>0</xdr:rowOff>
                  </from>
                  <to>
                    <xdr:col>2</xdr:col>
                    <xdr:colOff>0</xdr:colOff>
                    <xdr:row>48</xdr:row>
                    <xdr:rowOff>0</xdr:rowOff>
                  </to>
                </anchor>
              </controlPr>
            </control>
          </mc:Choice>
        </mc:AlternateContent>
        <mc:AlternateContent xmlns:mc="http://schemas.openxmlformats.org/markup-compatibility/2006">
          <mc:Choice Requires="x14">
            <control shapeId="41014" r:id="rId32" name="Check Box 54">
              <controlPr defaultSize="0" autoFill="0" autoLine="0" autoPict="0" altText="">
                <anchor moveWithCells="1">
                  <from>
                    <xdr:col>1</xdr:col>
                    <xdr:colOff>0</xdr:colOff>
                    <xdr:row>64</xdr:row>
                    <xdr:rowOff>0</xdr:rowOff>
                  </from>
                  <to>
                    <xdr:col>2</xdr:col>
                    <xdr:colOff>0</xdr:colOff>
                    <xdr:row>65</xdr:row>
                    <xdr:rowOff>0</xdr:rowOff>
                  </to>
                </anchor>
              </controlPr>
            </control>
          </mc:Choice>
        </mc:AlternateContent>
        <mc:AlternateContent xmlns:mc="http://schemas.openxmlformats.org/markup-compatibility/2006">
          <mc:Choice Requires="x14">
            <control shapeId="41015" r:id="rId33" name="Check Box 55">
              <controlPr defaultSize="0" autoFill="0" autoLine="0" autoPict="0" altText="">
                <anchor moveWithCells="1">
                  <from>
                    <xdr:col>1</xdr:col>
                    <xdr:colOff>0</xdr:colOff>
                    <xdr:row>64</xdr:row>
                    <xdr:rowOff>0</xdr:rowOff>
                  </from>
                  <to>
                    <xdr:col>2</xdr:col>
                    <xdr:colOff>0</xdr:colOff>
                    <xdr:row>65</xdr:row>
                    <xdr:rowOff>0</xdr:rowOff>
                  </to>
                </anchor>
              </controlPr>
            </control>
          </mc:Choice>
        </mc:AlternateContent>
        <mc:AlternateContent xmlns:mc="http://schemas.openxmlformats.org/markup-compatibility/2006">
          <mc:Choice Requires="x14">
            <control shapeId="41016" r:id="rId34" name="Check Box 56">
              <controlPr defaultSize="0" autoFill="0" autoLine="0" autoPict="0" altText="">
                <anchor moveWithCells="1">
                  <from>
                    <xdr:col>1</xdr:col>
                    <xdr:colOff>0</xdr:colOff>
                    <xdr:row>64</xdr:row>
                    <xdr:rowOff>0</xdr:rowOff>
                  </from>
                  <to>
                    <xdr:col>2</xdr:col>
                    <xdr:colOff>0</xdr:colOff>
                    <xdr:row>65</xdr:row>
                    <xdr:rowOff>0</xdr:rowOff>
                  </to>
                </anchor>
              </controlPr>
            </control>
          </mc:Choice>
        </mc:AlternateContent>
        <mc:AlternateContent xmlns:mc="http://schemas.openxmlformats.org/markup-compatibility/2006">
          <mc:Choice Requires="x14">
            <control shapeId="41021" r:id="rId35" name="Check Box 61">
              <controlPr defaultSize="0" autoFill="0" autoLine="0" autoPict="0" altText="3 Fahrstreifen">
                <anchor moveWithCells="1">
                  <from>
                    <xdr:col>1</xdr:col>
                    <xdr:colOff>0</xdr:colOff>
                    <xdr:row>105</xdr:row>
                    <xdr:rowOff>0</xdr:rowOff>
                  </from>
                  <to>
                    <xdr:col>2</xdr:col>
                    <xdr:colOff>0</xdr:colOff>
                    <xdr:row>106</xdr:row>
                    <xdr:rowOff>0</xdr:rowOff>
                  </to>
                </anchor>
              </controlPr>
            </control>
          </mc:Choice>
        </mc:AlternateContent>
        <mc:AlternateContent xmlns:mc="http://schemas.openxmlformats.org/markup-compatibility/2006">
          <mc:Choice Requires="x14">
            <control shapeId="41023" r:id="rId36" name="Check Box 63">
              <controlPr defaultSize="0" autoFill="0" autoLine="0" autoPict="0" altText="">
                <anchor moveWithCells="1">
                  <from>
                    <xdr:col>1</xdr:col>
                    <xdr:colOff>0</xdr:colOff>
                    <xdr:row>98</xdr:row>
                    <xdr:rowOff>0</xdr:rowOff>
                  </from>
                  <to>
                    <xdr:col>2</xdr:col>
                    <xdr:colOff>0</xdr:colOff>
                    <xdr:row>99</xdr:row>
                    <xdr:rowOff>7620</xdr:rowOff>
                  </to>
                </anchor>
              </controlPr>
            </control>
          </mc:Choice>
        </mc:AlternateContent>
        <mc:AlternateContent xmlns:mc="http://schemas.openxmlformats.org/markup-compatibility/2006">
          <mc:Choice Requires="x14">
            <control shapeId="41034" r:id="rId37" name="Check Box 74">
              <controlPr defaultSize="0" autoFill="0" autoLine="0" autoPict="0" altText="">
                <anchor moveWithCells="1">
                  <from>
                    <xdr:col>1</xdr:col>
                    <xdr:colOff>0</xdr:colOff>
                    <xdr:row>45</xdr:row>
                    <xdr:rowOff>0</xdr:rowOff>
                  </from>
                  <to>
                    <xdr:col>2</xdr:col>
                    <xdr:colOff>0</xdr:colOff>
                    <xdr:row>46</xdr:row>
                    <xdr:rowOff>0</xdr:rowOff>
                  </to>
                </anchor>
              </controlPr>
            </control>
          </mc:Choice>
        </mc:AlternateContent>
        <mc:AlternateContent xmlns:mc="http://schemas.openxmlformats.org/markup-compatibility/2006">
          <mc:Choice Requires="x14">
            <control shapeId="41035" r:id="rId38" name="Kontrollkästchen 5">
              <controlPr defaultSize="0" autoFill="0" autoLine="0" autoPict="0" altText="">
                <anchor moveWithCells="1">
                  <from>
                    <xdr:col>1</xdr:col>
                    <xdr:colOff>0</xdr:colOff>
                    <xdr:row>27</xdr:row>
                    <xdr:rowOff>0</xdr:rowOff>
                  </from>
                  <to>
                    <xdr:col>2</xdr:col>
                    <xdr:colOff>0</xdr:colOff>
                    <xdr:row>28</xdr:row>
                    <xdr:rowOff>0</xdr:rowOff>
                  </to>
                </anchor>
              </controlPr>
            </control>
          </mc:Choice>
        </mc:AlternateContent>
        <mc:AlternateContent xmlns:mc="http://schemas.openxmlformats.org/markup-compatibility/2006">
          <mc:Choice Requires="x14">
            <control shapeId="41045" r:id="rId39" name="Kontrollkästchen 5">
              <controlPr defaultSize="0" autoFill="0" autoLine="0" autoPict="0" altText="">
                <anchor moveWithCells="1">
                  <from>
                    <xdr:col>1</xdr:col>
                    <xdr:colOff>0</xdr:colOff>
                    <xdr:row>31</xdr:row>
                    <xdr:rowOff>0</xdr:rowOff>
                  </from>
                  <to>
                    <xdr:col>2</xdr:col>
                    <xdr:colOff>0</xdr:colOff>
                    <xdr:row>32</xdr:row>
                    <xdr:rowOff>0</xdr:rowOff>
                  </to>
                </anchor>
              </controlPr>
            </control>
          </mc:Choice>
        </mc:AlternateContent>
        <mc:AlternateContent xmlns:mc="http://schemas.openxmlformats.org/markup-compatibility/2006">
          <mc:Choice Requires="x14">
            <control shapeId="41046" r:id="rId40" name="Check Box 86">
              <controlPr defaultSize="0" autoFill="0" autoLine="0" autoPict="0" altText="">
                <anchor moveWithCells="1">
                  <from>
                    <xdr:col>1</xdr:col>
                    <xdr:colOff>0</xdr:colOff>
                    <xdr:row>29</xdr:row>
                    <xdr:rowOff>0</xdr:rowOff>
                  </from>
                  <to>
                    <xdr:col>2</xdr:col>
                    <xdr:colOff>0</xdr:colOff>
                    <xdr:row>30</xdr:row>
                    <xdr:rowOff>0</xdr:rowOff>
                  </to>
                </anchor>
              </controlPr>
            </control>
          </mc:Choice>
        </mc:AlternateContent>
        <mc:AlternateContent xmlns:mc="http://schemas.openxmlformats.org/markup-compatibility/2006">
          <mc:Choice Requires="x14">
            <control shapeId="41050" r:id="rId41" name="Check Box 90">
              <controlPr defaultSize="0" autoFill="0" autoLine="0" autoPict="0" altText="">
                <anchor moveWithCells="1">
                  <from>
                    <xdr:col>1</xdr:col>
                    <xdr:colOff>0</xdr:colOff>
                    <xdr:row>33</xdr:row>
                    <xdr:rowOff>0</xdr:rowOff>
                  </from>
                  <to>
                    <xdr:col>2</xdr:col>
                    <xdr:colOff>0</xdr:colOff>
                    <xdr:row>34</xdr:row>
                    <xdr:rowOff>0</xdr:rowOff>
                  </to>
                </anchor>
              </controlPr>
            </control>
          </mc:Choice>
        </mc:AlternateContent>
        <mc:AlternateContent xmlns:mc="http://schemas.openxmlformats.org/markup-compatibility/2006">
          <mc:Choice Requires="x14">
            <control shapeId="41051" r:id="rId42" name="Check Box 91">
              <controlPr defaultSize="0" autoFill="0" autoLine="0" autoPict="0" altText="">
                <anchor moveWithCells="1">
                  <from>
                    <xdr:col>1</xdr:col>
                    <xdr:colOff>0</xdr:colOff>
                    <xdr:row>35</xdr:row>
                    <xdr:rowOff>0</xdr:rowOff>
                  </from>
                  <to>
                    <xdr:col>2</xdr:col>
                    <xdr:colOff>0</xdr:colOff>
                    <xdr:row>36</xdr:row>
                    <xdr:rowOff>0</xdr:rowOff>
                  </to>
                </anchor>
              </controlPr>
            </control>
          </mc:Choice>
        </mc:AlternateContent>
        <mc:AlternateContent xmlns:mc="http://schemas.openxmlformats.org/markup-compatibility/2006">
          <mc:Choice Requires="x14">
            <control shapeId="41052" r:id="rId43" name="Check Box 92">
              <controlPr defaultSize="0" autoFill="0" autoLine="0" autoPict="0" altText="">
                <anchor moveWithCells="1">
                  <from>
                    <xdr:col>1</xdr:col>
                    <xdr:colOff>0</xdr:colOff>
                    <xdr:row>37</xdr:row>
                    <xdr:rowOff>0</xdr:rowOff>
                  </from>
                  <to>
                    <xdr:col>2</xdr:col>
                    <xdr:colOff>0</xdr:colOff>
                    <xdr:row>38</xdr:row>
                    <xdr:rowOff>0</xdr:rowOff>
                  </to>
                </anchor>
              </controlPr>
            </control>
          </mc:Choice>
        </mc:AlternateContent>
        <mc:AlternateContent xmlns:mc="http://schemas.openxmlformats.org/markup-compatibility/2006">
          <mc:Choice Requires="x14">
            <control shapeId="41053" r:id="rId44" name="Check Box 93">
              <controlPr defaultSize="0" autoFill="0" autoLine="0" autoPict="0" altText="">
                <anchor moveWithCells="1">
                  <from>
                    <xdr:col>1</xdr:col>
                    <xdr:colOff>0</xdr:colOff>
                    <xdr:row>43</xdr:row>
                    <xdr:rowOff>0</xdr:rowOff>
                  </from>
                  <to>
                    <xdr:col>2</xdr:col>
                    <xdr:colOff>0</xdr:colOff>
                    <xdr:row>44</xdr:row>
                    <xdr:rowOff>0</xdr:rowOff>
                  </to>
                </anchor>
              </controlPr>
            </control>
          </mc:Choice>
        </mc:AlternateContent>
        <mc:AlternateContent xmlns:mc="http://schemas.openxmlformats.org/markup-compatibility/2006">
          <mc:Choice Requires="x14">
            <control shapeId="41054" r:id="rId45" name="Check Box 94">
              <controlPr defaultSize="0" autoFill="0" autoLine="0" autoPict="0" altText="3 Fahrstreifen">
                <anchor moveWithCells="1">
                  <from>
                    <xdr:col>1</xdr:col>
                    <xdr:colOff>0</xdr:colOff>
                    <xdr:row>107</xdr:row>
                    <xdr:rowOff>0</xdr:rowOff>
                  </from>
                  <to>
                    <xdr:col>2</xdr:col>
                    <xdr:colOff>0</xdr:colOff>
                    <xdr:row>108</xdr:row>
                    <xdr:rowOff>0</xdr:rowOff>
                  </to>
                </anchor>
              </controlPr>
            </control>
          </mc:Choice>
        </mc:AlternateContent>
        <mc:AlternateContent xmlns:mc="http://schemas.openxmlformats.org/markup-compatibility/2006">
          <mc:Choice Requires="x14">
            <control shapeId="41055" r:id="rId46" name="Check Box 95">
              <controlPr defaultSize="0" autoFill="0" autoLine="0" autoPict="0" altText="3 Fahrstreifen">
                <anchor moveWithCells="1">
                  <from>
                    <xdr:col>1</xdr:col>
                    <xdr:colOff>0</xdr:colOff>
                    <xdr:row>109</xdr:row>
                    <xdr:rowOff>0</xdr:rowOff>
                  </from>
                  <to>
                    <xdr:col>2</xdr:col>
                    <xdr:colOff>0</xdr:colOff>
                    <xdr:row>110</xdr:row>
                    <xdr:rowOff>0</xdr:rowOff>
                  </to>
                </anchor>
              </controlPr>
            </control>
          </mc:Choice>
        </mc:AlternateContent>
        <mc:AlternateContent xmlns:mc="http://schemas.openxmlformats.org/markup-compatibility/2006">
          <mc:Choice Requires="x14">
            <control shapeId="41056" r:id="rId47" name="Check Box 96">
              <controlPr defaultSize="0" autoFill="0" autoLine="0" autoPict="0" altText="3 Fahrstreifen">
                <anchor moveWithCells="1">
                  <from>
                    <xdr:col>1</xdr:col>
                    <xdr:colOff>0</xdr:colOff>
                    <xdr:row>115</xdr:row>
                    <xdr:rowOff>0</xdr:rowOff>
                  </from>
                  <to>
                    <xdr:col>2</xdr:col>
                    <xdr:colOff>0</xdr:colOff>
                    <xdr:row>116</xdr:row>
                    <xdr:rowOff>0</xdr:rowOff>
                  </to>
                </anchor>
              </controlPr>
            </control>
          </mc:Choice>
        </mc:AlternateContent>
        <mc:AlternateContent xmlns:mc="http://schemas.openxmlformats.org/markup-compatibility/2006">
          <mc:Choice Requires="x14">
            <control shapeId="41058" r:id="rId48" name="Check Box 98">
              <controlPr defaultSize="0" autoFill="0" autoLine="0" autoPict="0" altText="">
                <anchor moveWithCells="1">
                  <from>
                    <xdr:col>4</xdr:col>
                    <xdr:colOff>0</xdr:colOff>
                    <xdr:row>111</xdr:row>
                    <xdr:rowOff>0</xdr:rowOff>
                  </from>
                  <to>
                    <xdr:col>5</xdr:col>
                    <xdr:colOff>45720</xdr:colOff>
                    <xdr:row>112</xdr:row>
                    <xdr:rowOff>0</xdr:rowOff>
                  </to>
                </anchor>
              </controlPr>
            </control>
          </mc:Choice>
        </mc:AlternateContent>
        <mc:AlternateContent xmlns:mc="http://schemas.openxmlformats.org/markup-compatibility/2006">
          <mc:Choice Requires="x14">
            <control shapeId="41059" r:id="rId49" name="Check Box 99">
              <controlPr defaultSize="0" autoFill="0" autoLine="0" autoPict="0" altText="">
                <anchor moveWithCells="1">
                  <from>
                    <xdr:col>4</xdr:col>
                    <xdr:colOff>0</xdr:colOff>
                    <xdr:row>113</xdr:row>
                    <xdr:rowOff>0</xdr:rowOff>
                  </from>
                  <to>
                    <xdr:col>5</xdr:col>
                    <xdr:colOff>45720</xdr:colOff>
                    <xdr:row>114</xdr:row>
                    <xdr:rowOff>0</xdr:rowOff>
                  </to>
                </anchor>
              </controlPr>
            </control>
          </mc:Choice>
        </mc:AlternateContent>
        <mc:AlternateContent xmlns:mc="http://schemas.openxmlformats.org/markup-compatibility/2006">
          <mc:Choice Requires="x14">
            <control shapeId="41060" r:id="rId50" name="Kontrollkästchen 5">
              <controlPr defaultSize="0" autoFill="0" autoLine="0" autoPict="0" altText="">
                <anchor moveWithCells="1">
                  <from>
                    <xdr:col>1</xdr:col>
                    <xdr:colOff>0</xdr:colOff>
                    <xdr:row>17</xdr:row>
                    <xdr:rowOff>0</xdr:rowOff>
                  </from>
                  <to>
                    <xdr:col>2</xdr:col>
                    <xdr:colOff>0</xdr:colOff>
                    <xdr:row>18</xdr:row>
                    <xdr:rowOff>0</xdr:rowOff>
                  </to>
                </anchor>
              </controlPr>
            </control>
          </mc:Choice>
        </mc:AlternateContent>
        <mc:AlternateContent xmlns:mc="http://schemas.openxmlformats.org/markup-compatibility/2006">
          <mc:Choice Requires="x14">
            <control shapeId="41061" r:id="rId51" name="Check Box 101">
              <controlPr defaultSize="0" autoFill="0" autoLine="0" autoPict="0" altText="">
                <anchor moveWithCells="1">
                  <from>
                    <xdr:col>1</xdr:col>
                    <xdr:colOff>0</xdr:colOff>
                    <xdr:row>15</xdr:row>
                    <xdr:rowOff>0</xdr:rowOff>
                  </from>
                  <to>
                    <xdr:col>2</xdr:col>
                    <xdr:colOff>0</xdr:colOff>
                    <xdr:row>16</xdr:row>
                    <xdr:rowOff>0</xdr:rowOff>
                  </to>
                </anchor>
              </controlPr>
            </control>
          </mc:Choice>
        </mc:AlternateContent>
        <mc:AlternateContent xmlns:mc="http://schemas.openxmlformats.org/markup-compatibility/2006">
          <mc:Choice Requires="x14">
            <control shapeId="41062" r:id="rId52" name="Check Box 102">
              <controlPr defaultSize="0" autoFill="0" autoLine="0" autoPict="0" altText="">
                <anchor moveWithCells="1">
                  <from>
                    <xdr:col>1</xdr:col>
                    <xdr:colOff>0</xdr:colOff>
                    <xdr:row>19</xdr:row>
                    <xdr:rowOff>0</xdr:rowOff>
                  </from>
                  <to>
                    <xdr:col>2</xdr:col>
                    <xdr:colOff>0</xdr:colOff>
                    <xdr:row>20</xdr:row>
                    <xdr:rowOff>0</xdr:rowOff>
                  </to>
                </anchor>
              </controlPr>
            </control>
          </mc:Choice>
        </mc:AlternateContent>
        <mc:AlternateContent xmlns:mc="http://schemas.openxmlformats.org/markup-compatibility/2006">
          <mc:Choice Requires="x14">
            <control shapeId="41063" r:id="rId53" name="Check Box 103">
              <controlPr defaultSize="0" autoFill="0" autoLine="0" autoPict="0" altText="">
                <anchor moveWithCells="1">
                  <from>
                    <xdr:col>1</xdr:col>
                    <xdr:colOff>0</xdr:colOff>
                    <xdr:row>21</xdr:row>
                    <xdr:rowOff>0</xdr:rowOff>
                  </from>
                  <to>
                    <xdr:col>2</xdr:col>
                    <xdr:colOff>0</xdr:colOff>
                    <xdr:row>22</xdr:row>
                    <xdr:rowOff>0</xdr:rowOff>
                  </to>
                </anchor>
              </controlPr>
            </control>
          </mc:Choice>
        </mc:AlternateContent>
        <mc:AlternateContent xmlns:mc="http://schemas.openxmlformats.org/markup-compatibility/2006">
          <mc:Choice Requires="x14">
            <control shapeId="41064" r:id="rId54" name="Check Box 104">
              <controlPr defaultSize="0" autoFill="0" autoLine="0" autoPict="0" altText="">
                <anchor moveWithCells="1">
                  <from>
                    <xdr:col>1</xdr:col>
                    <xdr:colOff>0</xdr:colOff>
                    <xdr:row>23</xdr:row>
                    <xdr:rowOff>0</xdr:rowOff>
                  </from>
                  <to>
                    <xdr:col>2</xdr:col>
                    <xdr:colOff>0</xdr:colOff>
                    <xdr:row>24</xdr:row>
                    <xdr:rowOff>0</xdr:rowOff>
                  </to>
                </anchor>
              </controlPr>
            </control>
          </mc:Choice>
        </mc:AlternateContent>
        <mc:AlternateContent xmlns:mc="http://schemas.openxmlformats.org/markup-compatibility/2006">
          <mc:Choice Requires="x14">
            <control shapeId="41065" r:id="rId55" name="Check Box 105">
              <controlPr defaultSize="0" autoFill="0" autoLine="0" autoPict="0" altText="">
                <anchor moveWithCells="1">
                  <from>
                    <xdr:col>1</xdr:col>
                    <xdr:colOff>0</xdr:colOff>
                    <xdr:row>25</xdr:row>
                    <xdr:rowOff>0</xdr:rowOff>
                  </from>
                  <to>
                    <xdr:col>2</xdr:col>
                    <xdr:colOff>0</xdr:colOff>
                    <xdr:row>26</xdr:row>
                    <xdr:rowOff>0</xdr:rowOff>
                  </to>
                </anchor>
              </controlPr>
            </control>
          </mc:Choice>
        </mc:AlternateContent>
        <mc:AlternateContent xmlns:mc="http://schemas.openxmlformats.org/markup-compatibility/2006">
          <mc:Choice Requires="x14">
            <control shapeId="41066" r:id="rId56" name="Check Box 106">
              <controlPr defaultSize="0" autoFill="0" autoLine="0" autoPict="0" altText="">
                <anchor moveWithCells="1">
                  <from>
                    <xdr:col>4</xdr:col>
                    <xdr:colOff>0</xdr:colOff>
                    <xdr:row>40</xdr:row>
                    <xdr:rowOff>0</xdr:rowOff>
                  </from>
                  <to>
                    <xdr:col>5</xdr:col>
                    <xdr:colOff>45720</xdr:colOff>
                    <xdr:row>41</xdr:row>
                    <xdr:rowOff>0</xdr:rowOff>
                  </to>
                </anchor>
              </controlPr>
            </control>
          </mc:Choice>
        </mc:AlternateContent>
        <mc:AlternateContent xmlns:mc="http://schemas.openxmlformats.org/markup-compatibility/2006">
          <mc:Choice Requires="x14">
            <control shapeId="41067" r:id="rId57" name="Check Box 107">
              <controlPr defaultSize="0" autoFill="0" autoLine="0" autoPict="0" altText="">
                <anchor moveWithCells="1">
                  <from>
                    <xdr:col>4</xdr:col>
                    <xdr:colOff>0</xdr:colOff>
                    <xdr:row>41</xdr:row>
                    <xdr:rowOff>0</xdr:rowOff>
                  </from>
                  <to>
                    <xdr:col>5</xdr:col>
                    <xdr:colOff>45720</xdr:colOff>
                    <xdr:row>42</xdr:row>
                    <xdr:rowOff>0</xdr:rowOff>
                  </to>
                </anchor>
              </controlPr>
            </control>
          </mc:Choice>
        </mc:AlternateContent>
        <mc:AlternateContent xmlns:mc="http://schemas.openxmlformats.org/markup-compatibility/2006">
          <mc:Choice Requires="x14">
            <control shapeId="41070" r:id="rId58" name="Check Box 110">
              <controlPr defaultSize="0" autoFill="0" autoLine="0" autoPict="0" altText="">
                <anchor moveWithCells="1">
                  <from>
                    <xdr:col>4</xdr:col>
                    <xdr:colOff>0</xdr:colOff>
                    <xdr:row>38</xdr:row>
                    <xdr:rowOff>0</xdr:rowOff>
                  </from>
                  <to>
                    <xdr:col>5</xdr:col>
                    <xdr:colOff>45720</xdr:colOff>
                    <xdr:row>39</xdr:row>
                    <xdr:rowOff>0</xdr:rowOff>
                  </to>
                </anchor>
              </controlPr>
            </control>
          </mc:Choice>
        </mc:AlternateContent>
        <mc:AlternateContent xmlns:mc="http://schemas.openxmlformats.org/markup-compatibility/2006">
          <mc:Choice Requires="x14">
            <control shapeId="41071" r:id="rId59" name="Check Box 111">
              <controlPr defaultSize="0" autoFill="0" autoLine="0" autoPict="0" altText="">
                <anchor moveWithCells="1">
                  <from>
                    <xdr:col>4</xdr:col>
                    <xdr:colOff>0</xdr:colOff>
                    <xdr:row>39</xdr:row>
                    <xdr:rowOff>0</xdr:rowOff>
                  </from>
                  <to>
                    <xdr:col>5</xdr:col>
                    <xdr:colOff>45720</xdr:colOff>
                    <xdr:row>40</xdr:row>
                    <xdr:rowOff>0</xdr:rowOff>
                  </to>
                </anchor>
              </controlPr>
            </control>
          </mc:Choice>
        </mc:AlternateContent>
        <mc:AlternateContent xmlns:mc="http://schemas.openxmlformats.org/markup-compatibility/2006">
          <mc:Choice Requires="x14">
            <control shapeId="41074" r:id="rId60" name="Check Box 114">
              <controlPr defaultSize="0" autoFill="0" autoLine="0" autoPict="0" altText="">
                <anchor moveWithCells="1">
                  <from>
                    <xdr:col>4</xdr:col>
                    <xdr:colOff>0</xdr:colOff>
                    <xdr:row>55</xdr:row>
                    <xdr:rowOff>0</xdr:rowOff>
                  </from>
                  <to>
                    <xdr:col>5</xdr:col>
                    <xdr:colOff>45720</xdr:colOff>
                    <xdr:row>56</xdr:row>
                    <xdr:rowOff>0</xdr:rowOff>
                  </to>
                </anchor>
              </controlPr>
            </control>
          </mc:Choice>
        </mc:AlternateContent>
        <mc:AlternateContent xmlns:mc="http://schemas.openxmlformats.org/markup-compatibility/2006">
          <mc:Choice Requires="x14">
            <control shapeId="41075" r:id="rId61" name="Check Box 115">
              <controlPr defaultSize="0" autoFill="0" autoLine="0" autoPict="0" altText="">
                <anchor moveWithCells="1">
                  <from>
                    <xdr:col>4</xdr:col>
                    <xdr:colOff>0</xdr:colOff>
                    <xdr:row>56</xdr:row>
                    <xdr:rowOff>0</xdr:rowOff>
                  </from>
                  <to>
                    <xdr:col>5</xdr:col>
                    <xdr:colOff>45720</xdr:colOff>
                    <xdr:row>57</xdr:row>
                    <xdr:rowOff>0</xdr:rowOff>
                  </to>
                </anchor>
              </controlPr>
            </control>
          </mc:Choice>
        </mc:AlternateContent>
        <mc:AlternateContent xmlns:mc="http://schemas.openxmlformats.org/markup-compatibility/2006">
          <mc:Choice Requires="x14">
            <control shapeId="41076" r:id="rId62" name="Check Box 116">
              <controlPr defaultSize="0" autoFill="0" autoLine="0" autoPict="0" altText="">
                <anchor moveWithCells="1">
                  <from>
                    <xdr:col>4</xdr:col>
                    <xdr:colOff>0</xdr:colOff>
                    <xdr:row>55</xdr:row>
                    <xdr:rowOff>0</xdr:rowOff>
                  </from>
                  <to>
                    <xdr:col>5</xdr:col>
                    <xdr:colOff>45720</xdr:colOff>
                    <xdr:row>56</xdr:row>
                    <xdr:rowOff>0</xdr:rowOff>
                  </to>
                </anchor>
              </controlPr>
            </control>
          </mc:Choice>
        </mc:AlternateContent>
        <mc:AlternateContent xmlns:mc="http://schemas.openxmlformats.org/markup-compatibility/2006">
          <mc:Choice Requires="x14">
            <control shapeId="41077" r:id="rId63" name="Check Box 117">
              <controlPr defaultSize="0" autoFill="0" autoLine="0" autoPict="0" altText="">
                <anchor moveWithCells="1">
                  <from>
                    <xdr:col>4</xdr:col>
                    <xdr:colOff>0</xdr:colOff>
                    <xdr:row>56</xdr:row>
                    <xdr:rowOff>0</xdr:rowOff>
                  </from>
                  <to>
                    <xdr:col>5</xdr:col>
                    <xdr:colOff>45720</xdr:colOff>
                    <xdr:row>57</xdr:row>
                    <xdr:rowOff>0</xdr:rowOff>
                  </to>
                </anchor>
              </controlPr>
            </control>
          </mc:Choice>
        </mc:AlternateContent>
        <mc:AlternateContent xmlns:mc="http://schemas.openxmlformats.org/markup-compatibility/2006">
          <mc:Choice Requires="x14">
            <control shapeId="41078" r:id="rId64" name="Check Box 118">
              <controlPr defaultSize="0" autoFill="0" autoLine="0" autoPict="0" altText="">
                <anchor moveWithCells="1">
                  <from>
                    <xdr:col>4</xdr:col>
                    <xdr:colOff>0</xdr:colOff>
                    <xdr:row>53</xdr:row>
                    <xdr:rowOff>0</xdr:rowOff>
                  </from>
                  <to>
                    <xdr:col>5</xdr:col>
                    <xdr:colOff>45720</xdr:colOff>
                    <xdr:row>54</xdr:row>
                    <xdr:rowOff>0</xdr:rowOff>
                  </to>
                </anchor>
              </controlPr>
            </control>
          </mc:Choice>
        </mc:AlternateContent>
        <mc:AlternateContent xmlns:mc="http://schemas.openxmlformats.org/markup-compatibility/2006">
          <mc:Choice Requires="x14">
            <control shapeId="41079" r:id="rId65" name="Check Box 119">
              <controlPr defaultSize="0" autoFill="0" autoLine="0" autoPict="0" altText="">
                <anchor moveWithCells="1">
                  <from>
                    <xdr:col>4</xdr:col>
                    <xdr:colOff>0</xdr:colOff>
                    <xdr:row>54</xdr:row>
                    <xdr:rowOff>0</xdr:rowOff>
                  </from>
                  <to>
                    <xdr:col>5</xdr:col>
                    <xdr:colOff>45720</xdr:colOff>
                    <xdr:row>55</xdr:row>
                    <xdr:rowOff>0</xdr:rowOff>
                  </to>
                </anchor>
              </controlPr>
            </control>
          </mc:Choice>
        </mc:AlternateContent>
        <mc:AlternateContent xmlns:mc="http://schemas.openxmlformats.org/markup-compatibility/2006">
          <mc:Choice Requires="x14">
            <control shapeId="41082" r:id="rId66" name="Check Box 122">
              <controlPr defaultSize="0" autoFill="0" autoLine="0" autoPict="0" altText="">
                <anchor moveWithCells="1">
                  <from>
                    <xdr:col>4</xdr:col>
                    <xdr:colOff>0</xdr:colOff>
                    <xdr:row>123</xdr:row>
                    <xdr:rowOff>0</xdr:rowOff>
                  </from>
                  <to>
                    <xdr:col>5</xdr:col>
                    <xdr:colOff>45720</xdr:colOff>
                    <xdr:row>124</xdr:row>
                    <xdr:rowOff>0</xdr:rowOff>
                  </to>
                </anchor>
              </controlPr>
            </control>
          </mc:Choice>
        </mc:AlternateContent>
        <mc:AlternateContent xmlns:mc="http://schemas.openxmlformats.org/markup-compatibility/2006">
          <mc:Choice Requires="x14">
            <control shapeId="41083" r:id="rId67" name="Check Box 123">
              <controlPr defaultSize="0" autoFill="0" autoLine="0" autoPict="0" altText="">
                <anchor moveWithCells="1">
                  <from>
                    <xdr:col>4</xdr:col>
                    <xdr:colOff>0</xdr:colOff>
                    <xdr:row>127</xdr:row>
                    <xdr:rowOff>0</xdr:rowOff>
                  </from>
                  <to>
                    <xdr:col>5</xdr:col>
                    <xdr:colOff>45720</xdr:colOff>
                    <xdr:row>128</xdr:row>
                    <xdr:rowOff>0</xdr:rowOff>
                  </to>
                </anchor>
              </controlPr>
            </control>
          </mc:Choice>
        </mc:AlternateContent>
        <mc:AlternateContent xmlns:mc="http://schemas.openxmlformats.org/markup-compatibility/2006">
          <mc:Choice Requires="x14">
            <control shapeId="41086" r:id="rId68" name="Check Box 126">
              <controlPr defaultSize="0" autoFill="0" autoLine="0" autoPict="0" altText="">
                <anchor moveWithCells="1">
                  <from>
                    <xdr:col>4</xdr:col>
                    <xdr:colOff>0</xdr:colOff>
                    <xdr:row>121</xdr:row>
                    <xdr:rowOff>0</xdr:rowOff>
                  </from>
                  <to>
                    <xdr:col>5</xdr:col>
                    <xdr:colOff>45720</xdr:colOff>
                    <xdr:row>122</xdr:row>
                    <xdr:rowOff>0</xdr:rowOff>
                  </to>
                </anchor>
              </controlPr>
            </control>
          </mc:Choice>
        </mc:AlternateContent>
        <mc:AlternateContent xmlns:mc="http://schemas.openxmlformats.org/markup-compatibility/2006">
          <mc:Choice Requires="x14">
            <control shapeId="41087" r:id="rId69" name="Check Box 127">
              <controlPr defaultSize="0" autoFill="0" autoLine="0" autoPict="0" altText="">
                <anchor moveWithCells="1">
                  <from>
                    <xdr:col>4</xdr:col>
                    <xdr:colOff>0</xdr:colOff>
                    <xdr:row>122</xdr:row>
                    <xdr:rowOff>0</xdr:rowOff>
                  </from>
                  <to>
                    <xdr:col>5</xdr:col>
                    <xdr:colOff>45720</xdr:colOff>
                    <xdr:row>123</xdr:row>
                    <xdr:rowOff>0</xdr:rowOff>
                  </to>
                </anchor>
              </controlPr>
            </control>
          </mc:Choice>
        </mc:AlternateContent>
        <mc:AlternateContent xmlns:mc="http://schemas.openxmlformats.org/markup-compatibility/2006">
          <mc:Choice Requires="x14">
            <control shapeId="41088" r:id="rId70" name="Check Box 128">
              <controlPr defaultSize="0" autoFill="0" autoLine="0" autoPict="0" altText="">
                <anchor moveWithCells="1">
                  <from>
                    <xdr:col>4</xdr:col>
                    <xdr:colOff>0</xdr:colOff>
                    <xdr:row>124</xdr:row>
                    <xdr:rowOff>0</xdr:rowOff>
                  </from>
                  <to>
                    <xdr:col>5</xdr:col>
                    <xdr:colOff>45720</xdr:colOff>
                    <xdr:row>125</xdr:row>
                    <xdr:rowOff>0</xdr:rowOff>
                  </to>
                </anchor>
              </controlPr>
            </control>
          </mc:Choice>
        </mc:AlternateContent>
        <mc:AlternateContent xmlns:mc="http://schemas.openxmlformats.org/markup-compatibility/2006">
          <mc:Choice Requires="x14">
            <control shapeId="41090" r:id="rId71" name="Check Box 130">
              <controlPr defaultSize="0" autoFill="0" autoLine="0" autoPict="0" altText="">
                <anchor moveWithCells="1">
                  <from>
                    <xdr:col>4</xdr:col>
                    <xdr:colOff>0</xdr:colOff>
                    <xdr:row>125</xdr:row>
                    <xdr:rowOff>0</xdr:rowOff>
                  </from>
                  <to>
                    <xdr:col>5</xdr:col>
                    <xdr:colOff>45720</xdr:colOff>
                    <xdr:row>126</xdr:row>
                    <xdr:rowOff>0</xdr:rowOff>
                  </to>
                </anchor>
              </controlPr>
            </control>
          </mc:Choice>
        </mc:AlternateContent>
        <mc:AlternateContent xmlns:mc="http://schemas.openxmlformats.org/markup-compatibility/2006">
          <mc:Choice Requires="x14">
            <control shapeId="41096" r:id="rId72" name="Check Box 136">
              <controlPr defaultSize="0" autoFill="0" autoLine="0" autoPict="0" altText="">
                <anchor moveWithCells="1">
                  <from>
                    <xdr:col>4</xdr:col>
                    <xdr:colOff>0</xdr:colOff>
                    <xdr:row>117</xdr:row>
                    <xdr:rowOff>0</xdr:rowOff>
                  </from>
                  <to>
                    <xdr:col>5</xdr:col>
                    <xdr:colOff>45720</xdr:colOff>
                    <xdr:row>118</xdr:row>
                    <xdr:rowOff>0</xdr:rowOff>
                  </to>
                </anchor>
              </controlPr>
            </control>
          </mc:Choice>
        </mc:AlternateContent>
        <mc:AlternateContent xmlns:mc="http://schemas.openxmlformats.org/markup-compatibility/2006">
          <mc:Choice Requires="x14">
            <control shapeId="41097" r:id="rId73" name="Check Box 137">
              <controlPr defaultSize="0" autoFill="0" autoLine="0" autoPict="0" altText="3 Fahrstreifen">
                <anchor moveWithCells="1">
                  <from>
                    <xdr:col>1</xdr:col>
                    <xdr:colOff>0</xdr:colOff>
                    <xdr:row>119</xdr:row>
                    <xdr:rowOff>0</xdr:rowOff>
                  </from>
                  <to>
                    <xdr:col>2</xdr:col>
                    <xdr:colOff>0</xdr:colOff>
                    <xdr:row>120</xdr:row>
                    <xdr:rowOff>0</xdr:rowOff>
                  </to>
                </anchor>
              </controlPr>
            </control>
          </mc:Choice>
        </mc:AlternateContent>
        <mc:AlternateContent xmlns:mc="http://schemas.openxmlformats.org/markup-compatibility/2006">
          <mc:Choice Requires="x14">
            <control shapeId="41098" r:id="rId74" name="Check Box 138">
              <controlPr defaultSize="0" autoFill="0" autoLine="0" autoPict="0" altText="">
                <anchor moveWithCells="1">
                  <from>
                    <xdr:col>1</xdr:col>
                    <xdr:colOff>0</xdr:colOff>
                    <xdr:row>13</xdr:row>
                    <xdr:rowOff>0</xdr:rowOff>
                  </from>
                  <to>
                    <xdr:col>2</xdr:col>
                    <xdr:colOff>0</xdr:colOff>
                    <xdr:row>14</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20" id="{42E327F1-4C6C-4F61-A443-24DA7DC8F648}">
            <xm:f>NOT(Projektgrundlagen!$I$26)</xm:f>
            <x14:dxf>
              <font>
                <strike/>
                <color theme="0" tint="-0.14996795556505021"/>
              </font>
              <fill>
                <patternFill>
                  <bgColor theme="0"/>
                </patternFill>
              </fill>
            </x14:dxf>
          </x14:cfRule>
          <xm:sqref>B14:F15</xm:sqref>
        </x14:conditionalFormatting>
        <x14:conditionalFormatting xmlns:xm="http://schemas.microsoft.com/office/excel/2006/main">
          <x14:cfRule type="expression" priority="102" id="{1076F91D-EBBF-4512-A8B7-767B7422E207}">
            <xm:f>NOT(Projektgrundlagen!$I$26)</xm:f>
            <x14:dxf>
              <font>
                <strike/>
                <color theme="0" tint="-0.14996795556505021"/>
              </font>
              <fill>
                <patternFill>
                  <bgColor theme="0"/>
                </patternFill>
              </fill>
            </x14:dxf>
          </x14:cfRule>
          <xm:sqref>B112:F114</xm:sqref>
        </x14:conditionalFormatting>
        <x14:conditionalFormatting xmlns:xm="http://schemas.microsoft.com/office/excel/2006/main">
          <x14:cfRule type="expression" priority="106" id="{15447CBE-B866-4AAE-9CA0-5B1533EC7E75}">
            <xm:f>NOT(Projektgrundlagen!$I$26)</xm:f>
            <x14:dxf>
              <font>
                <strike/>
                <color theme="0" tint="-0.14996795556505021"/>
              </font>
              <fill>
                <patternFill>
                  <bgColor theme="0"/>
                </patternFill>
              </fill>
            </x14:dxf>
          </x14:cfRule>
          <xm:sqref>B122:F127</xm:sqref>
        </x14:conditionalFormatting>
        <x14:conditionalFormatting xmlns:xm="http://schemas.microsoft.com/office/excel/2006/main">
          <x14:cfRule type="expression" priority="25" id="{F2B8468C-E10B-4C1C-B437-AF78272A4954}">
            <xm:f>NOT(Projektgrundlagen!$I$26)</xm:f>
            <x14:dxf>
              <font>
                <strike/>
                <color theme="0" tint="-0.14996795556505021"/>
              </font>
              <fill>
                <patternFill>
                  <bgColor theme="0"/>
                </patternFill>
              </fill>
            </x14:dxf>
          </x14:cfRule>
          <xm:sqref>B72:G83</xm:sqref>
        </x14:conditionalFormatting>
        <x14:conditionalFormatting xmlns:xm="http://schemas.microsoft.com/office/excel/2006/main">
          <x14:cfRule type="expression" priority="508" id="{1ADBAA62-B1DC-4291-916E-1D17EB66E06A}">
            <xm:f>NOT(Projektgrundlagen!$I$26)</xm:f>
            <x14:dxf>
              <font>
                <strike/>
                <color theme="0" tint="-0.14996795556505021"/>
              </font>
              <fill>
                <patternFill>
                  <bgColor theme="0"/>
                </patternFill>
              </fill>
            </x14:dxf>
          </x14:cfRule>
          <xm:sqref>B87:G87</xm:sqref>
        </x14:conditionalFormatting>
        <x14:conditionalFormatting xmlns:xm="http://schemas.microsoft.com/office/excel/2006/main">
          <x14:cfRule type="expression" priority="179" id="{10735FEE-D4B4-42FD-87A7-BD17F3ECEF90}">
            <xm:f>NOT(Projektgrundlagen!$I$26)</xm:f>
            <x14:dxf>
              <font>
                <strike/>
                <color theme="0" tint="-0.14996795556505021"/>
              </font>
              <fill>
                <patternFill>
                  <bgColor theme="0"/>
                </patternFill>
              </fill>
            </x14:dxf>
          </x14:cfRule>
          <xm:sqref>B89:G91</xm:sqref>
        </x14:conditionalFormatting>
        <x14:conditionalFormatting xmlns:xm="http://schemas.microsoft.com/office/excel/2006/main">
          <x14:cfRule type="expression" priority="502" id="{CB6E3575-8A3E-4055-9E93-EC67AC548266}">
            <xm:f>NOT(Projektgrundlagen!$I$26)</xm:f>
            <x14:dxf>
              <font>
                <strike/>
                <color theme="0" tint="-0.14996795556505021"/>
              </font>
              <fill>
                <patternFill>
                  <bgColor theme="0"/>
                </patternFill>
              </fill>
            </x14:dxf>
          </x14:cfRule>
          <xm:sqref>B93:G93</xm:sqref>
        </x14:conditionalFormatting>
        <x14:conditionalFormatting xmlns:xm="http://schemas.microsoft.com/office/excel/2006/main">
          <x14:cfRule type="expression" priority="1" id="{143A908A-8FD4-448D-86DA-5EE765B9110F}">
            <xm:f>NOT(Projektgrundlagen!$I$26)</xm:f>
            <x14:dxf>
              <font>
                <strike/>
                <color theme="0" tint="-0.14996795556505021"/>
              </font>
              <fill>
                <patternFill>
                  <bgColor theme="0"/>
                </patternFill>
              </fill>
            </x14:dxf>
          </x14:cfRule>
          <xm:sqref>B128:G137</xm:sqref>
        </x14:conditionalFormatting>
        <x14:conditionalFormatting xmlns:xm="http://schemas.microsoft.com/office/excel/2006/main">
          <x14:cfRule type="expression" priority="81" id="{1B3B63B2-FE82-4AED-9155-4B1BBBDFCE64}">
            <xm:f>NOT(Projektgrundlagen!$I$26)</xm:f>
            <x14:dxf>
              <font>
                <strike/>
                <color theme="0" tint="-0.14996795556505021"/>
              </font>
              <fill>
                <patternFill>
                  <bgColor theme="0"/>
                </patternFill>
              </fill>
            </x14:dxf>
          </x14:cfRule>
          <xm:sqref>B16:K49</xm:sqref>
        </x14:conditionalFormatting>
        <x14:conditionalFormatting xmlns:xm="http://schemas.microsoft.com/office/excel/2006/main">
          <x14:cfRule type="expression" priority="69" id="{30D86C9E-E2AE-4A78-B081-6200FFE51E31}">
            <xm:f>NOT(Projektgrundlagen!$I$26)</xm:f>
            <x14:dxf>
              <font>
                <strike/>
                <color theme="0" tint="-0.14996795556505021"/>
              </font>
              <fill>
                <patternFill>
                  <bgColor theme="0"/>
                </patternFill>
              </fill>
            </x14:dxf>
          </x14:cfRule>
          <xm:sqref>B53:K68</xm:sqref>
        </x14:conditionalFormatting>
        <x14:conditionalFormatting xmlns:xm="http://schemas.microsoft.com/office/excel/2006/main">
          <x14:cfRule type="expression" priority="178" id="{0F0136FE-045D-443E-98C6-621C1A90404E}">
            <xm:f>NOT(Projektgrundlagen!$I$26)</xm:f>
            <x14:dxf>
              <font>
                <strike/>
                <color theme="0" tint="-0.14996795556505021"/>
              </font>
              <fill>
                <patternFill>
                  <bgColor theme="0"/>
                </patternFill>
              </fill>
            </x14:dxf>
          </x14:cfRule>
          <xm:sqref>B88:K88</xm:sqref>
        </x14:conditionalFormatting>
        <x14:conditionalFormatting xmlns:xm="http://schemas.microsoft.com/office/excel/2006/main">
          <x14:cfRule type="expression" priority="177" id="{70B1471C-D4E3-4669-8EAF-C4DA6B803E30}">
            <xm:f>NOT(Projektgrundlagen!$I$26)</xm:f>
            <x14:dxf>
              <font>
                <strike/>
                <color theme="0" tint="-0.14996795556505021"/>
              </font>
              <fill>
                <patternFill>
                  <bgColor theme="0"/>
                </patternFill>
              </fill>
            </x14:dxf>
          </x14:cfRule>
          <xm:sqref>B92:K92</xm:sqref>
        </x14:conditionalFormatting>
        <x14:conditionalFormatting xmlns:xm="http://schemas.microsoft.com/office/excel/2006/main">
          <x14:cfRule type="expression" priority="13" id="{62F465CB-76CC-40B1-985C-B7F7A39CAB72}">
            <xm:f>NOT(Projektgrundlagen!$I$26)</xm:f>
            <x14:dxf>
              <font>
                <strike/>
                <color theme="0" tint="-0.14996795556505021"/>
              </font>
              <fill>
                <patternFill>
                  <bgColor theme="0"/>
                </patternFill>
              </fill>
            </x14:dxf>
          </x14:cfRule>
          <xm:sqref>B94:K102</xm:sqref>
        </x14:conditionalFormatting>
        <x14:conditionalFormatting xmlns:xm="http://schemas.microsoft.com/office/excel/2006/main">
          <x14:cfRule type="expression" priority="213" id="{D00FCE87-BC00-481B-94C0-FB2F18F69F40}">
            <xm:f>NOT(Projektgrundlagen!$I$26)</xm:f>
            <x14:dxf>
              <font>
                <strike/>
                <color theme="0" tint="-0.14996795556505021"/>
              </font>
              <fill>
                <patternFill>
                  <bgColor theme="0"/>
                </patternFill>
              </fill>
            </x14:dxf>
          </x14:cfRule>
          <xm:sqref>B106:K111</xm:sqref>
        </x14:conditionalFormatting>
        <x14:conditionalFormatting xmlns:xm="http://schemas.microsoft.com/office/excel/2006/main">
          <x14:cfRule type="expression" priority="101" id="{DB62E28F-EDD8-4ADB-BA77-761D3F66E05B}">
            <xm:f>NOT(Projektgrundlagen!$I$26)</xm:f>
            <x14:dxf>
              <font>
                <strike/>
                <color theme="0" tint="-0.14996795556505021"/>
              </font>
              <fill>
                <patternFill>
                  <bgColor theme="0"/>
                </patternFill>
              </fill>
            </x14:dxf>
          </x14:cfRule>
          <xm:sqref>B115:K121</xm:sqref>
        </x14:conditionalFormatting>
        <x14:conditionalFormatting xmlns:xm="http://schemas.microsoft.com/office/excel/2006/main">
          <x14:cfRule type="expression" priority="98" id="{7F2AB2D6-8CBA-4DAF-8B8E-8C7FC169E132}">
            <xm:f>NOT(Projektgrundlagen!$I$26)</xm:f>
            <x14:dxf>
              <font>
                <strike/>
                <color theme="0" tint="-0.14996795556505021"/>
              </font>
              <fill>
                <patternFill>
                  <bgColor theme="0"/>
                </patternFill>
              </fill>
            </x14:dxf>
          </x14:cfRule>
          <xm:sqref>G122:G125</xm:sqref>
        </x14:conditionalFormatting>
        <x14:conditionalFormatting xmlns:xm="http://schemas.microsoft.com/office/excel/2006/main">
          <x14:cfRule type="expression" priority="659" id="{671E2B1F-D858-44A3-8357-65169AC9AF0C}">
            <xm:f>NOT(Projektgrundlagen!$I$26)</xm:f>
            <x14:dxf>
              <font>
                <strike/>
                <color theme="0" tint="-0.14996795556505021"/>
              </font>
              <fill>
                <patternFill>
                  <bgColor theme="0"/>
                </patternFill>
              </fill>
            </x14:dxf>
          </x14:cfRule>
          <xm:sqref>G14:K15 H72:K83</xm:sqref>
        </x14:conditionalFormatting>
        <x14:conditionalFormatting xmlns:xm="http://schemas.microsoft.com/office/excel/2006/main">
          <x14:cfRule type="expression" priority="809" id="{30106D88-EBF2-42BC-9FB9-63B5EB64E72C}">
            <xm:f>NOT(Projektgrundlagen!$I$26)</xm:f>
            <x14:dxf>
              <font>
                <strike/>
                <color theme="0" tint="-0.14996795556505021"/>
              </font>
              <fill>
                <patternFill>
                  <bgColor theme="0"/>
                </patternFill>
              </fill>
            </x14:dxf>
          </x14:cfRule>
          <xm:sqref>H87:J87</xm:sqref>
        </x14:conditionalFormatting>
        <x14:conditionalFormatting xmlns:xm="http://schemas.microsoft.com/office/excel/2006/main">
          <x14:cfRule type="expression" priority="755" id="{8D038118-95D1-4E75-A7D5-902C63091AD2}">
            <xm:f>NOT(Projektgrundlagen!$I$26)</xm:f>
            <x14:dxf>
              <font>
                <strike/>
                <color theme="0" tint="-0.14996795556505021"/>
              </font>
              <fill>
                <patternFill>
                  <bgColor theme="0"/>
                </patternFill>
              </fill>
            </x14:dxf>
          </x14:cfRule>
          <xm:sqref>H91:J91</xm:sqref>
        </x14:conditionalFormatting>
        <x14:conditionalFormatting xmlns:xm="http://schemas.microsoft.com/office/excel/2006/main">
          <x14:cfRule type="expression" priority="728" id="{B528B462-8D9F-4D52-8CA0-59AAF6B9BAF0}">
            <xm:f>NOT(Projektgrundlagen!$I$26)</xm:f>
            <x14:dxf>
              <font>
                <strike/>
                <color theme="0" tint="-0.14996795556505021"/>
              </font>
              <fill>
                <patternFill>
                  <bgColor theme="0"/>
                </patternFill>
              </fill>
            </x14:dxf>
          </x14:cfRule>
          <xm:sqref>H93:J93</xm:sqref>
        </x14:conditionalFormatting>
        <x14:conditionalFormatting xmlns:xm="http://schemas.microsoft.com/office/excel/2006/main">
          <x14:cfRule type="expression" priority="181" id="{33189B24-378E-4EEB-9AF7-A8A5D961F9DE}">
            <xm:f>NOT(Projektgrundlagen!$I$26)</xm:f>
            <x14:dxf>
              <font>
                <strike/>
                <color theme="0" tint="-0.14996795556505021"/>
              </font>
              <fill>
                <patternFill>
                  <bgColor theme="0"/>
                </patternFill>
              </fill>
            </x14:dxf>
          </x14:cfRule>
          <xm:sqref>H89:K90</xm:sqref>
        </x14:conditionalFormatting>
        <x14:conditionalFormatting xmlns:xm="http://schemas.microsoft.com/office/excel/2006/main">
          <x14:cfRule type="expression" priority="103" id="{D2C55ED8-12D4-499B-8C82-FC45479B504C}">
            <xm:f>NOT(Projektgrundlagen!$I$26)</xm:f>
            <x14:dxf>
              <font>
                <strike/>
                <color theme="0" tint="-0.14996795556505021"/>
              </font>
              <fill>
                <patternFill>
                  <bgColor theme="0"/>
                </patternFill>
              </fill>
            </x14:dxf>
          </x14:cfRule>
          <xm:sqref>H112:K114</xm:sqref>
        </x14:conditionalFormatting>
        <x14:conditionalFormatting xmlns:xm="http://schemas.microsoft.com/office/excel/2006/main">
          <x14:cfRule type="expression" priority="107" id="{15ED8D5E-E8E2-4914-B64F-3445C97FFEE3}">
            <xm:f>NOT(Projektgrundlagen!$I$26)</xm:f>
            <x14:dxf>
              <font>
                <strike/>
                <color theme="0" tint="-0.14996795556505021"/>
              </font>
              <fill>
                <patternFill>
                  <bgColor theme="0"/>
                </patternFill>
              </fill>
            </x14:dxf>
          </x14:cfRule>
          <xm:sqref>H122:K137</xm:sqref>
        </x14:conditionalFormatting>
        <x14:conditionalFormatting xmlns:xm="http://schemas.microsoft.com/office/excel/2006/main">
          <x14:cfRule type="expression" priority="452" id="{5E282FC9-1989-4856-B1F7-FE73298D5F2A}">
            <xm:f>NOT(Projektgrundlagen!$I$26)</xm:f>
            <x14:dxf>
              <font>
                <strike/>
                <color theme="0" tint="-0.14996795556505021"/>
              </font>
              <fill>
                <patternFill>
                  <bgColor theme="0"/>
                </patternFill>
              </fill>
            </x14:dxf>
          </x14:cfRule>
          <xm:sqref>K87</xm:sqref>
        </x14:conditionalFormatting>
        <x14:conditionalFormatting xmlns:xm="http://schemas.microsoft.com/office/excel/2006/main">
          <x14:cfRule type="expression" priority="455" id="{33C1C383-7D1D-4CBA-84DF-27A20A8A4588}">
            <xm:f>NOT(Projektgrundlagen!$I$26)</xm:f>
            <x14:dxf>
              <font>
                <strike/>
                <color theme="0" tint="-0.14996795556505021"/>
              </font>
              <fill>
                <patternFill>
                  <bgColor theme="0"/>
                </patternFill>
              </fill>
            </x14:dxf>
          </x14:cfRule>
          <xm:sqref>K91</xm:sqref>
        </x14:conditionalFormatting>
        <x14:conditionalFormatting xmlns:xm="http://schemas.microsoft.com/office/excel/2006/main">
          <x14:cfRule type="expression" priority="454" id="{9C45B0E0-AD27-4041-A7FB-42B1A8BA3F56}">
            <xm:f>NOT(Projektgrundlagen!$I$26)</xm:f>
            <x14:dxf>
              <font>
                <strike/>
                <color theme="0" tint="-0.14996795556505021"/>
              </font>
              <fill>
                <patternFill>
                  <bgColor theme="0"/>
                </patternFill>
              </fill>
            </x14:dxf>
          </x14:cfRule>
          <xm:sqref>K93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39</vt:i4>
      </vt:variant>
    </vt:vector>
  </HeadingPairs>
  <TitlesOfParts>
    <vt:vector size="52" baseType="lpstr">
      <vt:lpstr>Projektgrundlagen</vt:lpstr>
      <vt:lpstr>A anrechb Kosten</vt:lpstr>
      <vt:lpstr>B HZone</vt:lpstr>
      <vt:lpstr>HB-C1 Grundlstg Land</vt:lpstr>
      <vt:lpstr>HB-C2 Grundlstg Bund</vt:lpstr>
      <vt:lpstr>HB-D1 Besondere Lstg Land</vt:lpstr>
      <vt:lpstr>HB-D2 Besondere Lstg Bund</vt:lpstr>
      <vt:lpstr>HB-D2 Besondere Lstg BS</vt:lpstr>
      <vt:lpstr>E Honorarberechnung</vt:lpstr>
      <vt:lpstr>F Honorarübersicht</vt:lpstr>
      <vt:lpstr>G Honorarabrechnung</vt:lpstr>
      <vt:lpstr>H §35 HOAI</vt:lpstr>
      <vt:lpstr>RifT-Tabelle</vt:lpstr>
      <vt:lpstr>an_summe_angebot</vt:lpstr>
      <vt:lpstr>'A anrechb Kosten'!Druckbereich</vt:lpstr>
      <vt:lpstr>'B HZone'!Druckbereich</vt:lpstr>
      <vt:lpstr>'E Honorarberechnung'!Druckbereich</vt:lpstr>
      <vt:lpstr>'F Honorarübersicht'!Druckbereich</vt:lpstr>
      <vt:lpstr>'G Honorarabrechnung'!Druckbereich</vt:lpstr>
      <vt:lpstr>'H §35 HOAI'!Druckbereich</vt:lpstr>
      <vt:lpstr>'HB-C1 Grundlstg Land'!Druckbereich</vt:lpstr>
      <vt:lpstr>'HB-C2 Grundlstg Bund'!Druckbereich</vt:lpstr>
      <vt:lpstr>'HB-D1 Besondere Lstg Land'!Druckbereich</vt:lpstr>
      <vt:lpstr>'HB-D2 Besondere Lstg BS'!Druckbereich</vt:lpstr>
      <vt:lpstr>'HB-D2 Besondere Lstg Bund'!Druckbereich</vt:lpstr>
      <vt:lpstr>Projektgrundlagen!Druckbereich</vt:lpstr>
      <vt:lpstr>'StB-C1 Grundlstg -entfällt-'!Druckbereich</vt:lpstr>
      <vt:lpstr>'StB-D1 BesondereLstg -entfällt-'!Druckbereich</vt:lpstr>
      <vt:lpstr>'E Honorarberechnung'!Drucktitel</vt:lpstr>
      <vt:lpstr>'F Honorarübersicht'!Drucktitel</vt:lpstr>
      <vt:lpstr>'G Honorarabrechnung'!Drucktitel</vt:lpstr>
      <vt:lpstr>'HB-C1 Grundlstg Land'!Drucktitel</vt:lpstr>
      <vt:lpstr>'HB-C2 Grundlstg Bund'!Drucktitel</vt:lpstr>
      <vt:lpstr>'HB-D1 Besondere Lstg Land'!Drucktitel</vt:lpstr>
      <vt:lpstr>'HB-D2 Besondere Lstg BS'!Drucktitel</vt:lpstr>
      <vt:lpstr>'HB-D2 Besondere Lstg Bund'!Drucktitel</vt:lpstr>
      <vt:lpstr>'StB-C1 Grundlstg -entfällt-'!Drucktitel</vt:lpstr>
      <vt:lpstr>'StB-D1 BesondereLstg -entfällt-'!Drucktitel</vt:lpstr>
      <vt:lpstr>HB_D2_Besondere_Lstg_BS</vt:lpstr>
      <vt:lpstr>Link_A_anrKosten</vt:lpstr>
      <vt:lpstr>Link_B_HonorarZ</vt:lpstr>
      <vt:lpstr>Link_E_Honorar</vt:lpstr>
      <vt:lpstr>Link_F_Uebersicht</vt:lpstr>
      <vt:lpstr>Link_G_Abrechnung</vt:lpstr>
      <vt:lpstr>Link_H_HOAI</vt:lpstr>
      <vt:lpstr>Link_HBC1_Grundlstg</vt:lpstr>
      <vt:lpstr>Link_HBC2_Grundlstg</vt:lpstr>
      <vt:lpstr>'HB-D2 Besondere Lstg BS'!Link_HBD1_BesLstg</vt:lpstr>
      <vt:lpstr>Link_HBD1_BesLstg</vt:lpstr>
      <vt:lpstr>Link_HBD2_BesLstg</vt:lpstr>
      <vt:lpstr>Link_StBC1_Grundlstg</vt:lpstr>
      <vt:lpstr>Link_StBD1_BesLstg</vt:lpstr>
    </vt:vector>
  </TitlesOfParts>
  <Company>Staatsbauverwaltung Bayern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Referat-23@stmb.bayern.de</dc:creator>
  <cp:lastModifiedBy>Engelbracht, Kay (StBA München 2)</cp:lastModifiedBy>
  <cp:lastPrinted>2022-11-17T16:10:40Z</cp:lastPrinted>
  <dcterms:created xsi:type="dcterms:W3CDTF">2015-04-17T04:22:38Z</dcterms:created>
  <dcterms:modified xsi:type="dcterms:W3CDTF">2026-02-24T08:50:12Z</dcterms:modified>
</cp:coreProperties>
</file>