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7.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8.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9.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10.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drawings/drawing11.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W:\Zentrales\07_Abt_T\Intern\T11\T1120\000_VTR-IN-BEARBEITUNG\2024-08-28_VGP-oV_B26-Ern-BR-ü-DB-Wernfeld_Ute\03_Upload-Plattform\"/>
    </mc:Choice>
  </mc:AlternateContent>
  <bookViews>
    <workbookView xWindow="10440" yWindow="0" windowWidth="12690" windowHeight="12330" tabRatio="867"/>
  </bookViews>
  <sheets>
    <sheet name="Projektgrundlagen" sheetId="16" r:id="rId1"/>
    <sheet name="A anrechb Kosten" sheetId="11" r:id="rId2"/>
    <sheet name="B HZone" sheetId="6" r:id="rId3"/>
    <sheet name="StB-C1 Grundlstg" sheetId="24" r:id="rId4"/>
    <sheet name="StB-D1 Besondere Lstg" sheetId="25" r:id="rId5"/>
    <sheet name="E Honorarberechnung" sheetId="12" r:id="rId6"/>
    <sheet name="F Honorarübersicht" sheetId="13" r:id="rId7"/>
    <sheet name="G Honorarabrechnung" sheetId="23" r:id="rId8"/>
    <sheet name="H §52 HOAI" sheetId="4" r:id="rId9"/>
    <sheet name="HB-C1 Grundlstg Land" sheetId="8" state="hidden" r:id="rId10"/>
    <sheet name="HB-C2 Grundlstg Bund" sheetId="17" state="hidden" r:id="rId11"/>
    <sheet name="HB-D1 Besondere Lstg Land" sheetId="9" state="hidden" r:id="rId12"/>
    <sheet name="HB-D2 Besondere Lstg Bund" sheetId="18" state="hidden" r:id="rId13"/>
    <sheet name="Z Preisspiegel" sheetId="26" state="veryHidden" r:id="rId14"/>
  </sheets>
  <definedNames>
    <definedName name="an_summe_angebot">'E Honorarberechnung'!$J$141</definedName>
    <definedName name="_xlnm.Print_Area" localSheetId="1">'A anrechb Kosten'!$A$1:$H$52</definedName>
    <definedName name="_xlnm.Print_Area" localSheetId="2">'B HZone'!$A$1:$J$14</definedName>
    <definedName name="_xlnm.Print_Area" localSheetId="5">'E Honorarberechnung'!$A$1:$K$143</definedName>
    <definedName name="_xlnm.Print_Area" localSheetId="6">'F Honorarübersicht'!$A$1:$P$30</definedName>
    <definedName name="_xlnm.Print_Area" localSheetId="7">'G Honorarabrechnung'!$A$1:$J$49</definedName>
    <definedName name="_xlnm.Print_Area" localSheetId="8">'H §52 HOAI'!$A$1:$L$37</definedName>
    <definedName name="_xlnm.Print_Area" localSheetId="9">'HB-C1 Grundlstg Land'!$A$1:$K$126</definedName>
    <definedName name="_xlnm.Print_Area" localSheetId="10">'HB-C2 Grundlstg Bund'!$A$1:$K$132</definedName>
    <definedName name="_xlnm.Print_Area" localSheetId="11">'HB-D1 Besondere Lstg Land'!$A$1:$L$107</definedName>
    <definedName name="_xlnm.Print_Area" localSheetId="12">'HB-D2 Besondere Lstg Bund'!$A$1:$L$87</definedName>
    <definedName name="_xlnm.Print_Area" localSheetId="0">Projektgrundlagen!$A$1:$H$47</definedName>
    <definedName name="_xlnm.Print_Area" localSheetId="3">'StB-C1 Grundlstg'!$A$1:$K$239</definedName>
    <definedName name="_xlnm.Print_Area" localSheetId="4">'StB-D1 Besondere Lstg'!$A$1:$L$180</definedName>
    <definedName name="_xlnm.Print_Titles" localSheetId="5">'E Honorarberechnung'!$1:$12</definedName>
    <definedName name="_xlnm.Print_Titles" localSheetId="6">'F Honorarübersicht'!$1:$9</definedName>
    <definedName name="_xlnm.Print_Titles" localSheetId="7">'G Honorarabrechnung'!$1:$9</definedName>
    <definedName name="_xlnm.Print_Titles" localSheetId="9">'HB-C1 Grundlstg Land'!$1:$12</definedName>
    <definedName name="_xlnm.Print_Titles" localSheetId="10">'HB-C2 Grundlstg Bund'!$1:$12</definedName>
    <definedName name="_xlnm.Print_Titles" localSheetId="11">'HB-D1 Besondere Lstg Land'!$1:$12</definedName>
    <definedName name="_xlnm.Print_Titles" localSheetId="12">'HB-D2 Besondere Lstg Bund'!$1:$12</definedName>
    <definedName name="_xlnm.Print_Titles" localSheetId="3">'StB-C1 Grundlstg'!$1:$12</definedName>
    <definedName name="_xlnm.Print_Titles" localSheetId="4">'StB-D1 Besondere Lstg'!$1:$12</definedName>
    <definedName name="Link_A_anrKosten">'A anrechb Kosten'!$E$5</definedName>
    <definedName name="Link_B_HonorarZ">'B HZone'!$D$5:$F$5</definedName>
    <definedName name="Link_E_Honorar">'E Honorarberechnung'!$F$5:$H$5</definedName>
    <definedName name="Link_F_Uebersicht">'F Honorarübersicht'!$D$5:$I$5</definedName>
    <definedName name="Link_G_Abrechnung">'G Honorarabrechnung'!$D$6:$I$6</definedName>
    <definedName name="Link_H_HOAI">'H §52 HOAI'!$B$2</definedName>
    <definedName name="Link_HBC1_Grundlstg">'HB-C1 Grundlstg Land'!$F$5</definedName>
    <definedName name="Link_HBC2_Grundlstg">'HB-C2 Grundlstg Bund'!$F$5</definedName>
    <definedName name="Link_HBD1_BesLstg">'HB-D1 Besondere Lstg Land'!$F$5:$G$5</definedName>
    <definedName name="Link_HBD2_BesLstg">'HB-D2 Besondere Lstg Bund'!$F$5:$G$5</definedName>
    <definedName name="Link_StBC1_Grundlstg">'StB-C1 Grundlstg'!$F$5</definedName>
    <definedName name="Link_StBD1_BesLstg">'StB-D1 Besondere Lstg'!$F$5:$G$5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 r="N13" i="25" l="1"/>
  <c r="J123" i="24"/>
  <c r="K91" i="25" l="1"/>
  <c r="K94" i="25"/>
  <c r="K88" i="25"/>
  <c r="K85" i="25"/>
  <c r="K76" i="25"/>
  <c r="K40" i="25"/>
  <c r="K42" i="25"/>
  <c r="B48" i="26" l="1"/>
  <c r="B46" i="26"/>
  <c r="B44" i="26"/>
  <c r="B3" i="26"/>
  <c r="B49" i="26" l="1"/>
  <c r="C47" i="26"/>
  <c r="B47" i="26"/>
  <c r="C45" i="26"/>
  <c r="B45" i="26"/>
  <c r="C43" i="26"/>
  <c r="B43" i="26"/>
  <c r="C40" i="26"/>
  <c r="C37" i="26"/>
  <c r="C15" i="26"/>
  <c r="C14" i="26"/>
  <c r="C12" i="26"/>
  <c r="C11" i="26"/>
  <c r="F3" i="26"/>
  <c r="E3" i="26"/>
  <c r="D3" i="26"/>
  <c r="C3" i="26"/>
  <c r="A6" i="16" l="1"/>
  <c r="A5" i="16"/>
  <c r="A16" i="8" l="1"/>
  <c r="A14" i="8"/>
  <c r="J92" i="17" l="1"/>
  <c r="J88" i="8"/>
  <c r="J86" i="17"/>
  <c r="J98" i="17"/>
  <c r="J94" i="8"/>
  <c r="J95" i="17"/>
  <c r="J91" i="8"/>
  <c r="M13" i="17"/>
  <c r="A15" i="8"/>
  <c r="A13" i="8"/>
  <c r="A16" i="24"/>
  <c r="J82" i="8"/>
  <c r="M13" i="8"/>
  <c r="J89" i="17" l="1"/>
  <c r="I41" i="11" l="1"/>
  <c r="A20" i="11" s="1"/>
  <c r="G44" i="11"/>
  <c r="A21" i="11"/>
  <c r="J197" i="24" l="1"/>
  <c r="J193" i="24"/>
  <c r="J184" i="24"/>
  <c r="J175" i="24"/>
  <c r="J180" i="24"/>
  <c r="J85" i="8" l="1"/>
  <c r="J23" i="17" l="1"/>
  <c r="J21" i="17"/>
  <c r="J19" i="17"/>
  <c r="J19" i="8"/>
  <c r="J23" i="8"/>
  <c r="J21" i="8"/>
  <c r="J19" i="24"/>
  <c r="J28" i="24"/>
  <c r="J24" i="24"/>
  <c r="M15" i="24"/>
  <c r="G33" i="11"/>
  <c r="G29" i="11"/>
  <c r="K141" i="25" l="1"/>
  <c r="K143" i="25"/>
  <c r="K128" i="25"/>
  <c r="K126" i="25"/>
  <c r="K130" i="25"/>
  <c r="K70" i="25"/>
  <c r="K68" i="25"/>
  <c r="K66" i="25"/>
  <c r="G39" i="11"/>
  <c r="G47" i="11"/>
  <c r="O52" i="12" l="1"/>
  <c r="J213" i="24"/>
  <c r="J62" i="24"/>
  <c r="J58" i="24"/>
  <c r="J55" i="24"/>
  <c r="J49" i="24"/>
  <c r="J46" i="24"/>
  <c r="J40" i="24"/>
  <c r="E7" i="4" l="1"/>
  <c r="J30" i="17" l="1"/>
  <c r="J32" i="17"/>
  <c r="J34" i="17"/>
  <c r="J36" i="17"/>
  <c r="J38" i="17"/>
  <c r="J40" i="17"/>
  <c r="P76" i="9" l="1"/>
  <c r="O76" i="9"/>
  <c r="K76" i="9"/>
  <c r="P47" i="9"/>
  <c r="O47" i="9"/>
  <c r="K47" i="9"/>
  <c r="P34" i="9"/>
  <c r="O34" i="9"/>
  <c r="K34" i="9" s="1"/>
  <c r="P36" i="9"/>
  <c r="O36" i="9"/>
  <c r="K36" i="9"/>
  <c r="J70" i="8" l="1"/>
  <c r="J40" i="8"/>
  <c r="J38" i="8"/>
  <c r="J36" i="8"/>
  <c r="J34" i="8"/>
  <c r="J32" i="8"/>
  <c r="J30" i="8"/>
  <c r="A12" i="6" l="1"/>
  <c r="D131" i="12" l="1"/>
  <c r="D130" i="12"/>
  <c r="D129" i="12"/>
  <c r="P3" i="25" l="1"/>
  <c r="P3" i="9"/>
  <c r="A15" i="24" l="1"/>
  <c r="A18" i="12" l="1"/>
  <c r="A17" i="12"/>
  <c r="A71" i="12"/>
  <c r="A72" i="12"/>
  <c r="A73" i="12"/>
  <c r="A70" i="12"/>
  <c r="A60" i="12"/>
  <c r="A28" i="12"/>
  <c r="A52" i="12"/>
  <c r="A50" i="12"/>
  <c r="A14" i="16"/>
  <c r="A33" i="12"/>
  <c r="A13" i="16"/>
  <c r="A13" i="11"/>
  <c r="A12" i="11"/>
  <c r="A17" i="16"/>
  <c r="A16" i="16"/>
  <c r="A11" i="11"/>
  <c r="C27" i="13" l="1"/>
  <c r="C26" i="13"/>
  <c r="C24" i="13"/>
  <c r="C23" i="13"/>
  <c r="C22" i="13"/>
  <c r="C20" i="13"/>
  <c r="C19" i="13"/>
  <c r="C18" i="13"/>
  <c r="C17" i="13"/>
  <c r="D123" i="12"/>
  <c r="D121" i="12"/>
  <c r="D119" i="12"/>
  <c r="D117" i="12"/>
  <c r="D115" i="12"/>
  <c r="D113" i="12"/>
  <c r="D111" i="12"/>
  <c r="D109" i="12"/>
  <c r="D107" i="12"/>
  <c r="F8" i="12" l="1"/>
  <c r="B2" i="23" l="1"/>
  <c r="B2" i="13"/>
  <c r="B2" i="18"/>
  <c r="B2" i="9"/>
  <c r="B2" i="25"/>
  <c r="B2" i="17"/>
  <c r="B2" i="8"/>
  <c r="B2" i="24"/>
  <c r="B2" i="6"/>
  <c r="B2" i="11"/>
  <c r="F2" i="11"/>
  <c r="B2" i="12"/>
  <c r="I2" i="12"/>
  <c r="D133" i="12"/>
  <c r="G16" i="23"/>
  <c r="I16" i="23"/>
  <c r="I139" i="12"/>
  <c r="C141" i="12" s="1"/>
  <c r="D92" i="12" l="1"/>
  <c r="M14" i="13" s="1"/>
  <c r="C95" i="12"/>
  <c r="O14" i="13" s="1"/>
  <c r="E16" i="23" s="1"/>
  <c r="D62" i="12"/>
  <c r="D61" i="12"/>
  <c r="D23" i="12"/>
  <c r="D22" i="12"/>
  <c r="T110" i="12" l="1"/>
  <c r="O82" i="12" s="1"/>
  <c r="T107" i="12"/>
  <c r="O78" i="12" s="1"/>
  <c r="P24" i="18" l="1"/>
  <c r="O24" i="18"/>
  <c r="K24" i="18"/>
  <c r="C107" i="12" l="1"/>
  <c r="K76" i="18" l="1"/>
  <c r="K61" i="18"/>
  <c r="K31" i="18"/>
  <c r="K80" i="18"/>
  <c r="K78" i="18"/>
  <c r="K71" i="18"/>
  <c r="K69" i="18"/>
  <c r="K67" i="18"/>
  <c r="K65" i="18"/>
  <c r="K56" i="18"/>
  <c r="K54" i="18"/>
  <c r="K52" i="18"/>
  <c r="K50" i="18"/>
  <c r="K48" i="18"/>
  <c r="K41" i="18"/>
  <c r="K39" i="18"/>
  <c r="K37" i="18"/>
  <c r="K35" i="18"/>
  <c r="K33" i="18"/>
  <c r="K26" i="18"/>
  <c r="K80" i="9"/>
  <c r="K78" i="9"/>
  <c r="K60" i="9"/>
  <c r="K58" i="9"/>
  <c r="K96" i="9"/>
  <c r="K85" i="9"/>
  <c r="K65" i="9"/>
  <c r="K56" i="9"/>
  <c r="K100" i="9"/>
  <c r="K98" i="9"/>
  <c r="K69" i="9"/>
  <c r="K67" i="9"/>
  <c r="K51" i="9"/>
  <c r="K40" i="9"/>
  <c r="K38" i="9"/>
  <c r="K18" i="9"/>
  <c r="K16" i="9"/>
  <c r="D27" i="12" l="1"/>
  <c r="N12" i="13" l="1"/>
  <c r="I95" i="12"/>
  <c r="D32" i="12" l="1"/>
  <c r="N50" i="12" l="1"/>
  <c r="M50" i="12"/>
  <c r="O50" i="12" l="1"/>
  <c r="I15" i="13" s="1"/>
  <c r="D54" i="12" l="1"/>
  <c r="B14" i="13"/>
  <c r="I61" i="12"/>
  <c r="M17" i="12"/>
  <c r="N17" i="12"/>
  <c r="O14" i="18" l="1"/>
  <c r="K14" i="18" s="1"/>
  <c r="B51" i="11" l="1"/>
  <c r="D7" i="23" l="1"/>
  <c r="D6" i="23"/>
  <c r="B6" i="23"/>
  <c r="H5" i="23"/>
  <c r="G5" i="23"/>
  <c r="D5" i="23"/>
  <c r="B5" i="23"/>
  <c r="D8" i="23"/>
  <c r="H3" i="23"/>
  <c r="G3" i="23"/>
  <c r="G2" i="23"/>
  <c r="D7" i="13"/>
  <c r="D6" i="13"/>
  <c r="B6" i="13"/>
  <c r="K5" i="13"/>
  <c r="J5" i="13"/>
  <c r="D5" i="13"/>
  <c r="B5" i="13"/>
  <c r="D8" i="13"/>
  <c r="K3" i="13"/>
  <c r="J3" i="13"/>
  <c r="J2" i="13"/>
  <c r="F7" i="12"/>
  <c r="F6" i="12"/>
  <c r="B6" i="12"/>
  <c r="J5" i="12"/>
  <c r="I5" i="12"/>
  <c r="F5" i="12"/>
  <c r="B5" i="12"/>
  <c r="J3" i="12"/>
  <c r="I3" i="12"/>
  <c r="F7" i="18"/>
  <c r="B7" i="18"/>
  <c r="F6" i="18"/>
  <c r="B6" i="18"/>
  <c r="J5" i="18"/>
  <c r="H5" i="18"/>
  <c r="F5" i="18"/>
  <c r="B5" i="18"/>
  <c r="F8" i="18"/>
  <c r="B8" i="18"/>
  <c r="J3" i="18"/>
  <c r="H3" i="18"/>
  <c r="H2" i="18"/>
  <c r="F7" i="9"/>
  <c r="B7" i="9"/>
  <c r="F6" i="9"/>
  <c r="B6" i="9"/>
  <c r="J5" i="9"/>
  <c r="H5" i="9"/>
  <c r="F5" i="9"/>
  <c r="B5" i="9"/>
  <c r="F8" i="9"/>
  <c r="B8" i="9"/>
  <c r="J3" i="9"/>
  <c r="H3" i="9"/>
  <c r="H2" i="9"/>
  <c r="F7" i="25"/>
  <c r="B7" i="25"/>
  <c r="F6" i="25"/>
  <c r="B6" i="25"/>
  <c r="J5" i="25"/>
  <c r="H5" i="25"/>
  <c r="F5" i="25"/>
  <c r="B5" i="25"/>
  <c r="F8" i="25"/>
  <c r="B8" i="25"/>
  <c r="J3" i="25"/>
  <c r="H3" i="25"/>
  <c r="H2" i="25"/>
  <c r="G2" i="17"/>
  <c r="G2" i="8"/>
  <c r="G2" i="24"/>
  <c r="F7" i="17"/>
  <c r="B7" i="17"/>
  <c r="F6" i="17"/>
  <c r="B6" i="17"/>
  <c r="I5" i="17"/>
  <c r="G5" i="17"/>
  <c r="F5" i="17"/>
  <c r="B5" i="17"/>
  <c r="F8" i="17"/>
  <c r="B8" i="17"/>
  <c r="I3" i="17"/>
  <c r="G3" i="17"/>
  <c r="F7" i="8"/>
  <c r="B7" i="8"/>
  <c r="F6" i="8"/>
  <c r="B6" i="8"/>
  <c r="I5" i="8"/>
  <c r="G5" i="8"/>
  <c r="F5" i="8"/>
  <c r="B5" i="8"/>
  <c r="F8" i="8"/>
  <c r="B8" i="8"/>
  <c r="I3" i="8"/>
  <c r="G3" i="8"/>
  <c r="B8" i="24"/>
  <c r="B5" i="24"/>
  <c r="B7" i="24"/>
  <c r="B6" i="24"/>
  <c r="F6" i="24"/>
  <c r="F5" i="24"/>
  <c r="F7" i="24"/>
  <c r="F8" i="24"/>
  <c r="D5" i="6" l="1"/>
  <c r="D6" i="6"/>
  <c r="B5" i="6"/>
  <c r="B6" i="6"/>
  <c r="D6" i="11" l="1"/>
  <c r="C6" i="11"/>
  <c r="B6" i="11"/>
  <c r="E5" i="11"/>
  <c r="D5" i="11"/>
  <c r="C5" i="11"/>
  <c r="B5" i="11"/>
  <c r="F5" i="11"/>
  <c r="E6" i="11" l="1"/>
  <c r="I20" i="23" l="1"/>
  <c r="I22" i="23"/>
  <c r="I23" i="23"/>
  <c r="I24" i="23"/>
  <c r="I26" i="23"/>
  <c r="I27" i="23"/>
  <c r="I28" i="23"/>
  <c r="I35" i="23" l="1"/>
  <c r="I36" i="23"/>
  <c r="I37" i="23"/>
  <c r="I38" i="23"/>
  <c r="I39" i="23"/>
  <c r="I34" i="23"/>
  <c r="M70" i="12" l="1"/>
  <c r="N70" i="12"/>
  <c r="O72" i="12"/>
  <c r="O71" i="12"/>
  <c r="P63" i="18" l="1"/>
  <c r="O63" i="18"/>
  <c r="K63" i="18" s="1"/>
  <c r="L40" i="12" l="1"/>
  <c r="O40" i="12" s="1"/>
  <c r="L41" i="12"/>
  <c r="O41" i="12" s="1"/>
  <c r="M39" i="12" l="1"/>
  <c r="L3" i="16"/>
  <c r="P78" i="18" l="1"/>
  <c r="O78" i="18"/>
  <c r="P76" i="18"/>
  <c r="O76" i="18"/>
  <c r="P80" i="18"/>
  <c r="O80" i="18"/>
  <c r="P65" i="18"/>
  <c r="O65" i="18"/>
  <c r="P71" i="18"/>
  <c r="O71" i="18"/>
  <c r="P69" i="18"/>
  <c r="O69" i="18"/>
  <c r="P67" i="18"/>
  <c r="O67" i="18"/>
  <c r="P61" i="18"/>
  <c r="O61" i="18"/>
  <c r="P56" i="18"/>
  <c r="O56" i="18"/>
  <c r="P54" i="18"/>
  <c r="O54" i="18"/>
  <c r="P52" i="18"/>
  <c r="O52" i="18"/>
  <c r="P50" i="18"/>
  <c r="O50" i="18"/>
  <c r="P48" i="18"/>
  <c r="O48" i="18"/>
  <c r="P46" i="18"/>
  <c r="O46" i="18"/>
  <c r="K46" i="18" s="1"/>
  <c r="P41" i="18"/>
  <c r="O41" i="18"/>
  <c r="P39" i="18"/>
  <c r="O39" i="18"/>
  <c r="P37" i="18"/>
  <c r="O37" i="18"/>
  <c r="P35" i="18"/>
  <c r="O35" i="18"/>
  <c r="P33" i="18"/>
  <c r="O33" i="18"/>
  <c r="P31" i="18"/>
  <c r="O31" i="18"/>
  <c r="P26" i="18"/>
  <c r="O26" i="18"/>
  <c r="P22" i="18"/>
  <c r="O22" i="18"/>
  <c r="K22" i="18" s="1"/>
  <c r="P20" i="18"/>
  <c r="O20" i="18"/>
  <c r="K20" i="18" s="1"/>
  <c r="P18" i="18"/>
  <c r="O18" i="18"/>
  <c r="K18" i="18" s="1"/>
  <c r="P16" i="18"/>
  <c r="O16" i="18"/>
  <c r="K16" i="18" s="1"/>
  <c r="P14" i="18"/>
  <c r="P91" i="9"/>
  <c r="O91" i="9"/>
  <c r="K91" i="9" s="1"/>
  <c r="P100" i="9"/>
  <c r="O100" i="9"/>
  <c r="P98" i="9"/>
  <c r="O98" i="9"/>
  <c r="P96" i="9"/>
  <c r="O96" i="9"/>
  <c r="P89" i="9"/>
  <c r="O89" i="9"/>
  <c r="K89" i="9" s="1"/>
  <c r="P87" i="9"/>
  <c r="O87" i="9"/>
  <c r="K87" i="9" s="1"/>
  <c r="P85" i="9"/>
  <c r="O85" i="9"/>
  <c r="P80" i="9"/>
  <c r="O80" i="9"/>
  <c r="P78" i="9"/>
  <c r="O78" i="9"/>
  <c r="P74" i="9"/>
  <c r="O74" i="9"/>
  <c r="K74" i="9" s="1"/>
  <c r="P69" i="9"/>
  <c r="O69" i="9"/>
  <c r="P67" i="9"/>
  <c r="O67" i="9"/>
  <c r="P65" i="9"/>
  <c r="O65" i="9"/>
  <c r="P60" i="9"/>
  <c r="O60" i="9"/>
  <c r="P58" i="9"/>
  <c r="O58" i="9"/>
  <c r="P56" i="9"/>
  <c r="O56" i="9"/>
  <c r="P51" i="9"/>
  <c r="O51" i="9"/>
  <c r="P49" i="9"/>
  <c r="O49" i="9"/>
  <c r="K49" i="9" s="1"/>
  <c r="P45" i="9"/>
  <c r="O45" i="9"/>
  <c r="K45" i="9" s="1"/>
  <c r="P40" i="9"/>
  <c r="O40" i="9"/>
  <c r="P38" i="9"/>
  <c r="O38" i="9"/>
  <c r="P32" i="9"/>
  <c r="O32" i="9"/>
  <c r="K32" i="9" s="1"/>
  <c r="P27" i="9"/>
  <c r="O27" i="9"/>
  <c r="K27" i="9" s="1"/>
  <c r="P25" i="9"/>
  <c r="O25" i="9"/>
  <c r="K25" i="9" s="1"/>
  <c r="P23" i="9"/>
  <c r="O23" i="9"/>
  <c r="K23" i="9" s="1"/>
  <c r="G22" i="23"/>
  <c r="G23" i="23"/>
  <c r="G24" i="23"/>
  <c r="G26" i="23"/>
  <c r="G27" i="23"/>
  <c r="G28" i="23"/>
  <c r="C19" i="23"/>
  <c r="C20" i="23"/>
  <c r="C21" i="23"/>
  <c r="C23" i="23"/>
  <c r="C24" i="23"/>
  <c r="C25" i="23"/>
  <c r="C27" i="23"/>
  <c r="C28" i="23"/>
  <c r="C18" i="23"/>
  <c r="P18" i="9"/>
  <c r="O18" i="9"/>
  <c r="P16" i="9"/>
  <c r="O16" i="9"/>
  <c r="O14" i="9"/>
  <c r="P14" i="9"/>
  <c r="I23" i="16" l="1"/>
  <c r="J27" i="17" s="1"/>
  <c r="I22" i="16"/>
  <c r="K16" i="11" s="1"/>
  <c r="I27" i="8" l="1"/>
  <c r="J27" i="8"/>
  <c r="I115" i="17"/>
  <c r="J115" i="17"/>
  <c r="I101" i="17"/>
  <c r="D78" i="12"/>
  <c r="D82" i="12"/>
  <c r="I27" i="17"/>
  <c r="I42" i="17"/>
  <c r="J42" i="17"/>
  <c r="B11" i="9"/>
  <c r="J42" i="8"/>
  <c r="J79" i="8"/>
  <c r="I42" i="8"/>
  <c r="I79" i="8"/>
  <c r="I97" i="8"/>
  <c r="I63" i="8"/>
  <c r="B11" i="18"/>
  <c r="H74" i="12"/>
  <c r="H81" i="12"/>
  <c r="H77" i="12"/>
  <c r="H84" i="12"/>
  <c r="H80" i="12"/>
  <c r="H76" i="12"/>
  <c r="H83" i="12"/>
  <c r="H79" i="12"/>
  <c r="H75" i="12"/>
  <c r="H82" i="12"/>
  <c r="H78" i="12"/>
  <c r="H11" i="17"/>
  <c r="H11" i="8"/>
  <c r="K71" i="9"/>
  <c r="R109" i="12" s="1"/>
  <c r="K102" i="9"/>
  <c r="R112" i="12" s="1"/>
  <c r="I106" i="8"/>
  <c r="I111" i="8"/>
  <c r="K82" i="9"/>
  <c r="R110" i="12" s="1"/>
  <c r="J121" i="8"/>
  <c r="K42" i="9"/>
  <c r="R106" i="12" s="1"/>
  <c r="K53" i="9"/>
  <c r="R107" i="12" s="1"/>
  <c r="K29" i="9"/>
  <c r="R105" i="12" s="1"/>
  <c r="I116" i="8"/>
  <c r="I121" i="8"/>
  <c r="K62" i="9"/>
  <c r="R108" i="12" s="1"/>
  <c r="I122" i="17"/>
  <c r="I127" i="17"/>
  <c r="K58" i="18"/>
  <c r="S110" i="12" s="1"/>
  <c r="I65" i="17"/>
  <c r="I81" i="17"/>
  <c r="I110" i="17"/>
  <c r="K43" i="18"/>
  <c r="S108" i="12" s="1"/>
  <c r="J106" i="8"/>
  <c r="J116" i="8"/>
  <c r="I117" i="17" l="1"/>
  <c r="I83" i="17"/>
  <c r="J25" i="13"/>
  <c r="I5" i="24"/>
  <c r="I3" i="24"/>
  <c r="G5" i="24"/>
  <c r="G3" i="24"/>
  <c r="F27" i="16"/>
  <c r="O3" i="24"/>
  <c r="F24" i="16" s="1"/>
  <c r="K173" i="25"/>
  <c r="K171" i="25"/>
  <c r="K166" i="25"/>
  <c r="K164" i="25"/>
  <c r="K162" i="25"/>
  <c r="K160" i="25"/>
  <c r="K158" i="25"/>
  <c r="K156" i="25"/>
  <c r="K154" i="25"/>
  <c r="K152" i="25"/>
  <c r="K147" i="25"/>
  <c r="K145" i="25"/>
  <c r="K139" i="25"/>
  <c r="K134" i="25"/>
  <c r="K132" i="25"/>
  <c r="K123" i="25"/>
  <c r="K118" i="25"/>
  <c r="K116" i="25"/>
  <c r="K114" i="25"/>
  <c r="K112" i="25"/>
  <c r="K110" i="25"/>
  <c r="K108" i="25"/>
  <c r="K103" i="25"/>
  <c r="K101" i="25"/>
  <c r="K74" i="25"/>
  <c r="K72" i="25"/>
  <c r="K64" i="25"/>
  <c r="K59" i="25"/>
  <c r="K57" i="25"/>
  <c r="K55" i="25"/>
  <c r="K53" i="25"/>
  <c r="K51" i="25"/>
  <c r="K49" i="25"/>
  <c r="K47" i="25"/>
  <c r="K37" i="25"/>
  <c r="K34" i="25"/>
  <c r="K32" i="25"/>
  <c r="K30" i="25"/>
  <c r="K28" i="25"/>
  <c r="K26" i="25"/>
  <c r="K21" i="25"/>
  <c r="K19" i="25"/>
  <c r="K17" i="25"/>
  <c r="K14" i="25"/>
  <c r="J217" i="24"/>
  <c r="J206" i="24"/>
  <c r="J167" i="24"/>
  <c r="J163" i="24"/>
  <c r="J159" i="24"/>
  <c r="J152" i="24"/>
  <c r="J149" i="24"/>
  <c r="J117" i="24"/>
  <c r="J114" i="24"/>
  <c r="J110" i="24"/>
  <c r="J104" i="24"/>
  <c r="J101" i="24"/>
  <c r="J98" i="24"/>
  <c r="J95" i="24"/>
  <c r="J74" i="24"/>
  <c r="J69" i="24"/>
  <c r="I21" i="16" l="1"/>
  <c r="L3" i="4"/>
  <c r="F33" i="16" s="1"/>
  <c r="M3" i="23"/>
  <c r="F32" i="16" s="1"/>
  <c r="S3" i="13"/>
  <c r="F31" i="16" s="1"/>
  <c r="P3" i="12"/>
  <c r="F30" i="16" s="1"/>
  <c r="P3" i="18"/>
  <c r="F29" i="16" s="1"/>
  <c r="F28" i="16"/>
  <c r="O3" i="17"/>
  <c r="F26" i="16" s="1"/>
  <c r="O3" i="8"/>
  <c r="F25" i="16" s="1"/>
  <c r="N3" i="6"/>
  <c r="F23" i="16" s="1"/>
  <c r="L3" i="11"/>
  <c r="F22" i="16" s="1"/>
  <c r="F58" i="26" l="1"/>
  <c r="F62" i="26"/>
  <c r="F66" i="26"/>
  <c r="F70" i="26"/>
  <c r="F74" i="26"/>
  <c r="F78" i="26"/>
  <c r="F82" i="26"/>
  <c r="F86" i="26"/>
  <c r="F90" i="26"/>
  <c r="F94" i="26"/>
  <c r="F98" i="26"/>
  <c r="F102" i="26"/>
  <c r="F106" i="26"/>
  <c r="F110" i="26"/>
  <c r="F114" i="26"/>
  <c r="F118" i="26"/>
  <c r="F122" i="26"/>
  <c r="F126" i="26"/>
  <c r="F130" i="26"/>
  <c r="F134" i="26"/>
  <c r="F138" i="26"/>
  <c r="F142" i="26"/>
  <c r="F146" i="26"/>
  <c r="F150" i="26"/>
  <c r="F154" i="26"/>
  <c r="F158" i="26"/>
  <c r="F162" i="26"/>
  <c r="F166" i="26"/>
  <c r="F170" i="26"/>
  <c r="F174" i="26"/>
  <c r="F178" i="26"/>
  <c r="F182" i="26"/>
  <c r="F186" i="26"/>
  <c r="F190" i="26"/>
  <c r="F194" i="26"/>
  <c r="F198" i="26"/>
  <c r="F202" i="26"/>
  <c r="F206" i="26"/>
  <c r="F210" i="26"/>
  <c r="F214" i="26"/>
  <c r="F218" i="26"/>
  <c r="F222" i="26"/>
  <c r="F226" i="26"/>
  <c r="F230" i="26"/>
  <c r="F234" i="26"/>
  <c r="F238" i="26"/>
  <c r="F242" i="26"/>
  <c r="F246" i="26"/>
  <c r="F250" i="26"/>
  <c r="F254" i="26"/>
  <c r="F258" i="26"/>
  <c r="F262" i="26"/>
  <c r="F266" i="26"/>
  <c r="E58" i="26"/>
  <c r="E62" i="26"/>
  <c r="E66" i="26"/>
  <c r="E70" i="26"/>
  <c r="E74" i="26"/>
  <c r="E78" i="26"/>
  <c r="E82" i="26"/>
  <c r="E86" i="26"/>
  <c r="E90" i="26"/>
  <c r="E94" i="26"/>
  <c r="E98" i="26"/>
  <c r="E102" i="26"/>
  <c r="E106" i="26"/>
  <c r="E110" i="26"/>
  <c r="E114" i="26"/>
  <c r="E118" i="26"/>
  <c r="E122" i="26"/>
  <c r="E126" i="26"/>
  <c r="E130" i="26"/>
  <c r="E134" i="26"/>
  <c r="E138" i="26"/>
  <c r="E142" i="26"/>
  <c r="E146" i="26"/>
  <c r="E150" i="26"/>
  <c r="E154" i="26"/>
  <c r="E158" i="26"/>
  <c r="E162" i="26"/>
  <c r="E166" i="26"/>
  <c r="E170" i="26"/>
  <c r="E174" i="26"/>
  <c r="E178" i="26"/>
  <c r="E182" i="26"/>
  <c r="F59" i="26"/>
  <c r="F63" i="26"/>
  <c r="F67" i="26"/>
  <c r="F71" i="26"/>
  <c r="F75" i="26"/>
  <c r="F79" i="26"/>
  <c r="F83" i="26"/>
  <c r="F87" i="26"/>
  <c r="F91" i="26"/>
  <c r="F95" i="26"/>
  <c r="F99" i="26"/>
  <c r="F103" i="26"/>
  <c r="F107" i="26"/>
  <c r="F111" i="26"/>
  <c r="F115" i="26"/>
  <c r="F119" i="26"/>
  <c r="F123" i="26"/>
  <c r="F127" i="26"/>
  <c r="F131" i="26"/>
  <c r="F135" i="26"/>
  <c r="F139" i="26"/>
  <c r="F143" i="26"/>
  <c r="F147" i="26"/>
  <c r="F151" i="26"/>
  <c r="F155" i="26"/>
  <c r="F159" i="26"/>
  <c r="F163" i="26"/>
  <c r="F167" i="26"/>
  <c r="F171" i="26"/>
  <c r="F175" i="26"/>
  <c r="F179" i="26"/>
  <c r="F183" i="26"/>
  <c r="F187" i="26"/>
  <c r="F191" i="26"/>
  <c r="F195" i="26"/>
  <c r="F199" i="26"/>
  <c r="F203" i="26"/>
  <c r="F207" i="26"/>
  <c r="F211" i="26"/>
  <c r="F215" i="26"/>
  <c r="F219" i="26"/>
  <c r="F223" i="26"/>
  <c r="F227" i="26"/>
  <c r="F231" i="26"/>
  <c r="F235" i="26"/>
  <c r="F239" i="26"/>
  <c r="F243" i="26"/>
  <c r="F247" i="26"/>
  <c r="F251" i="26"/>
  <c r="F255" i="26"/>
  <c r="F259" i="26"/>
  <c r="F263" i="26"/>
  <c r="F267" i="26"/>
  <c r="E59" i="26"/>
  <c r="E63" i="26"/>
  <c r="E67" i="26"/>
  <c r="E71" i="26"/>
  <c r="E75" i="26"/>
  <c r="E79" i="26"/>
  <c r="E83" i="26"/>
  <c r="E87" i="26"/>
  <c r="E91" i="26"/>
  <c r="E95" i="26"/>
  <c r="E99" i="26"/>
  <c r="E103" i="26"/>
  <c r="E107" i="26"/>
  <c r="E111" i="26"/>
  <c r="E115" i="26"/>
  <c r="E119" i="26"/>
  <c r="E123" i="26"/>
  <c r="E127" i="26"/>
  <c r="E131" i="26"/>
  <c r="E135" i="26"/>
  <c r="E139" i="26"/>
  <c r="E143" i="26"/>
  <c r="E147" i="26"/>
  <c r="E151" i="26"/>
  <c r="E155" i="26"/>
  <c r="E159" i="26"/>
  <c r="E163" i="26"/>
  <c r="E167" i="26"/>
  <c r="E171" i="26"/>
  <c r="E175" i="26"/>
  <c r="E179" i="26"/>
  <c r="E183" i="26"/>
  <c r="F60" i="26"/>
  <c r="F64" i="26"/>
  <c r="F68" i="26"/>
  <c r="F72" i="26"/>
  <c r="F76" i="26"/>
  <c r="F80" i="26"/>
  <c r="F84" i="26"/>
  <c r="F88" i="26"/>
  <c r="F92" i="26"/>
  <c r="F96" i="26"/>
  <c r="F100" i="26"/>
  <c r="F104" i="26"/>
  <c r="F108" i="26"/>
  <c r="F112" i="26"/>
  <c r="F116" i="26"/>
  <c r="F120" i="26"/>
  <c r="F124" i="26"/>
  <c r="F128" i="26"/>
  <c r="F132" i="26"/>
  <c r="F136" i="26"/>
  <c r="F140" i="26"/>
  <c r="F144" i="26"/>
  <c r="F148" i="26"/>
  <c r="F152" i="26"/>
  <c r="F156" i="26"/>
  <c r="F160" i="26"/>
  <c r="F164" i="26"/>
  <c r="F168" i="26"/>
  <c r="F172" i="26"/>
  <c r="F176" i="26"/>
  <c r="F180" i="26"/>
  <c r="F184" i="26"/>
  <c r="F188" i="26"/>
  <c r="F192" i="26"/>
  <c r="F196" i="26"/>
  <c r="F200" i="26"/>
  <c r="F204" i="26"/>
  <c r="F208" i="26"/>
  <c r="F212" i="26"/>
  <c r="F216" i="26"/>
  <c r="F220" i="26"/>
  <c r="F224" i="26"/>
  <c r="F228" i="26"/>
  <c r="F232" i="26"/>
  <c r="F236" i="26"/>
  <c r="F240" i="26"/>
  <c r="F244" i="26"/>
  <c r="F248" i="26"/>
  <c r="F252" i="26"/>
  <c r="F256" i="26"/>
  <c r="F260" i="26"/>
  <c r="F264" i="26"/>
  <c r="F268" i="26"/>
  <c r="E60" i="26"/>
  <c r="E64" i="26"/>
  <c r="E68" i="26"/>
  <c r="E72" i="26"/>
  <c r="E76" i="26"/>
  <c r="E80" i="26"/>
  <c r="E84" i="26"/>
  <c r="E88" i="26"/>
  <c r="E92" i="26"/>
  <c r="E96" i="26"/>
  <c r="E100" i="26"/>
  <c r="E104" i="26"/>
  <c r="E108" i="26"/>
  <c r="E112" i="26"/>
  <c r="E116" i="26"/>
  <c r="E120" i="26"/>
  <c r="E124" i="26"/>
  <c r="E128" i="26"/>
  <c r="E132" i="26"/>
  <c r="E136" i="26"/>
  <c r="E140" i="26"/>
  <c r="E144" i="26"/>
  <c r="E148" i="26"/>
  <c r="E152" i="26"/>
  <c r="E156" i="26"/>
  <c r="E160" i="26"/>
  <c r="E164" i="26"/>
  <c r="E168" i="26"/>
  <c r="E172" i="26"/>
  <c r="E176" i="26"/>
  <c r="E180" i="26"/>
  <c r="E184" i="26"/>
  <c r="F61" i="26"/>
  <c r="F77" i="26"/>
  <c r="F93" i="26"/>
  <c r="F109" i="26"/>
  <c r="F125" i="26"/>
  <c r="F141" i="26"/>
  <c r="F157" i="26"/>
  <c r="F173" i="26"/>
  <c r="F189" i="26"/>
  <c r="F205" i="26"/>
  <c r="F221" i="26"/>
  <c r="F237" i="26"/>
  <c r="F253" i="26"/>
  <c r="F269" i="26"/>
  <c r="E73" i="26"/>
  <c r="E89" i="26"/>
  <c r="E105" i="26"/>
  <c r="E121" i="26"/>
  <c r="E137" i="26"/>
  <c r="E153" i="26"/>
  <c r="E169" i="26"/>
  <c r="E185" i="26"/>
  <c r="E189" i="26"/>
  <c r="E193" i="26"/>
  <c r="E197" i="26"/>
  <c r="E201" i="26"/>
  <c r="E205" i="26"/>
  <c r="E209" i="26"/>
  <c r="E213" i="26"/>
  <c r="E217" i="26"/>
  <c r="E221" i="26"/>
  <c r="E225" i="26"/>
  <c r="E229" i="26"/>
  <c r="E233" i="26"/>
  <c r="E237" i="26"/>
  <c r="E241" i="26"/>
  <c r="E245" i="26"/>
  <c r="E249" i="26"/>
  <c r="E253" i="26"/>
  <c r="E257" i="26"/>
  <c r="E261" i="26"/>
  <c r="E265" i="26"/>
  <c r="E269" i="26"/>
  <c r="D61" i="26"/>
  <c r="D65" i="26"/>
  <c r="D69" i="26"/>
  <c r="D73" i="26"/>
  <c r="D77" i="26"/>
  <c r="D81" i="26"/>
  <c r="D85" i="26"/>
  <c r="D89" i="26"/>
  <c r="D93" i="26"/>
  <c r="D97" i="26"/>
  <c r="D101" i="26"/>
  <c r="D105" i="26"/>
  <c r="D109" i="26"/>
  <c r="D113" i="26"/>
  <c r="D117" i="26"/>
  <c r="D121" i="26"/>
  <c r="D125" i="26"/>
  <c r="D129" i="26"/>
  <c r="D133" i="26"/>
  <c r="D137" i="26"/>
  <c r="D141" i="26"/>
  <c r="D145" i="26"/>
  <c r="D149" i="26"/>
  <c r="D153" i="26"/>
  <c r="D157" i="26"/>
  <c r="D161" i="26"/>
  <c r="D165" i="26"/>
  <c r="D169" i="26"/>
  <c r="D173" i="26"/>
  <c r="D177" i="26"/>
  <c r="D181" i="26"/>
  <c r="D185" i="26"/>
  <c r="D189" i="26"/>
  <c r="D193" i="26"/>
  <c r="D197" i="26"/>
  <c r="D201" i="26"/>
  <c r="D205" i="26"/>
  <c r="D209" i="26"/>
  <c r="D213" i="26"/>
  <c r="D217" i="26"/>
  <c r="D221" i="26"/>
  <c r="D225" i="26"/>
  <c r="F65" i="26"/>
  <c r="F81" i="26"/>
  <c r="F97" i="26"/>
  <c r="F113" i="26"/>
  <c r="F129" i="26"/>
  <c r="F145" i="26"/>
  <c r="F161" i="26"/>
  <c r="F177" i="26"/>
  <c r="F193" i="26"/>
  <c r="F209" i="26"/>
  <c r="F225" i="26"/>
  <c r="F241" i="26"/>
  <c r="F257" i="26"/>
  <c r="E61" i="26"/>
  <c r="E77" i="26"/>
  <c r="E93" i="26"/>
  <c r="E109" i="26"/>
  <c r="E125" i="26"/>
  <c r="E141" i="26"/>
  <c r="E157" i="26"/>
  <c r="E173" i="26"/>
  <c r="E186" i="26"/>
  <c r="E190" i="26"/>
  <c r="E194" i="26"/>
  <c r="E198" i="26"/>
  <c r="E202" i="26"/>
  <c r="E206" i="26"/>
  <c r="E210" i="26"/>
  <c r="E214" i="26"/>
  <c r="E218" i="26"/>
  <c r="E222" i="26"/>
  <c r="E226" i="26"/>
  <c r="E230" i="26"/>
  <c r="E234" i="26"/>
  <c r="E238" i="26"/>
  <c r="E242" i="26"/>
  <c r="E246" i="26"/>
  <c r="E250" i="26"/>
  <c r="E254" i="26"/>
  <c r="E258" i="26"/>
  <c r="E262" i="26"/>
  <c r="E266" i="26"/>
  <c r="D58" i="26"/>
  <c r="D62" i="26"/>
  <c r="D66" i="26"/>
  <c r="D70" i="26"/>
  <c r="D74" i="26"/>
  <c r="D78" i="26"/>
  <c r="D82" i="26"/>
  <c r="D86" i="26"/>
  <c r="D90" i="26"/>
  <c r="D94" i="26"/>
  <c r="D98" i="26"/>
  <c r="D102" i="26"/>
  <c r="D106" i="26"/>
  <c r="D110" i="26"/>
  <c r="D114" i="26"/>
  <c r="D118" i="26"/>
  <c r="D122" i="26"/>
  <c r="D126" i="26"/>
  <c r="D130" i="26"/>
  <c r="D134" i="26"/>
  <c r="D138" i="26"/>
  <c r="D142" i="26"/>
  <c r="D146" i="26"/>
  <c r="D150" i="26"/>
  <c r="D154" i="26"/>
  <c r="D158" i="26"/>
  <c r="D162" i="26"/>
  <c r="D166" i="26"/>
  <c r="D170" i="26"/>
  <c r="D174" i="26"/>
  <c r="D178" i="26"/>
  <c r="D182" i="26"/>
  <c r="D186" i="26"/>
  <c r="D190" i="26"/>
  <c r="D194" i="26"/>
  <c r="D198" i="26"/>
  <c r="D202" i="26"/>
  <c r="D206" i="26"/>
  <c r="D210" i="26"/>
  <c r="D214" i="26"/>
  <c r="D218" i="26"/>
  <c r="D222" i="26"/>
  <c r="D226" i="26"/>
  <c r="D230" i="26"/>
  <c r="F69" i="26"/>
  <c r="F85" i="26"/>
  <c r="F101" i="26"/>
  <c r="F117" i="26"/>
  <c r="F133" i="26"/>
  <c r="F149" i="26"/>
  <c r="F165" i="26"/>
  <c r="F181" i="26"/>
  <c r="F197" i="26"/>
  <c r="F213" i="26"/>
  <c r="F229" i="26"/>
  <c r="F245" i="26"/>
  <c r="F261" i="26"/>
  <c r="E65" i="26"/>
  <c r="E81" i="26"/>
  <c r="E97" i="26"/>
  <c r="E113" i="26"/>
  <c r="E129" i="26"/>
  <c r="E145" i="26"/>
  <c r="E161" i="26"/>
  <c r="E177" i="26"/>
  <c r="E187" i="26"/>
  <c r="E191" i="26"/>
  <c r="E195" i="26"/>
  <c r="E199" i="26"/>
  <c r="E203" i="26"/>
  <c r="E207" i="26"/>
  <c r="E211" i="26"/>
  <c r="E215" i="26"/>
  <c r="E219" i="26"/>
  <c r="E223" i="26"/>
  <c r="E227" i="26"/>
  <c r="E231" i="26"/>
  <c r="E235" i="26"/>
  <c r="E239" i="26"/>
  <c r="E243" i="26"/>
  <c r="E247" i="26"/>
  <c r="E251" i="26"/>
  <c r="E255" i="26"/>
  <c r="E259" i="26"/>
  <c r="E263" i="26"/>
  <c r="E267" i="26"/>
  <c r="D59" i="26"/>
  <c r="D63" i="26"/>
  <c r="D67" i="26"/>
  <c r="D71" i="26"/>
  <c r="D75" i="26"/>
  <c r="D79" i="26"/>
  <c r="D83" i="26"/>
  <c r="D87" i="26"/>
  <c r="D91" i="26"/>
  <c r="D95" i="26"/>
  <c r="D99" i="26"/>
  <c r="D103" i="26"/>
  <c r="D107" i="26"/>
  <c r="D111" i="26"/>
  <c r="D115" i="26"/>
  <c r="D119" i="26"/>
  <c r="D123" i="26"/>
  <c r="D127" i="26"/>
  <c r="D131" i="26"/>
  <c r="D135" i="26"/>
  <c r="D139" i="26"/>
  <c r="D143" i="26"/>
  <c r="D147" i="26"/>
  <c r="D151" i="26"/>
  <c r="D155" i="26"/>
  <c r="D159" i="26"/>
  <c r="D163" i="26"/>
  <c r="D167" i="26"/>
  <c r="D171" i="26"/>
  <c r="D175" i="26"/>
  <c r="D179" i="26"/>
  <c r="D183" i="26"/>
  <c r="D187" i="26"/>
  <c r="D191" i="26"/>
  <c r="D195" i="26"/>
  <c r="D199" i="26"/>
  <c r="D203" i="26"/>
  <c r="D207" i="26"/>
  <c r="D211" i="26"/>
  <c r="D215" i="26"/>
  <c r="D219" i="26"/>
  <c r="D223" i="26"/>
  <c r="D227" i="26"/>
  <c r="F73" i="26"/>
  <c r="F137" i="26"/>
  <c r="F201" i="26"/>
  <c r="F265" i="26"/>
  <c r="E117" i="26"/>
  <c r="E181" i="26"/>
  <c r="E200" i="26"/>
  <c r="E216" i="26"/>
  <c r="E232" i="26"/>
  <c r="E248" i="26"/>
  <c r="E264" i="26"/>
  <c r="D68" i="26"/>
  <c r="D84" i="26"/>
  <c r="D100" i="26"/>
  <c r="D116" i="26"/>
  <c r="D132" i="26"/>
  <c r="D148" i="26"/>
  <c r="D164" i="26"/>
  <c r="D180" i="26"/>
  <c r="D196" i="26"/>
  <c r="D212" i="26"/>
  <c r="D228" i="26"/>
  <c r="D233" i="26"/>
  <c r="D237" i="26"/>
  <c r="D241" i="26"/>
  <c r="D245" i="26"/>
  <c r="D249" i="26"/>
  <c r="D253" i="26"/>
  <c r="D257" i="26"/>
  <c r="D261" i="26"/>
  <c r="D265" i="26"/>
  <c r="D269" i="26"/>
  <c r="C61" i="26"/>
  <c r="C65" i="26"/>
  <c r="C69" i="26"/>
  <c r="C73" i="26"/>
  <c r="C77" i="26"/>
  <c r="C81" i="26"/>
  <c r="C85" i="26"/>
  <c r="C89" i="26"/>
  <c r="C93" i="26"/>
  <c r="C97" i="26"/>
  <c r="C101" i="26"/>
  <c r="C105" i="26"/>
  <c r="C109" i="26"/>
  <c r="C113" i="26"/>
  <c r="C117" i="26"/>
  <c r="C121" i="26"/>
  <c r="C125" i="26"/>
  <c r="C129" i="26"/>
  <c r="C133" i="26"/>
  <c r="C137" i="26"/>
  <c r="C141" i="26"/>
  <c r="C145" i="26"/>
  <c r="C149" i="26"/>
  <c r="C153" i="26"/>
  <c r="C157" i="26"/>
  <c r="C161" i="26"/>
  <c r="C165" i="26"/>
  <c r="C169" i="26"/>
  <c r="C173" i="26"/>
  <c r="C177" i="26"/>
  <c r="C181" i="26"/>
  <c r="C185" i="26"/>
  <c r="C189" i="26"/>
  <c r="C193" i="26"/>
  <c r="C197" i="26"/>
  <c r="C201" i="26"/>
  <c r="C205" i="26"/>
  <c r="C209" i="26"/>
  <c r="C213" i="26"/>
  <c r="C217" i="26"/>
  <c r="C221" i="26"/>
  <c r="C225" i="26"/>
  <c r="C229" i="26"/>
  <c r="C233" i="26"/>
  <c r="C237" i="26"/>
  <c r="C241" i="26"/>
  <c r="C245" i="26"/>
  <c r="C249" i="26"/>
  <c r="C253" i="26"/>
  <c r="C257" i="26"/>
  <c r="C261" i="26"/>
  <c r="C265" i="26"/>
  <c r="C269" i="26"/>
  <c r="B61" i="26"/>
  <c r="B65" i="26"/>
  <c r="B69" i="26"/>
  <c r="B73" i="26"/>
  <c r="B77" i="26"/>
  <c r="B81" i="26"/>
  <c r="B85" i="26"/>
  <c r="B89" i="26"/>
  <c r="B93" i="26"/>
  <c r="B97" i="26"/>
  <c r="B101" i="26"/>
  <c r="B105" i="26"/>
  <c r="B109" i="26"/>
  <c r="B113" i="26"/>
  <c r="B117" i="26"/>
  <c r="B121" i="26"/>
  <c r="B125" i="26"/>
  <c r="B129" i="26"/>
  <c r="B133" i="26"/>
  <c r="B137" i="26"/>
  <c r="B141" i="26"/>
  <c r="B145" i="26"/>
  <c r="B149" i="26"/>
  <c r="B153" i="26"/>
  <c r="B157" i="26"/>
  <c r="B161" i="26"/>
  <c r="B165" i="26"/>
  <c r="B169" i="26"/>
  <c r="B173" i="26"/>
  <c r="B177" i="26"/>
  <c r="B181" i="26"/>
  <c r="B185" i="26"/>
  <c r="B189" i="26"/>
  <c r="B193" i="26"/>
  <c r="B197" i="26"/>
  <c r="B201" i="26"/>
  <c r="B205" i="26"/>
  <c r="B209" i="26"/>
  <c r="B213" i="26"/>
  <c r="B217" i="26"/>
  <c r="B221" i="26"/>
  <c r="B225" i="26"/>
  <c r="B229" i="26"/>
  <c r="B233" i="26"/>
  <c r="B237" i="26"/>
  <c r="B241" i="26"/>
  <c r="B245" i="26"/>
  <c r="B249" i="26"/>
  <c r="B253" i="26"/>
  <c r="B257" i="26"/>
  <c r="B261" i="26"/>
  <c r="B265" i="26"/>
  <c r="B269" i="26"/>
  <c r="B262" i="26"/>
  <c r="F185" i="26"/>
  <c r="E196" i="26"/>
  <c r="E228" i="26"/>
  <c r="E260" i="26"/>
  <c r="D112" i="26"/>
  <c r="D176" i="26"/>
  <c r="D224" i="26"/>
  <c r="D240" i="26"/>
  <c r="D252" i="26"/>
  <c r="D264" i="26"/>
  <c r="C72" i="26"/>
  <c r="C84" i="26"/>
  <c r="C96" i="26"/>
  <c r="C108" i="26"/>
  <c r="C116" i="26"/>
  <c r="C128" i="26"/>
  <c r="C140" i="26"/>
  <c r="C152" i="26"/>
  <c r="C164" i="26"/>
  <c r="C176" i="26"/>
  <c r="C188" i="26"/>
  <c r="C200" i="26"/>
  <c r="C212" i="26"/>
  <c r="C224" i="26"/>
  <c r="C236" i="26"/>
  <c r="C248" i="26"/>
  <c r="C260" i="26"/>
  <c r="C268" i="26"/>
  <c r="B64" i="26"/>
  <c r="B76" i="26"/>
  <c r="B88" i="26"/>
  <c r="F89" i="26"/>
  <c r="F153" i="26"/>
  <c r="F217" i="26"/>
  <c r="E69" i="26"/>
  <c r="E133" i="26"/>
  <c r="E188" i="26"/>
  <c r="E204" i="26"/>
  <c r="E220" i="26"/>
  <c r="E236" i="26"/>
  <c r="E252" i="26"/>
  <c r="E268" i="26"/>
  <c r="D72" i="26"/>
  <c r="D88" i="26"/>
  <c r="D104" i="26"/>
  <c r="D120" i="26"/>
  <c r="D136" i="26"/>
  <c r="D152" i="26"/>
  <c r="D168" i="26"/>
  <c r="D184" i="26"/>
  <c r="D200" i="26"/>
  <c r="D216" i="26"/>
  <c r="D229" i="26"/>
  <c r="D234" i="26"/>
  <c r="D238" i="26"/>
  <c r="D242" i="26"/>
  <c r="D246" i="26"/>
  <c r="D250" i="26"/>
  <c r="D254" i="26"/>
  <c r="D258" i="26"/>
  <c r="D262" i="26"/>
  <c r="D266" i="26"/>
  <c r="C58" i="26"/>
  <c r="C62" i="26"/>
  <c r="C66" i="26"/>
  <c r="C70" i="26"/>
  <c r="C74" i="26"/>
  <c r="C78" i="26"/>
  <c r="C82" i="26"/>
  <c r="C86" i="26"/>
  <c r="C90" i="26"/>
  <c r="C94" i="26"/>
  <c r="C98" i="26"/>
  <c r="C102" i="26"/>
  <c r="C106" i="26"/>
  <c r="C110" i="26"/>
  <c r="C114" i="26"/>
  <c r="C118" i="26"/>
  <c r="C122" i="26"/>
  <c r="C126" i="26"/>
  <c r="C130" i="26"/>
  <c r="C134" i="26"/>
  <c r="C138" i="26"/>
  <c r="C142" i="26"/>
  <c r="C146" i="26"/>
  <c r="C150" i="26"/>
  <c r="C154" i="26"/>
  <c r="C158" i="26"/>
  <c r="C162" i="26"/>
  <c r="C166" i="26"/>
  <c r="C170" i="26"/>
  <c r="C174" i="26"/>
  <c r="C178" i="26"/>
  <c r="C182" i="26"/>
  <c r="C186" i="26"/>
  <c r="C190" i="26"/>
  <c r="C194" i="26"/>
  <c r="C198" i="26"/>
  <c r="C202" i="26"/>
  <c r="C206" i="26"/>
  <c r="C210" i="26"/>
  <c r="C214" i="26"/>
  <c r="C218" i="26"/>
  <c r="C222" i="26"/>
  <c r="C226" i="26"/>
  <c r="C230" i="26"/>
  <c r="C234" i="26"/>
  <c r="C238" i="26"/>
  <c r="C242" i="26"/>
  <c r="C246" i="26"/>
  <c r="C250" i="26"/>
  <c r="C254" i="26"/>
  <c r="C258" i="26"/>
  <c r="C262" i="26"/>
  <c r="C266" i="26"/>
  <c r="B58" i="26"/>
  <c r="B62" i="26"/>
  <c r="B66" i="26"/>
  <c r="B70" i="26"/>
  <c r="B74" i="26"/>
  <c r="B78" i="26"/>
  <c r="B82" i="26"/>
  <c r="B86" i="26"/>
  <c r="B90" i="26"/>
  <c r="B94" i="26"/>
  <c r="B98" i="26"/>
  <c r="B102" i="26"/>
  <c r="B106" i="26"/>
  <c r="B110" i="26"/>
  <c r="B114" i="26"/>
  <c r="B118" i="26"/>
  <c r="B122" i="26"/>
  <c r="B126" i="26"/>
  <c r="B130" i="26"/>
  <c r="B134" i="26"/>
  <c r="B138" i="26"/>
  <c r="B142" i="26"/>
  <c r="B146" i="26"/>
  <c r="B150" i="26"/>
  <c r="B154" i="26"/>
  <c r="B158" i="26"/>
  <c r="B162" i="26"/>
  <c r="B166" i="26"/>
  <c r="B170" i="26"/>
  <c r="B174" i="26"/>
  <c r="B178" i="26"/>
  <c r="B182" i="26"/>
  <c r="B186" i="26"/>
  <c r="B190" i="26"/>
  <c r="B194" i="26"/>
  <c r="B198" i="26"/>
  <c r="B202" i="26"/>
  <c r="B206" i="26"/>
  <c r="B210" i="26"/>
  <c r="B214" i="26"/>
  <c r="B218" i="26"/>
  <c r="B222" i="26"/>
  <c r="B226" i="26"/>
  <c r="B230" i="26"/>
  <c r="B234" i="26"/>
  <c r="B238" i="26"/>
  <c r="B242" i="26"/>
  <c r="B246" i="26"/>
  <c r="B250" i="26"/>
  <c r="B254" i="26"/>
  <c r="B258" i="26"/>
  <c r="B266" i="26"/>
  <c r="F249" i="26"/>
  <c r="E101" i="26"/>
  <c r="E212" i="26"/>
  <c r="D64" i="26"/>
  <c r="D128" i="26"/>
  <c r="D160" i="26"/>
  <c r="D208" i="26"/>
  <c r="D236" i="26"/>
  <c r="D248" i="26"/>
  <c r="D260" i="26"/>
  <c r="C60" i="26"/>
  <c r="C64" i="26"/>
  <c r="C76" i="26"/>
  <c r="C88" i="26"/>
  <c r="C100" i="26"/>
  <c r="C120" i="26"/>
  <c r="C132" i="26"/>
  <c r="C144" i="26"/>
  <c r="C156" i="26"/>
  <c r="C168" i="26"/>
  <c r="C180" i="26"/>
  <c r="C192" i="26"/>
  <c r="C204" i="26"/>
  <c r="C216" i="26"/>
  <c r="C228" i="26"/>
  <c r="C240" i="26"/>
  <c r="C256" i="26"/>
  <c r="B60" i="26"/>
  <c r="B72" i="26"/>
  <c r="B84" i="26"/>
  <c r="B92" i="26"/>
  <c r="F105" i="26"/>
  <c r="F169" i="26"/>
  <c r="F233" i="26"/>
  <c r="E85" i="26"/>
  <c r="E149" i="26"/>
  <c r="E192" i="26"/>
  <c r="E208" i="26"/>
  <c r="E224" i="26"/>
  <c r="E240" i="26"/>
  <c r="E256" i="26"/>
  <c r="D60" i="26"/>
  <c r="D76" i="26"/>
  <c r="D92" i="26"/>
  <c r="D108" i="26"/>
  <c r="D124" i="26"/>
  <c r="D140" i="26"/>
  <c r="D156" i="26"/>
  <c r="D172" i="26"/>
  <c r="D188" i="26"/>
  <c r="D204" i="26"/>
  <c r="D220" i="26"/>
  <c r="D231" i="26"/>
  <c r="D235" i="26"/>
  <c r="D239" i="26"/>
  <c r="D243" i="26"/>
  <c r="D247" i="26"/>
  <c r="D251" i="26"/>
  <c r="D255" i="26"/>
  <c r="D259" i="26"/>
  <c r="D263" i="26"/>
  <c r="D267" i="26"/>
  <c r="C59" i="26"/>
  <c r="C63" i="26"/>
  <c r="C67" i="26"/>
  <c r="C71" i="26"/>
  <c r="C75" i="26"/>
  <c r="C79" i="26"/>
  <c r="C83" i="26"/>
  <c r="C87" i="26"/>
  <c r="C91" i="26"/>
  <c r="C95" i="26"/>
  <c r="C99" i="26"/>
  <c r="C103" i="26"/>
  <c r="C107" i="26"/>
  <c r="C111" i="26"/>
  <c r="C115" i="26"/>
  <c r="C119" i="26"/>
  <c r="C123" i="26"/>
  <c r="C127" i="26"/>
  <c r="C131" i="26"/>
  <c r="C135" i="26"/>
  <c r="C139" i="26"/>
  <c r="C143" i="26"/>
  <c r="C147" i="26"/>
  <c r="C151" i="26"/>
  <c r="C155" i="26"/>
  <c r="C159" i="26"/>
  <c r="C163" i="26"/>
  <c r="C167" i="26"/>
  <c r="C171" i="26"/>
  <c r="C175" i="26"/>
  <c r="C179" i="26"/>
  <c r="C183" i="26"/>
  <c r="C187" i="26"/>
  <c r="C191" i="26"/>
  <c r="C195" i="26"/>
  <c r="C199" i="26"/>
  <c r="C203" i="26"/>
  <c r="C207" i="26"/>
  <c r="C211" i="26"/>
  <c r="C215" i="26"/>
  <c r="C219" i="26"/>
  <c r="C223" i="26"/>
  <c r="C227" i="26"/>
  <c r="C231" i="26"/>
  <c r="C235" i="26"/>
  <c r="C239" i="26"/>
  <c r="C243" i="26"/>
  <c r="C247" i="26"/>
  <c r="C251" i="26"/>
  <c r="C255" i="26"/>
  <c r="C259" i="26"/>
  <c r="C263" i="26"/>
  <c r="C267" i="26"/>
  <c r="B59" i="26"/>
  <c r="B63" i="26"/>
  <c r="B67" i="26"/>
  <c r="B71" i="26"/>
  <c r="B75" i="26"/>
  <c r="B79" i="26"/>
  <c r="B83" i="26"/>
  <c r="B87" i="26"/>
  <c r="B91" i="26"/>
  <c r="B95" i="26"/>
  <c r="B99" i="26"/>
  <c r="B103" i="26"/>
  <c r="B107" i="26"/>
  <c r="B111" i="26"/>
  <c r="B115" i="26"/>
  <c r="B119" i="26"/>
  <c r="B123" i="26"/>
  <c r="B127" i="26"/>
  <c r="B131" i="26"/>
  <c r="B135" i="26"/>
  <c r="B139" i="26"/>
  <c r="B143" i="26"/>
  <c r="B147" i="26"/>
  <c r="B151" i="26"/>
  <c r="B155" i="26"/>
  <c r="B159" i="26"/>
  <c r="B163" i="26"/>
  <c r="B167" i="26"/>
  <c r="B171" i="26"/>
  <c r="B175" i="26"/>
  <c r="B179" i="26"/>
  <c r="B183" i="26"/>
  <c r="B187" i="26"/>
  <c r="B191" i="26"/>
  <c r="B195" i="26"/>
  <c r="B199" i="26"/>
  <c r="B203" i="26"/>
  <c r="B207" i="26"/>
  <c r="B211" i="26"/>
  <c r="B215" i="26"/>
  <c r="B219" i="26"/>
  <c r="B223" i="26"/>
  <c r="B227" i="26"/>
  <c r="B231" i="26"/>
  <c r="B235" i="26"/>
  <c r="B239" i="26"/>
  <c r="B243" i="26"/>
  <c r="B247" i="26"/>
  <c r="B251" i="26"/>
  <c r="B255" i="26"/>
  <c r="B259" i="26"/>
  <c r="B263" i="26"/>
  <c r="B267" i="26"/>
  <c r="F121" i="26"/>
  <c r="E165" i="26"/>
  <c r="E244" i="26"/>
  <c r="D80" i="26"/>
  <c r="D96" i="26"/>
  <c r="D144" i="26"/>
  <c r="D192" i="26"/>
  <c r="D232" i="26"/>
  <c r="D244" i="26"/>
  <c r="D256" i="26"/>
  <c r="D268" i="26"/>
  <c r="C68" i="26"/>
  <c r="C80" i="26"/>
  <c r="C92" i="26"/>
  <c r="C104" i="26"/>
  <c r="C112" i="26"/>
  <c r="C124" i="26"/>
  <c r="C136" i="26"/>
  <c r="C148" i="26"/>
  <c r="C160" i="26"/>
  <c r="C172" i="26"/>
  <c r="C184" i="26"/>
  <c r="C196" i="26"/>
  <c r="C208" i="26"/>
  <c r="C220" i="26"/>
  <c r="C232" i="26"/>
  <c r="C244" i="26"/>
  <c r="C252" i="26"/>
  <c r="C264" i="26"/>
  <c r="B68" i="26"/>
  <c r="B80" i="26"/>
  <c r="B96" i="26"/>
  <c r="B100" i="26"/>
  <c r="B104" i="26"/>
  <c r="B120" i="26"/>
  <c r="B136" i="26"/>
  <c r="B152" i="26"/>
  <c r="B168" i="26"/>
  <c r="B184" i="26"/>
  <c r="B200" i="26"/>
  <c r="B216" i="26"/>
  <c r="B232" i="26"/>
  <c r="B248" i="26"/>
  <c r="B264" i="26"/>
  <c r="B156" i="26"/>
  <c r="B188" i="26"/>
  <c r="B220" i="26"/>
  <c r="B252" i="26"/>
  <c r="B268" i="26"/>
  <c r="B256" i="26"/>
  <c r="B148" i="26"/>
  <c r="B196" i="26"/>
  <c r="B244" i="26"/>
  <c r="B108" i="26"/>
  <c r="B124" i="26"/>
  <c r="B140" i="26"/>
  <c r="B172" i="26"/>
  <c r="B204" i="26"/>
  <c r="B236" i="26"/>
  <c r="B116" i="26"/>
  <c r="B164" i="26"/>
  <c r="B212" i="26"/>
  <c r="B260" i="26"/>
  <c r="B112" i="26"/>
  <c r="B128" i="26"/>
  <c r="B144" i="26"/>
  <c r="B160" i="26"/>
  <c r="B176" i="26"/>
  <c r="B192" i="26"/>
  <c r="B208" i="26"/>
  <c r="B224" i="26"/>
  <c r="B240" i="26"/>
  <c r="B132" i="26"/>
  <c r="B180" i="26"/>
  <c r="B228" i="26"/>
  <c r="J66" i="24"/>
  <c r="I66" i="24"/>
  <c r="D18" i="13" s="1"/>
  <c r="K44" i="25"/>
  <c r="Q105" i="12" s="1"/>
  <c r="J18" i="13" s="1"/>
  <c r="J16" i="11"/>
  <c r="A19" i="11" s="1"/>
  <c r="J37" i="24"/>
  <c r="K105" i="25"/>
  <c r="Q107" i="12" s="1"/>
  <c r="J20" i="13" s="1"/>
  <c r="J203" i="24"/>
  <c r="J120" i="24"/>
  <c r="I120" i="24"/>
  <c r="D19" i="13" s="1"/>
  <c r="I172" i="24"/>
  <c r="D20" i="13" s="1"/>
  <c r="I203" i="24"/>
  <c r="D22" i="13" s="1"/>
  <c r="J172" i="24"/>
  <c r="G11" i="25"/>
  <c r="B45" i="23"/>
  <c r="K61" i="25"/>
  <c r="Q106" i="12" s="1"/>
  <c r="J19" i="13" s="1"/>
  <c r="H65" i="12"/>
  <c r="H45" i="12"/>
  <c r="B10" i="13"/>
  <c r="C21" i="13"/>
  <c r="C22" i="23" s="1"/>
  <c r="B24" i="13"/>
  <c r="B25" i="23" s="1"/>
  <c r="B20" i="13"/>
  <c r="B21" i="23" s="1"/>
  <c r="B25" i="13"/>
  <c r="B26" i="23" s="1"/>
  <c r="B23" i="13"/>
  <c r="B24" i="23" s="1"/>
  <c r="B19" i="13"/>
  <c r="B20" i="23" s="1"/>
  <c r="B27" i="13"/>
  <c r="B28" i="23" s="1"/>
  <c r="B22" i="13"/>
  <c r="B23" i="23" s="1"/>
  <c r="B18" i="13"/>
  <c r="B19" i="23" s="1"/>
  <c r="C25" i="13"/>
  <c r="C26" i="23" s="1"/>
  <c r="B26" i="13"/>
  <c r="B27" i="23" s="1"/>
  <c r="B21" i="13"/>
  <c r="B22" i="23" s="1"/>
  <c r="B17" i="13"/>
  <c r="B18" i="23" s="1"/>
  <c r="K23" i="25"/>
  <c r="Q104" i="12" s="1"/>
  <c r="H11" i="24"/>
  <c r="K120" i="25"/>
  <c r="Q108" i="12" s="1"/>
  <c r="J22" i="13" s="1"/>
  <c r="K149" i="25"/>
  <c r="Q110" i="12" s="1"/>
  <c r="J24" i="13" s="1"/>
  <c r="K136" i="25"/>
  <c r="Q109" i="12" s="1"/>
  <c r="J23" i="13" s="1"/>
  <c r="K175" i="25"/>
  <c r="Q112" i="12" s="1"/>
  <c r="I221" i="24"/>
  <c r="D23" i="13" s="1"/>
  <c r="I226" i="24"/>
  <c r="D24" i="13" s="1"/>
  <c r="I231" i="24"/>
  <c r="D26" i="13" s="1"/>
  <c r="I236" i="24"/>
  <c r="D27" i="13" s="1"/>
  <c r="J236" i="24"/>
  <c r="I37" i="24"/>
  <c r="I24" i="16"/>
  <c r="G10" i="12" s="1"/>
  <c r="J231" i="24"/>
  <c r="J226" i="24"/>
  <c r="J221" i="24"/>
  <c r="B10" i="23"/>
  <c r="A18" i="11" l="1"/>
  <c r="G30" i="11"/>
  <c r="A16" i="11"/>
  <c r="A17" i="11"/>
  <c r="G34" i="11"/>
  <c r="E18" i="13"/>
  <c r="C18" i="26" s="1"/>
  <c r="P105" i="12"/>
  <c r="O105" i="12" s="1"/>
  <c r="O75" i="12" s="1"/>
  <c r="D17" i="13"/>
  <c r="D29" i="13" s="1"/>
  <c r="I238" i="24"/>
  <c r="J238" i="24"/>
  <c r="J108" i="17"/>
  <c r="J106" i="17"/>
  <c r="J104" i="17"/>
  <c r="J101" i="17"/>
  <c r="J79" i="17"/>
  <c r="J77" i="17"/>
  <c r="J74" i="17"/>
  <c r="J72" i="17"/>
  <c r="J70" i="17"/>
  <c r="J68" i="17"/>
  <c r="J61" i="17"/>
  <c r="J59" i="17"/>
  <c r="J57" i="17"/>
  <c r="J55" i="17"/>
  <c r="J53" i="17"/>
  <c r="J51" i="17"/>
  <c r="J49" i="17"/>
  <c r="J47" i="17"/>
  <c r="J45" i="17"/>
  <c r="H5" i="6"/>
  <c r="H3" i="6"/>
  <c r="G5" i="11"/>
  <c r="G3" i="11"/>
  <c r="G5" i="6"/>
  <c r="G3" i="6"/>
  <c r="G2" i="6"/>
  <c r="D8" i="6"/>
  <c r="D7" i="6"/>
  <c r="E8" i="11"/>
  <c r="E7" i="11"/>
  <c r="F3" i="11"/>
  <c r="G49" i="11" l="1"/>
  <c r="J81" i="17"/>
  <c r="J110" i="17"/>
  <c r="P109" i="12" s="1"/>
  <c r="O109" i="12" s="1"/>
  <c r="O80" i="12" s="1"/>
  <c r="J65" i="17"/>
  <c r="J122" i="17"/>
  <c r="P111" i="12" s="1"/>
  <c r="J127" i="17"/>
  <c r="I129" i="17"/>
  <c r="J83" i="17" l="1"/>
  <c r="E23" i="13"/>
  <c r="C26" i="26" s="1"/>
  <c r="E27" i="13"/>
  <c r="C32" i="26" s="1"/>
  <c r="P112" i="12"/>
  <c r="J129" i="17"/>
  <c r="E26" i="13"/>
  <c r="C30" i="26" s="1"/>
  <c r="J117" i="17"/>
  <c r="N39" i="12" l="1"/>
  <c r="O39" i="12" s="1"/>
  <c r="D43" i="12" l="1"/>
  <c r="D42" i="12"/>
  <c r="U10" i="13"/>
  <c r="H15" i="13" s="1"/>
  <c r="J51" i="8" l="1"/>
  <c r="J53" i="8"/>
  <c r="J72" i="8" l="1"/>
  <c r="J75" i="8"/>
  <c r="J59" i="8" l="1"/>
  <c r="J104" i="8" l="1"/>
  <c r="J102" i="8"/>
  <c r="J100" i="8"/>
  <c r="J111" i="8" l="1"/>
  <c r="J45" i="8"/>
  <c r="I15" i="12" l="1"/>
  <c r="P110" i="12"/>
  <c r="E24" i="13"/>
  <c r="C28" i="26" s="1"/>
  <c r="J77" i="8"/>
  <c r="J68" i="8"/>
  <c r="J66" i="8"/>
  <c r="J61" i="8"/>
  <c r="J63" i="8" s="1"/>
  <c r="P106" i="12" s="1"/>
  <c r="J57" i="8"/>
  <c r="J55" i="8"/>
  <c r="J49" i="8"/>
  <c r="J47" i="8"/>
  <c r="C9" i="26" l="1"/>
  <c r="I12" i="13"/>
  <c r="J97" i="8"/>
  <c r="E22" i="13" s="1"/>
  <c r="C24" i="26" s="1"/>
  <c r="O110" i="12"/>
  <c r="O81" i="12" s="1"/>
  <c r="O106" i="12"/>
  <c r="O76" i="12" s="1"/>
  <c r="E19" i="13"/>
  <c r="C20" i="26" s="1"/>
  <c r="E17" i="13"/>
  <c r="C16" i="26" s="1"/>
  <c r="P108" i="12" l="1"/>
  <c r="O108" i="12" s="1"/>
  <c r="O79" i="12" s="1"/>
  <c r="P104" i="12"/>
  <c r="J123" i="8"/>
  <c r="I46" i="12" s="1"/>
  <c r="P107" i="12"/>
  <c r="O107" i="12" s="1"/>
  <c r="E20" i="13"/>
  <c r="I123" i="8"/>
  <c r="E29" i="13" l="1"/>
  <c r="C22" i="26"/>
  <c r="O77" i="12"/>
  <c r="I62" i="12"/>
  <c r="P113" i="12"/>
  <c r="G50" i="11" l="1"/>
  <c r="E6" i="4"/>
  <c r="I14" i="12" l="1"/>
  <c r="I49" i="11"/>
  <c r="M14" i="12" s="1"/>
  <c r="D13" i="13"/>
  <c r="C10" i="4"/>
  <c r="E10" i="4" s="1"/>
  <c r="E13" i="13" l="1"/>
  <c r="E14" i="23" s="1"/>
  <c r="C8" i="26"/>
  <c r="A24" i="12"/>
  <c r="J12" i="13"/>
  <c r="K168" i="25"/>
  <c r="Q111" i="12" s="1"/>
  <c r="O19" i="12"/>
  <c r="D24" i="12" s="1"/>
  <c r="L14" i="12"/>
  <c r="O17" i="12" s="1"/>
  <c r="D10" i="4"/>
  <c r="C11" i="4"/>
  <c r="A23" i="12" l="1"/>
  <c r="K177" i="25"/>
  <c r="J23" i="12"/>
  <c r="H21" i="12"/>
  <c r="E25" i="12"/>
  <c r="E11" i="4"/>
  <c r="F11" i="4" s="1"/>
  <c r="D11" i="4"/>
  <c r="F10" i="4" s="1"/>
  <c r="I22" i="12" s="1"/>
  <c r="J22" i="12" l="1"/>
  <c r="J33" i="12" s="1"/>
  <c r="H11" i="18"/>
  <c r="H11" i="9"/>
  <c r="K14" i="9"/>
  <c r="K20" i="9" s="1"/>
  <c r="R104" i="12" s="1"/>
  <c r="I29" i="12"/>
  <c r="J29" i="12" s="1"/>
  <c r="K73" i="18"/>
  <c r="S111" i="12" s="1"/>
  <c r="S10" i="13"/>
  <c r="K93" i="9"/>
  <c r="R111" i="12" s="1"/>
  <c r="O111" i="12" l="1"/>
  <c r="O83" i="12" s="1"/>
  <c r="F24" i="13"/>
  <c r="F19" i="13"/>
  <c r="G15" i="13"/>
  <c r="F23" i="13"/>
  <c r="F18" i="13"/>
  <c r="F27" i="13"/>
  <c r="F22" i="13"/>
  <c r="F17" i="13"/>
  <c r="F26" i="13"/>
  <c r="F20" i="13"/>
  <c r="F15" i="13"/>
  <c r="O104" i="12"/>
  <c r="O74" i="12" s="1"/>
  <c r="J17" i="13"/>
  <c r="J26" i="13"/>
  <c r="K104" i="9"/>
  <c r="K28" i="18" l="1"/>
  <c r="S107" i="12" s="1"/>
  <c r="J36" i="12"/>
  <c r="K82" i="18"/>
  <c r="F29" i="13"/>
  <c r="F41" i="23"/>
  <c r="P36" i="12" l="1"/>
  <c r="O11" i="18" s="1"/>
  <c r="C10" i="26"/>
  <c r="O11" i="9"/>
  <c r="J21" i="13"/>
  <c r="K84" i="18"/>
  <c r="J66" i="12" s="1"/>
  <c r="O13" i="13"/>
  <c r="S112" i="12"/>
  <c r="J42" i="12"/>
  <c r="J43" i="12" s="1"/>
  <c r="J47" i="12" l="1"/>
  <c r="J55" i="12" s="1"/>
  <c r="C13" i="26"/>
  <c r="J27" i="13"/>
  <c r="J29" i="13" s="1"/>
  <c r="C35" i="26" s="1"/>
  <c r="O112" i="12"/>
  <c r="O84" i="12" s="1"/>
  <c r="J54" i="12"/>
  <c r="J62" i="12" l="1"/>
  <c r="J63" i="12" l="1"/>
  <c r="J67" i="12"/>
  <c r="O70" i="12" s="1"/>
  <c r="J77" i="12" s="1"/>
  <c r="J75" i="12" l="1"/>
  <c r="J71" i="12"/>
  <c r="J84" i="12"/>
  <c r="J80" i="12"/>
  <c r="J81" i="12"/>
  <c r="J79" i="12"/>
  <c r="J78" i="12"/>
  <c r="J76" i="12"/>
  <c r="J72" i="12"/>
  <c r="J74" i="12"/>
  <c r="J82" i="12"/>
  <c r="J83" i="12"/>
  <c r="J92" i="12" l="1"/>
  <c r="J93" i="12" s="1"/>
  <c r="J95" i="12" s="1"/>
  <c r="J134" i="12" s="1"/>
  <c r="G21" i="23"/>
  <c r="I21" i="23"/>
  <c r="G21" i="13" l="1"/>
  <c r="H21" i="13" s="1"/>
  <c r="I21" i="13" s="1"/>
  <c r="K21" i="13" s="1"/>
  <c r="J133" i="12"/>
  <c r="C49" i="26" s="1"/>
  <c r="J130" i="12"/>
  <c r="C46" i="26" s="1"/>
  <c r="G20" i="13"/>
  <c r="H20" i="13" s="1"/>
  <c r="I20" i="13" s="1"/>
  <c r="K20" i="13" s="1"/>
  <c r="G24" i="13"/>
  <c r="H24" i="13" s="1"/>
  <c r="I24" i="13" s="1"/>
  <c r="C29" i="26" s="1"/>
  <c r="J131" i="12"/>
  <c r="C48" i="26" s="1"/>
  <c r="G25" i="13"/>
  <c r="H25" i="13" s="1"/>
  <c r="I25" i="13" s="1"/>
  <c r="K25" i="13" s="1"/>
  <c r="G26" i="13"/>
  <c r="H26" i="13" s="1"/>
  <c r="G27" i="13"/>
  <c r="H27" i="13" s="1"/>
  <c r="I27" i="13" s="1"/>
  <c r="K27" i="13" s="1"/>
  <c r="G18" i="13"/>
  <c r="H18" i="13" s="1"/>
  <c r="I18" i="13" s="1"/>
  <c r="K18" i="13" s="1"/>
  <c r="J129" i="12"/>
  <c r="C44" i="26" s="1"/>
  <c r="G19" i="13"/>
  <c r="H19" i="13" s="1"/>
  <c r="I19" i="13" s="1"/>
  <c r="K19" i="13" s="1"/>
  <c r="G22" i="13"/>
  <c r="H22" i="13" s="1"/>
  <c r="I22" i="13" s="1"/>
  <c r="C25" i="26" s="1"/>
  <c r="G17" i="13"/>
  <c r="H17" i="13" s="1"/>
  <c r="I17" i="13" s="1"/>
  <c r="K17" i="13" s="1"/>
  <c r="G23" i="13"/>
  <c r="H23" i="13" s="1"/>
  <c r="I23" i="13" s="1"/>
  <c r="C27" i="26" s="1"/>
  <c r="K22" i="13" l="1"/>
  <c r="I26" i="13"/>
  <c r="I29" i="13" s="1"/>
  <c r="C34" i="26" s="1"/>
  <c r="C17" i="26"/>
  <c r="C19" i="26"/>
  <c r="C23" i="26"/>
  <c r="K23" i="13"/>
  <c r="J135" i="12"/>
  <c r="J138" i="12" s="1"/>
  <c r="J139" i="12" s="1"/>
  <c r="H29" i="13"/>
  <c r="C21" i="26"/>
  <c r="C33" i="26"/>
  <c r="K24" i="13"/>
  <c r="G25" i="23"/>
  <c r="I25" i="23"/>
  <c r="G29" i="13"/>
  <c r="K26" i="13" l="1"/>
  <c r="C31" i="26"/>
  <c r="C50" i="26"/>
  <c r="J141" i="12"/>
  <c r="C51" i="26"/>
  <c r="K29" i="13"/>
  <c r="L26" i="13" l="1"/>
  <c r="M26" i="13" s="1"/>
  <c r="N26" i="13" s="1"/>
  <c r="O26" i="13" s="1"/>
  <c r="E27" i="23" s="1"/>
  <c r="C36" i="26"/>
  <c r="G3" i="26"/>
  <c r="C52" i="26"/>
  <c r="L22" i="13"/>
  <c r="M22" i="13" s="1"/>
  <c r="N22" i="13" s="1"/>
  <c r="O22" i="13" s="1"/>
  <c r="E23" i="23" s="1"/>
  <c r="L24" i="13"/>
  <c r="M24" i="13" s="1"/>
  <c r="N24" i="13" s="1"/>
  <c r="O24" i="13" s="1"/>
  <c r="E25" i="23" s="1"/>
  <c r="L19" i="13"/>
  <c r="M19" i="13" s="1"/>
  <c r="N19" i="13" s="1"/>
  <c r="O19" i="13" s="1"/>
  <c r="E20" i="23" s="1"/>
  <c r="G20" i="23" s="1"/>
  <c r="L25" i="13"/>
  <c r="M25" i="13" s="1"/>
  <c r="N25" i="13" s="1"/>
  <c r="O25" i="13" s="1"/>
  <c r="E26" i="23" s="1"/>
  <c r="L27" i="13"/>
  <c r="M27" i="13" s="1"/>
  <c r="N27" i="13" s="1"/>
  <c r="O27" i="13" s="1"/>
  <c r="E28" i="23" s="1"/>
  <c r="L21" i="13"/>
  <c r="M21" i="13" s="1"/>
  <c r="N21" i="13" s="1"/>
  <c r="O21" i="13" s="1"/>
  <c r="E22" i="23" s="1"/>
  <c r="L23" i="13"/>
  <c r="M23" i="13" s="1"/>
  <c r="N23" i="13" s="1"/>
  <c r="O23" i="13" s="1"/>
  <c r="E24" i="23" s="1"/>
  <c r="L18" i="13"/>
  <c r="M18" i="13" s="1"/>
  <c r="N18" i="13" s="1"/>
  <c r="O18" i="13" s="1"/>
  <c r="E19" i="23" s="1"/>
  <c r="G19" i="23" s="1"/>
  <c r="I19" i="23" s="1"/>
  <c r="L20" i="13"/>
  <c r="M20" i="13" s="1"/>
  <c r="N20" i="13" s="1"/>
  <c r="O20" i="13" s="1"/>
  <c r="E21" i="23" s="1"/>
  <c r="L17" i="13"/>
  <c r="L29" i="13" l="1"/>
  <c r="C38" i="26" s="1"/>
  <c r="M17" i="13"/>
  <c r="M29" i="13" s="1"/>
  <c r="C39" i="26" s="1"/>
  <c r="N17" i="13" l="1"/>
  <c r="N29" i="13" s="1"/>
  <c r="C41" i="26" s="1"/>
  <c r="O17" i="13" l="1"/>
  <c r="O29" i="13" s="1"/>
  <c r="C42" i="26" s="1"/>
  <c r="E18" i="23" l="1"/>
  <c r="G18" i="23" s="1"/>
  <c r="G30" i="23" s="1"/>
  <c r="G41" i="23" s="1"/>
  <c r="I18" i="23" l="1"/>
  <c r="I30" i="23" s="1"/>
  <c r="I41" i="23" s="1"/>
  <c r="I44" i="23" s="1"/>
  <c r="I45" i="23" s="1"/>
  <c r="I48" i="23" s="1"/>
  <c r="E30" i="23"/>
</calcChain>
</file>

<file path=xl/sharedStrings.xml><?xml version="1.0" encoding="utf-8"?>
<sst xmlns="http://schemas.openxmlformats.org/spreadsheetml/2006/main" count="1396" uniqueCount="977">
  <si>
    <t>nach Kostenberechnung</t>
  </si>
  <si>
    <t>Zeile [Z]</t>
  </si>
  <si>
    <t>4.1</t>
  </si>
  <si>
    <t>4.2</t>
  </si>
  <si>
    <t>4.3</t>
  </si>
  <si>
    <t>4.4</t>
  </si>
  <si>
    <t>4.5</t>
  </si>
  <si>
    <t>4.6</t>
  </si>
  <si>
    <t>4.7</t>
  </si>
  <si>
    <t>5.1</t>
  </si>
  <si>
    <t xml:space="preserve"> </t>
  </si>
  <si>
    <t>nach Kostenschätzung</t>
  </si>
  <si>
    <t>Honorarzone</t>
  </si>
  <si>
    <t>Höchstsatz</t>
  </si>
  <si>
    <t>9.02</t>
  </si>
  <si>
    <t>9.01</t>
  </si>
  <si>
    <t>8.07</t>
  </si>
  <si>
    <t>8.06</t>
  </si>
  <si>
    <t>8.04</t>
  </si>
  <si>
    <t>8.03</t>
  </si>
  <si>
    <t>8.01</t>
  </si>
  <si>
    <t>7.02</t>
  </si>
  <si>
    <t>7.01</t>
  </si>
  <si>
    <t>6.02</t>
  </si>
  <si>
    <t>6.01</t>
  </si>
  <si>
    <t>5.03</t>
  </si>
  <si>
    <t>5.02</t>
  </si>
  <si>
    <t>5.01</t>
  </si>
  <si>
    <t>4.01</t>
  </si>
  <si>
    <t>3.03</t>
  </si>
  <si>
    <t>3.02</t>
  </si>
  <si>
    <t>3.01</t>
  </si>
  <si>
    <t>2.03</t>
  </si>
  <si>
    <t>2.02</t>
  </si>
  <si>
    <t>2.01</t>
  </si>
  <si>
    <t>1.03</t>
  </si>
  <si>
    <t>1.02</t>
  </si>
  <si>
    <t>1.01</t>
  </si>
  <si>
    <t>h</t>
  </si>
  <si>
    <t>HOAI</t>
  </si>
  <si>
    <t>8.05</t>
  </si>
  <si>
    <t>8.02</t>
  </si>
  <si>
    <t>Einheit</t>
  </si>
  <si>
    <t>Menge</t>
  </si>
  <si>
    <t>4.03</t>
  </si>
  <si>
    <t>6.03</t>
  </si>
  <si>
    <t>7.03</t>
  </si>
  <si>
    <t>8.08</t>
  </si>
  <si>
    <t>4.8</t>
  </si>
  <si>
    <t>5.2</t>
  </si>
  <si>
    <t xml:space="preserve">Die Leistung wird zugeordnet der Honorarzone: </t>
  </si>
  <si>
    <t>Stundensätze für Leistungsänderungen (soweit nicht über HOAI zu vergüten)</t>
  </si>
  <si>
    <t>Ingenieur nach Ing.-Gesetz</t>
  </si>
  <si>
    <t>Techniker</t>
  </si>
  <si>
    <t>Zellverknüpfungen</t>
  </si>
  <si>
    <t>EUR</t>
  </si>
  <si>
    <t>Nebenkosten einschl. Reisekosten</t>
  </si>
  <si>
    <t>3.1</t>
  </si>
  <si>
    <t xml:space="preserve">Summe </t>
  </si>
  <si>
    <t>5</t>
  </si>
  <si>
    <t>Summe über alle Leistungsphasen</t>
  </si>
  <si>
    <t>Grundleistungen</t>
  </si>
  <si>
    <t>Besondere Leistungen</t>
  </si>
  <si>
    <t>Nebenkosten</t>
  </si>
  <si>
    <t>MwSt.</t>
  </si>
  <si>
    <t xml:space="preserve">Bewertung </t>
  </si>
  <si>
    <t>Objektbetreuung</t>
  </si>
  <si>
    <t>Grundlagenermittlung</t>
  </si>
  <si>
    <t xml:space="preserve">
</t>
  </si>
  <si>
    <t>Zusätzliche Angaben zum Vertrag</t>
  </si>
  <si>
    <t>Fachlich Verantwortlicher</t>
  </si>
  <si>
    <t>Anrechenbare Kosten EUR</t>
  </si>
  <si>
    <t>8.1</t>
  </si>
  <si>
    <t xml:space="preserve">Vorplanung </t>
  </si>
  <si>
    <t xml:space="preserve">Entwurfsplanung </t>
  </si>
  <si>
    <t xml:space="preserve">Genehmigungsplanung </t>
  </si>
  <si>
    <t xml:space="preserve">Ausführungsplanung </t>
  </si>
  <si>
    <t>Vorbereitung der Vergabe</t>
  </si>
  <si>
    <t>Mitwirkung bei der Vergabe</t>
  </si>
  <si>
    <t xml:space="preserve">Bauoberleitung </t>
  </si>
  <si>
    <t>Leistungsphasen</t>
  </si>
  <si>
    <t>5.3</t>
  </si>
  <si>
    <t>5.4</t>
  </si>
  <si>
    <t>Anrechenbare Kosten</t>
  </si>
  <si>
    <t>EURO</t>
  </si>
  <si>
    <t xml:space="preserve">Reisekosten </t>
  </si>
  <si>
    <t xml:space="preserve">Sonstige Vereinbarungen: </t>
  </si>
  <si>
    <t>zur Herbeiführung der Vergleichbarkeit der Angebote</t>
  </si>
  <si>
    <t>Stunden für Leistungsänderungen</t>
  </si>
  <si>
    <t>Summe fiktiver Aufwandsansatz</t>
  </si>
  <si>
    <t>EURO/h netto</t>
  </si>
  <si>
    <t>Minderung aufgrund Wiederholung um</t>
  </si>
  <si>
    <t>netto</t>
  </si>
  <si>
    <t xml:space="preserve">Zwischensumme </t>
  </si>
  <si>
    <t>Kosten 
EURO</t>
  </si>
  <si>
    <t>Honorar Min
EURO</t>
  </si>
  <si>
    <t>Honorar Max
EURO</t>
  </si>
  <si>
    <t>Ergebnis
EURO</t>
  </si>
  <si>
    <t>Zone 1 
Min
EURO</t>
  </si>
  <si>
    <t>Zone 2 
Min
EURO</t>
  </si>
  <si>
    <t>Zone 3 
Min
EURO</t>
  </si>
  <si>
    <t>Zone 4  
Min
EURO</t>
  </si>
  <si>
    <t>Zone 5 
Min
EURO</t>
  </si>
  <si>
    <t>Zone 5 
Max
EURO</t>
  </si>
  <si>
    <t>Zellverknüpfung</t>
  </si>
  <si>
    <t>Hinweise zur Bedienung für den Bieter</t>
  </si>
  <si>
    <t>Wertung Honorarangebot über fiktiven Aufwandsansatz</t>
  </si>
  <si>
    <t>z.B. Mehrfertigungen</t>
  </si>
  <si>
    <t>(&lt;&gt; HT)</t>
  </si>
  <si>
    <t>Bieter:</t>
  </si>
  <si>
    <t>(= HT)</t>
  </si>
  <si>
    <t>(Keine Eingabe)</t>
  </si>
  <si>
    <t>(Eingabe mehrfach)</t>
  </si>
  <si>
    <t>(Ber.Honorar)</t>
  </si>
  <si>
    <t>Angaben zur Art des Honorars</t>
  </si>
  <si>
    <t>(Eingabe richtig)</t>
  </si>
  <si>
    <t>(Felder werden nur rot, wenn Vorgabe durch AG erfolgt ist)</t>
  </si>
  <si>
    <t>§ 7 (1)</t>
  </si>
  <si>
    <t/>
  </si>
  <si>
    <t>Entsprechend der Unverbindlichkeit der Honorarsätze kann vom Bieter eine Erhöhung oder Minderung des Honorars in Prozent angeboten werden.</t>
  </si>
  <si>
    <t>pauschal in Prozent des Nettohonorars:</t>
  </si>
  <si>
    <t>insgesamt pauschal in EURO:</t>
  </si>
  <si>
    <t>Ergänzende Vereinbarung zu den Nebenkosten</t>
  </si>
  <si>
    <t>Minderung des Basishonorars:</t>
  </si>
  <si>
    <t>zzgl. MwSt.</t>
  </si>
  <si>
    <t>Erhöhung des Basishonorars:</t>
  </si>
  <si>
    <t>Hinweise zur Bedienung für den Auftraggeber</t>
  </si>
  <si>
    <t>Fachbereich</t>
  </si>
  <si>
    <t>Finanzierung</t>
  </si>
  <si>
    <t>Bundesmaßnahme</t>
  </si>
  <si>
    <t>Straßenbau</t>
  </si>
  <si>
    <t>Hochbau</t>
  </si>
  <si>
    <t>9.03</t>
  </si>
  <si>
    <t>Leistungsstufe 1C
Leistungsphase 3: Entwurfsplanung</t>
  </si>
  <si>
    <t>Leistungsstufe 1B
Leistungsphase 2: Vorplanung</t>
  </si>
  <si>
    <t>Leistungsstufe 2
Leistungsphase 5: Ausführungsplanung</t>
  </si>
  <si>
    <t>Leistungsstufe 3A
Leistungsphase 6: Vorbereitung der Vergabe</t>
  </si>
  <si>
    <t>Leistungsstufe 3B
Leistungsphase 7: Mitwirkung bei der Vergabe</t>
  </si>
  <si>
    <t>Leistungsstufe 5
Leistungsphase 9: Objektbetreuung</t>
  </si>
  <si>
    <t>zu Leistungsstufe 1A</t>
  </si>
  <si>
    <t>zu Leistungsstufe 1B</t>
  </si>
  <si>
    <t>zu Leistungsstufe 1C</t>
  </si>
  <si>
    <t>zu Leistungsstufe 1D</t>
  </si>
  <si>
    <t>zu Leistungsstufe 2</t>
  </si>
  <si>
    <t>zu Leistungsstufe 3A</t>
  </si>
  <si>
    <t>zu Leistungsstufe 3B</t>
  </si>
  <si>
    <t>zu Leistungsstufe 4</t>
  </si>
  <si>
    <t>zu Leistungssstufe 5</t>
  </si>
  <si>
    <t>1.1</t>
  </si>
  <si>
    <t>1.2</t>
  </si>
  <si>
    <t>2.1</t>
  </si>
  <si>
    <t>2.2</t>
  </si>
  <si>
    <r>
      <t>nach Kostenrahmen</t>
    </r>
    <r>
      <rPr>
        <sz val="8"/>
        <color theme="1"/>
        <rFont val="Arial"/>
        <family val="2"/>
      </rPr>
      <t xml:space="preserve"> (nur bei Straßenbau)</t>
    </r>
  </si>
  <si>
    <t>Bezeichnung Tabellenblatt:</t>
  </si>
  <si>
    <t>Teil</t>
  </si>
  <si>
    <t>A</t>
  </si>
  <si>
    <t>B</t>
  </si>
  <si>
    <t>Ermittlung der anrechenbaren Kosten</t>
  </si>
  <si>
    <t>E</t>
  </si>
  <si>
    <t>Honorarberechnung</t>
  </si>
  <si>
    <t>F</t>
  </si>
  <si>
    <t>G</t>
  </si>
  <si>
    <t>H</t>
  </si>
  <si>
    <t>Honorarabrechnung</t>
  </si>
  <si>
    <t>Teil A</t>
  </si>
  <si>
    <t>Teil B</t>
  </si>
  <si>
    <t>Teil E</t>
  </si>
  <si>
    <t>Teil F</t>
  </si>
  <si>
    <t>Leistungsstufe 1
Leistungsphase 3: Entwurfsplanung</t>
  </si>
  <si>
    <t>Leistungsstufe 1
Leistungsphase 4: Genehmigungsplanung</t>
  </si>
  <si>
    <t>Leistungsstufe 3
Leistungsphase 6: Vorbereitung der Vergabe</t>
  </si>
  <si>
    <t>Leistungsstufe 3
Leistungsphase 7: Mitwirkung bei der Vergabe</t>
  </si>
  <si>
    <t>zu Leistungsstufe 1</t>
  </si>
  <si>
    <t>1.04</t>
  </si>
  <si>
    <t>1.05</t>
  </si>
  <si>
    <t>1.06</t>
  </si>
  <si>
    <t>2.04</t>
  </si>
  <si>
    <t>2.05</t>
  </si>
  <si>
    <t>2.06</t>
  </si>
  <si>
    <t>zu Leistungsstufe 3</t>
  </si>
  <si>
    <t>3.04</t>
  </si>
  <si>
    <t>3.05</t>
  </si>
  <si>
    <t>3.06</t>
  </si>
  <si>
    <t>StB-C1</t>
  </si>
  <si>
    <t>HB-C1</t>
  </si>
  <si>
    <t>HB-C2</t>
  </si>
  <si>
    <t>StB-D1</t>
  </si>
  <si>
    <t>HB-D1</t>
  </si>
  <si>
    <t>HB-D2</t>
  </si>
  <si>
    <t>Teil G</t>
  </si>
  <si>
    <t>-</t>
  </si>
  <si>
    <t xml:space="preserve">Beschreibung des Istzustandes </t>
  </si>
  <si>
    <t>Aufzeigen aller Sachverhalte, die die Maßnahme/ das Objekt beeinflussen</t>
  </si>
  <si>
    <t>Leistungsphase 2: Vorplanung</t>
  </si>
  <si>
    <t>Leistungsphase 3: Entwurfsplanung</t>
  </si>
  <si>
    <t>Leistungsphase 4: Genehmigungsplanung</t>
  </si>
  <si>
    <t>Leistungsphase 5: Ausführungsplanung</t>
  </si>
  <si>
    <t>Leistungsphase 6: Vorbereitung der Vergabe</t>
  </si>
  <si>
    <t>Leistungsphase 7: Mitwirkung bei der Vergabe</t>
  </si>
  <si>
    <t>Leistungsphase 9: Objektbetreuung</t>
  </si>
  <si>
    <t>zu Leistungsphase 1</t>
  </si>
  <si>
    <t>zu Leistungsphase 2</t>
  </si>
  <si>
    <t>2.07</t>
  </si>
  <si>
    <t>zu Leistungsphase 3</t>
  </si>
  <si>
    <t>3.07</t>
  </si>
  <si>
    <t>zu Leistungsphase 4</t>
  </si>
  <si>
    <t>4.02</t>
  </si>
  <si>
    <t>4.04</t>
  </si>
  <si>
    <t>4.05</t>
  </si>
  <si>
    <t>zu Leistungsphase 5</t>
  </si>
  <si>
    <t>5.04</t>
  </si>
  <si>
    <t>5.05</t>
  </si>
  <si>
    <t>5.06</t>
  </si>
  <si>
    <t>zu Leistungsphase 6</t>
  </si>
  <si>
    <t>zu Leistungsphase 7</t>
  </si>
  <si>
    <t>zu Leistungsphase 8</t>
  </si>
  <si>
    <t>zu Leistungsphase 9</t>
  </si>
  <si>
    <t>Leistungsstufe 1
Leistungsphase 2: Vorplanung</t>
  </si>
  <si>
    <r>
      <rPr>
        <b/>
        <sz val="10"/>
        <color theme="1"/>
        <rFont val="Arial"/>
        <family val="2"/>
      </rPr>
      <t xml:space="preserve">Berechnung für </t>
    </r>
    <r>
      <rPr>
        <sz val="10"/>
        <color theme="1"/>
        <rFont val="Arial"/>
        <family val="2"/>
      </rPr>
      <t>Wiederholung Nr.:</t>
    </r>
  </si>
  <si>
    <t>Auftragsabwicklung</t>
  </si>
  <si>
    <t>beauf-tragt</t>
  </si>
  <si>
    <t>beauftragte Summe</t>
  </si>
  <si>
    <t>v.H.</t>
  </si>
  <si>
    <t>Honorarzone:</t>
  </si>
  <si>
    <t>Minderung/ Erhöhung des Basishonorars § 7 (1) HOAI</t>
  </si>
  <si>
    <t>a)</t>
  </si>
  <si>
    <t xml:space="preserve">Summe Leistungsphase 1 (HOAI/ RBBau max.0,00 %) </t>
  </si>
  <si>
    <t>Summe Leistungsstufe 2:</t>
  </si>
  <si>
    <t>b)</t>
  </si>
  <si>
    <t>c)</t>
  </si>
  <si>
    <t>d)</t>
  </si>
  <si>
    <t>e)</t>
  </si>
  <si>
    <t>f)</t>
  </si>
  <si>
    <t>g)</t>
  </si>
  <si>
    <t>h)</t>
  </si>
  <si>
    <t>i)</t>
  </si>
  <si>
    <t>v.H.-Satz</t>
  </si>
  <si>
    <t>Steuerung Arbeitsmappe:</t>
  </si>
  <si>
    <t>psch</t>
  </si>
  <si>
    <t>Ermittlung des Honorars</t>
  </si>
  <si>
    <t>Name</t>
  </si>
  <si>
    <t>Qualifikation</t>
  </si>
  <si>
    <t>Lph 1</t>
  </si>
  <si>
    <t>Hauptauftrag</t>
  </si>
  <si>
    <t>Bezeichnung</t>
  </si>
  <si>
    <t>Abrechnung</t>
  </si>
  <si>
    <t>Honorarsumme (kummulativ)</t>
  </si>
  <si>
    <t>bisher abgerechnet:</t>
  </si>
  <si>
    <t>gem. §12  VI.1 AVB (Hochbau)</t>
  </si>
  <si>
    <t xml:space="preserve">Summe Leistungsstufe 1 </t>
  </si>
  <si>
    <t xml:space="preserve">Summe Leistungsstufe 2 </t>
  </si>
  <si>
    <t xml:space="preserve">Summe Leistungsstufe 3 </t>
  </si>
  <si>
    <t xml:space="preserve">Summe Leistungsphase 9 </t>
  </si>
  <si>
    <t xml:space="preserve">Summe Leistungsphase 1 </t>
  </si>
  <si>
    <t xml:space="preserve">Summe Leistungsphase 2 </t>
  </si>
  <si>
    <t xml:space="preserve">Summe Leistungsphase 3 </t>
  </si>
  <si>
    <t xml:space="preserve">Summe Leistungsphase 4 </t>
  </si>
  <si>
    <t xml:space="preserve">Summe Leistungsphase 5 </t>
  </si>
  <si>
    <t xml:space="preserve">Summe Leistungsphase 6 </t>
  </si>
  <si>
    <t xml:space="preserve">Summe Leistungsphase 7 </t>
  </si>
  <si>
    <t>Wertungssumme</t>
  </si>
  <si>
    <t>Honorar für die Besonderen Leistungen wird vereinbart in Höhe von</t>
  </si>
  <si>
    <t xml:space="preserve">Besondere Leistungen </t>
  </si>
  <si>
    <t>Die Grundleistungen werden bewertet mit:</t>
  </si>
  <si>
    <t>Honorar für Grundleistungen in Höhe von</t>
  </si>
  <si>
    <t>Auftragssumme</t>
  </si>
  <si>
    <t>Honorartafel</t>
  </si>
  <si>
    <t>[v.H.-Satz]</t>
  </si>
  <si>
    <t>mit konkretisierter Leistungsbeschreibung (kursiv)</t>
  </si>
  <si>
    <t>7.1</t>
  </si>
  <si>
    <t>7.2</t>
  </si>
  <si>
    <t>7.3</t>
  </si>
  <si>
    <t>7.4</t>
  </si>
  <si>
    <t>9.1</t>
  </si>
  <si>
    <t>9.2</t>
  </si>
  <si>
    <t>10.1</t>
  </si>
  <si>
    <t>10.2</t>
  </si>
  <si>
    <t>16.1</t>
  </si>
  <si>
    <t>16.2</t>
  </si>
  <si>
    <t>16.3</t>
  </si>
  <si>
    <t>17.1</t>
  </si>
  <si>
    <t>17.2</t>
  </si>
  <si>
    <t>Honorar für Grundleistungen und Besondere Leistungen in Höhe von</t>
  </si>
  <si>
    <t>Teilleistung &gt;0</t>
  </si>
  <si>
    <t>Lph 2</t>
  </si>
  <si>
    <t>Lph 3</t>
  </si>
  <si>
    <t>Lph 4</t>
  </si>
  <si>
    <t>Lph 5</t>
  </si>
  <si>
    <t>Lph 6</t>
  </si>
  <si>
    <t>Lph 7</t>
  </si>
  <si>
    <t>Lph 8</t>
  </si>
  <si>
    <t>Lph 9</t>
  </si>
  <si>
    <t>Prozent</t>
  </si>
  <si>
    <t>Grundlst.</t>
  </si>
  <si>
    <t>Summe</t>
  </si>
  <si>
    <t>Landesmaßnahme / Dritte</t>
  </si>
  <si>
    <t>Es sind mehrere Personen für die Leistungsphasen fachlich verantwortlich.</t>
  </si>
  <si>
    <t>Maßnahme:</t>
  </si>
  <si>
    <t>Vergabenr.:</t>
  </si>
  <si>
    <t>Maßnahmennr:</t>
  </si>
  <si>
    <t>Angaben zur Maßnahme</t>
  </si>
  <si>
    <t>Projektgrundlagen</t>
  </si>
  <si>
    <r>
      <t>Bezeichnung Tabellenblatt</t>
    </r>
    <r>
      <rPr>
        <sz val="10"/>
        <color theme="1"/>
        <rFont val="Arial"/>
        <family val="2"/>
      </rPr>
      <t xml:space="preserve"> </t>
    </r>
    <r>
      <rPr>
        <sz val="8"/>
        <color theme="1"/>
        <rFont val="Arial"/>
        <family val="2"/>
      </rPr>
      <t>(mit Link)</t>
    </r>
  </si>
  <si>
    <t>Basissatz</t>
  </si>
  <si>
    <t>Angabe der Honorarzone</t>
  </si>
  <si>
    <t>Teil StB-C1</t>
  </si>
  <si>
    <t>Teil HB-C1</t>
  </si>
  <si>
    <t>Teil HB-C2</t>
  </si>
  <si>
    <t>Teil StB-D1</t>
  </si>
  <si>
    <t>Teil HB-D1</t>
  </si>
  <si>
    <t>Teil HB-D2</t>
  </si>
  <si>
    <r>
      <t xml:space="preserve">Kosten der </t>
    </r>
    <r>
      <rPr>
        <b/>
        <sz val="10"/>
        <rFont val="Arial"/>
        <family val="2"/>
      </rPr>
      <t>mitzuverarbeitenden Bausubstanz</t>
    </r>
    <r>
      <rPr>
        <sz val="10"/>
        <rFont val="Arial"/>
        <family val="2"/>
      </rPr>
      <t xml:space="preserve"> mvB </t>
    </r>
    <r>
      <rPr>
        <sz val="8"/>
        <color theme="1"/>
        <rFont val="Arial"/>
        <family val="2"/>
      </rPr>
      <t>(§ 4 (3) HOAI)</t>
    </r>
  </si>
  <si>
    <t xml:space="preserve">Klären der Aufgabenstellung aufgrund der Vorgaben oder der </t>
  </si>
  <si>
    <t>anrechenbare Kosten</t>
  </si>
  <si>
    <t xml:space="preserve">Klären der Aufgabenstellung auf Grund der Vorgaben oder </t>
  </si>
  <si>
    <t>Honorarübersicht</t>
  </si>
  <si>
    <t>psch.</t>
  </si>
  <si>
    <t>3.2</t>
  </si>
  <si>
    <t>Bei dem Berechnungshonorar handelt es sich um ein</t>
  </si>
  <si>
    <t>Basishonorar für die Grundleistungen (100% des Leistungsbildes)</t>
  </si>
  <si>
    <t>(Honorar &lt;&gt; HT)</t>
  </si>
  <si>
    <t>%</t>
  </si>
  <si>
    <t xml:space="preserve">Leistungsstufe/ Leistungsphase </t>
  </si>
  <si>
    <r>
      <rPr>
        <b/>
        <sz val="10"/>
        <color theme="1"/>
        <rFont val="Arial"/>
        <family val="2"/>
      </rPr>
      <t xml:space="preserve">Honorarzone: 
 </t>
    </r>
    <r>
      <rPr>
        <sz val="8"/>
        <color theme="1"/>
        <rFont val="Arial"/>
        <family val="2"/>
      </rPr>
      <t>siehe Teil B</t>
    </r>
  </si>
  <si>
    <r>
      <t xml:space="preserve">Zum Honorar für Grundleistungen wird für </t>
    </r>
    <r>
      <rPr>
        <b/>
        <sz val="10"/>
        <color theme="1"/>
        <rFont val="Arial"/>
        <family val="2"/>
      </rPr>
      <t xml:space="preserve">Umbauten und Modernisierungen </t>
    </r>
    <r>
      <rPr>
        <sz val="10"/>
        <color theme="1"/>
        <rFont val="Arial"/>
        <family val="2"/>
      </rPr>
      <t xml:space="preserve">ein </t>
    </r>
  </si>
  <si>
    <t>pauschal in Prozent des Nettohonorars nach Leistungsphasen:</t>
  </si>
  <si>
    <t xml:space="preserve"> erbrachte Leistung
</t>
  </si>
  <si>
    <t>Teil dieser Angebotsabfrage, -erstellung und Abrechnung sind:</t>
  </si>
  <si>
    <t xml:space="preserve">  Honorarzone</t>
  </si>
  <si>
    <t>StB Grundleistung</t>
  </si>
  <si>
    <t>HB Grundleist. Land</t>
  </si>
  <si>
    <t>HB Grundleist. Bund</t>
  </si>
  <si>
    <t>StB Besondere Lstg.</t>
  </si>
  <si>
    <t>10.3</t>
  </si>
  <si>
    <t>10.4</t>
  </si>
  <si>
    <t>Honorar - Hauptauftrag</t>
  </si>
  <si>
    <t>Auszahlungsbetrag:</t>
  </si>
  <si>
    <t>Fachlich Verantwortliche für die Erbringung der vertraglichen Leistung:</t>
  </si>
  <si>
    <t>Klären der Aufgabenstellung unter Berücksichtigung der „Beschreibung der Planungsaufgaben und Planungsziele“</t>
  </si>
  <si>
    <t>Beschreibung des Planungszieles in Abstimmung auf die weitere Bearbeitung</t>
  </si>
  <si>
    <t>Vorläufiges Honorar</t>
  </si>
  <si>
    <r>
      <rPr>
        <b/>
        <sz val="12"/>
        <color theme="1"/>
        <rFont val="Arial"/>
        <family val="2"/>
      </rPr>
      <t xml:space="preserve">Grundleistungen Straßenbau
</t>
    </r>
    <r>
      <rPr>
        <sz val="8"/>
        <color theme="1"/>
        <rFont val="Arial"/>
        <family val="2"/>
      </rPr>
      <t xml:space="preserve">HOAI-Text gemäß Leistungsbild
</t>
    </r>
    <r>
      <rPr>
        <i/>
        <sz val="8"/>
        <color theme="1"/>
        <rFont val="Arial"/>
        <family val="2"/>
      </rPr>
      <t xml:space="preserve">
</t>
    </r>
  </si>
  <si>
    <r>
      <t xml:space="preserve">Beschreibung der Besonderen Leistungen Straßenbau
</t>
    </r>
    <r>
      <rPr>
        <sz val="8"/>
        <color theme="1"/>
        <rFont val="Arial"/>
        <family val="2"/>
      </rPr>
      <t>Leistungstext</t>
    </r>
    <r>
      <rPr>
        <sz val="8"/>
        <color rgb="FF0070C0"/>
        <rFont val="Arial"/>
        <family val="2"/>
      </rPr>
      <t xml:space="preserve">
</t>
    </r>
  </si>
  <si>
    <t>Hochbau  Land</t>
  </si>
  <si>
    <t>Hochbau  Bund</t>
  </si>
  <si>
    <t>zuzüglich:</t>
  </si>
  <si>
    <t>abzüglich:</t>
  </si>
  <si>
    <t>Begründung:</t>
  </si>
  <si>
    <t>Inhalt</t>
  </si>
  <si>
    <t>Festlegung der Grundleistungen Hochbau - Bund</t>
  </si>
  <si>
    <t>Festlegung der Grundleistungen Straßenbau</t>
  </si>
  <si>
    <t>Festlegung der Grundleistungen Hochbau - Land</t>
  </si>
  <si>
    <t>Berechnung des Honorars</t>
  </si>
  <si>
    <t>Festlegung der Besonderen Leistungen Straßenbau</t>
  </si>
  <si>
    <t>Ermittlung der Honorarzone</t>
  </si>
  <si>
    <r>
      <rPr>
        <b/>
        <sz val="10"/>
        <color theme="1"/>
        <rFont val="Arial"/>
        <family val="2"/>
      </rPr>
      <t>Vorgabe AG</t>
    </r>
    <r>
      <rPr>
        <b/>
        <sz val="8"/>
        <color theme="1"/>
        <rFont val="Arial"/>
        <family val="2"/>
      </rPr>
      <t xml:space="preserve">
[optional]</t>
    </r>
  </si>
  <si>
    <r>
      <rPr>
        <b/>
        <sz val="10"/>
        <color theme="1"/>
        <rFont val="Arial"/>
        <family val="2"/>
      </rPr>
      <t xml:space="preserve">pauschal </t>
    </r>
    <r>
      <rPr>
        <b/>
        <sz val="8"/>
        <color theme="1"/>
        <rFont val="Arial"/>
        <family val="2"/>
      </rPr>
      <t xml:space="preserve">
[EURO netto]</t>
    </r>
  </si>
  <si>
    <r>
      <rPr>
        <b/>
        <sz val="10"/>
        <color theme="1"/>
        <rFont val="Arial"/>
        <family val="2"/>
      </rPr>
      <t xml:space="preserve">GP </t>
    </r>
    <r>
      <rPr>
        <b/>
        <sz val="8"/>
        <color theme="1"/>
        <rFont val="Arial"/>
        <family val="2"/>
      </rPr>
      <t xml:space="preserve">
[EURO netto]</t>
    </r>
  </si>
  <si>
    <r>
      <t xml:space="preserve">pauschal
</t>
    </r>
    <r>
      <rPr>
        <sz val="10"/>
        <color theme="1"/>
        <rFont val="Arial"/>
        <family val="2"/>
      </rPr>
      <t>[</t>
    </r>
    <r>
      <rPr>
        <b/>
        <sz val="8"/>
        <color theme="1"/>
        <rFont val="Arial"/>
        <family val="2"/>
      </rPr>
      <t>EURO netto]</t>
    </r>
  </si>
  <si>
    <r>
      <t xml:space="preserve">Vorgabe AG
</t>
    </r>
    <r>
      <rPr>
        <sz val="10"/>
        <color theme="1"/>
        <rFont val="Arial"/>
        <family val="2"/>
      </rPr>
      <t>[</t>
    </r>
    <r>
      <rPr>
        <b/>
        <sz val="8"/>
        <color theme="1"/>
        <rFont val="Arial"/>
        <family val="2"/>
      </rPr>
      <t>optional]</t>
    </r>
  </si>
  <si>
    <r>
      <t xml:space="preserve">GP 
</t>
    </r>
    <r>
      <rPr>
        <sz val="10"/>
        <color theme="1"/>
        <rFont val="Arial"/>
        <family val="2"/>
      </rPr>
      <t>[</t>
    </r>
    <r>
      <rPr>
        <b/>
        <sz val="8"/>
        <color theme="1"/>
        <rFont val="Arial"/>
        <family val="2"/>
      </rPr>
      <t>EURO netto]</t>
    </r>
  </si>
  <si>
    <r>
      <rPr>
        <b/>
        <sz val="10"/>
        <color theme="1"/>
        <rFont val="Arial"/>
        <family val="2"/>
      </rPr>
      <t xml:space="preserve">EP  </t>
    </r>
    <r>
      <rPr>
        <b/>
        <sz val="8"/>
        <color theme="1"/>
        <rFont val="Arial"/>
        <family val="2"/>
      </rPr>
      <t xml:space="preserve">
[EURO netto]</t>
    </r>
  </si>
  <si>
    <t xml:space="preserve">Bewertung
</t>
  </si>
  <si>
    <t>zusätzliche Leistung</t>
  </si>
  <si>
    <t>6.1</t>
  </si>
  <si>
    <t>8.2</t>
  </si>
  <si>
    <t>8.3</t>
  </si>
  <si>
    <t>8.4</t>
  </si>
  <si>
    <t>15.1</t>
  </si>
  <si>
    <t>15.2</t>
  </si>
  <si>
    <t>15.3</t>
  </si>
  <si>
    <t xml:space="preserve">Bewertung
</t>
  </si>
  <si>
    <t>Abrechnung des Honorars</t>
  </si>
  <si>
    <t>Orientie-rungswert</t>
  </si>
  <si>
    <t xml:space="preserve">Orientie-rungswert
</t>
  </si>
  <si>
    <t>Leistungsstufe 1D
Leistungsphase 4: Genehmigungsplanung</t>
  </si>
  <si>
    <t>4.06</t>
  </si>
  <si>
    <t xml:space="preserve"> Summe Leistungsstufe 4 </t>
  </si>
  <si>
    <t xml:space="preserve">Summe Leistungsstufe 5 </t>
  </si>
  <si>
    <r>
      <t xml:space="preserve">bei im Wesentlichen gleichen Ingenieurbauwerken wird nach § 11 (3) HOAI eine Minderung der Prozentsätze der Leistungsphasen 1 - 6 für Wiederholungen vereinbart.
</t>
    </r>
    <r>
      <rPr>
        <sz val="8"/>
        <color theme="1"/>
        <rFont val="Arial"/>
        <family val="2"/>
      </rPr>
      <t>(1. bis 4. Wiederholung 50 %, 5. bis 7. Wiederholung 60 % und ab 8. Wiederholung 90 v.H. Minderung)</t>
    </r>
  </si>
  <si>
    <t>EP</t>
  </si>
  <si>
    <t>Basishonorar Leistungsphasen 1 bis 9</t>
  </si>
  <si>
    <t>Leistungsstufen/ 
   Leistungsphasen</t>
  </si>
  <si>
    <t>Vertragsergänzung</t>
  </si>
  <si>
    <t>Honorar incl. Vertragsergänzungen</t>
  </si>
  <si>
    <t>Ergänzung 01</t>
  </si>
  <si>
    <t>Ergänzung 02</t>
  </si>
  <si>
    <t>Ergänzung 03</t>
  </si>
  <si>
    <t>Ergänzung 04</t>
  </si>
  <si>
    <t>Ergänzung 05</t>
  </si>
  <si>
    <t>Ergänzung 06</t>
  </si>
  <si>
    <t>[netto]</t>
  </si>
  <si>
    <t>Nr.</t>
  </si>
  <si>
    <t>incl. Stufenabruf Nr.:</t>
  </si>
  <si>
    <r>
      <t>Berechnung Basishonorar</t>
    </r>
    <r>
      <rPr>
        <sz val="10"/>
        <color theme="1"/>
        <rFont val="Arial"/>
        <family val="2"/>
      </rPr>
      <t xml:space="preserve"> </t>
    </r>
  </si>
  <si>
    <t>der Differenz z.oberen Honorarsatz der Honorartafel</t>
  </si>
  <si>
    <t>Übertrag Honorar</t>
  </si>
  <si>
    <t>Folgende hier aufgeführten Kosten werden gesondert auf Einzelnachweis vergütet:</t>
  </si>
  <si>
    <t>Die Nebenkosten nach § 14 HOAI sind im Angebotsdokument anzugeben.</t>
  </si>
  <si>
    <t>Endgültiges Honorar (pauschal)</t>
  </si>
  <si>
    <t xml:space="preserve">Klären der Aufgabenstellung auf Grund der Vorgaben oder der </t>
  </si>
  <si>
    <t xml:space="preserve">Zusammenfassen, Erläutern und Dokumentieren der Ergebnisse </t>
  </si>
  <si>
    <t>1.07</t>
  </si>
  <si>
    <t xml:space="preserve">Honorarabrechnung
</t>
  </si>
  <si>
    <r>
      <t>Anrechenbare Kosten</t>
    </r>
    <r>
      <rPr>
        <b/>
        <sz val="8"/>
        <color theme="1"/>
        <rFont val="Arial"/>
        <family val="2"/>
      </rPr>
      <t xml:space="preserve"> </t>
    </r>
    <r>
      <rPr>
        <sz val="8"/>
        <color theme="1"/>
        <rFont val="Arial"/>
        <family val="2"/>
      </rPr>
      <t>für Leistungsphasen 1 bis 9</t>
    </r>
  </si>
  <si>
    <t>6.2</t>
  </si>
  <si>
    <t>11.1</t>
  </si>
  <si>
    <t>11.2</t>
  </si>
  <si>
    <t>11.3</t>
  </si>
  <si>
    <r>
      <t xml:space="preserve">Die Nebenkosten nach § 14 HOAI werden nicht gesondert erstattet. </t>
    </r>
    <r>
      <rPr>
        <sz val="8"/>
        <color theme="1"/>
        <rFont val="Arial"/>
        <family val="2"/>
      </rPr>
      <t>[ausgenommen Z 11.1]</t>
    </r>
  </si>
  <si>
    <t>16.4</t>
  </si>
  <si>
    <t>16.5</t>
  </si>
  <si>
    <t>16.6</t>
  </si>
  <si>
    <t>16.7</t>
  </si>
  <si>
    <t>16.8</t>
  </si>
  <si>
    <t>16.9</t>
  </si>
  <si>
    <t>17.3</t>
  </si>
  <si>
    <t>7.5</t>
  </si>
  <si>
    <t>7.6</t>
  </si>
  <si>
    <t>10.5</t>
  </si>
  <si>
    <t>10.6</t>
  </si>
  <si>
    <t>10.7</t>
  </si>
  <si>
    <t>10.8</t>
  </si>
  <si>
    <t>10.9</t>
  </si>
  <si>
    <t>10.10</t>
  </si>
  <si>
    <t>10.11</t>
  </si>
  <si>
    <t>10.12</t>
  </si>
  <si>
    <t>10.13</t>
  </si>
  <si>
    <t>10.14</t>
  </si>
  <si>
    <t>10.15</t>
  </si>
  <si>
    <t>16.10</t>
  </si>
  <si>
    <t>16.11</t>
  </si>
  <si>
    <t>16.12</t>
  </si>
  <si>
    <t>16.13</t>
  </si>
  <si>
    <t>16.14</t>
  </si>
  <si>
    <t>16.15</t>
  </si>
  <si>
    <t>16.16</t>
  </si>
  <si>
    <t>16.17</t>
  </si>
  <si>
    <t>16.18</t>
  </si>
  <si>
    <t>Projektgrundlagen / Hinweise</t>
  </si>
  <si>
    <t>Grundleistungen Straßenbau</t>
  </si>
  <si>
    <t>Grundleistungen Hochbau Land</t>
  </si>
  <si>
    <t>Grundleistungen Hochbau Bund</t>
  </si>
  <si>
    <t>Besondere Leistungen Straßenbau</t>
  </si>
  <si>
    <t>Besondere Leistungen Hochbau Land</t>
  </si>
  <si>
    <t>Besondere Leistungen Hochbau Bund</t>
  </si>
  <si>
    <t>8.5</t>
  </si>
  <si>
    <t xml:space="preserve">Wiederholungen nach § 11 (3) HOAI </t>
  </si>
  <si>
    <t>17</t>
  </si>
  <si>
    <t>18.1</t>
  </si>
  <si>
    <t>18.2</t>
  </si>
  <si>
    <t>16.99</t>
  </si>
  <si>
    <t>Für Wiederholungen nach § 11 (3) HOAI mit Minderung der Leistungsphasen 1 - 6</t>
  </si>
  <si>
    <r>
      <t>Angebotssumme</t>
    </r>
    <r>
      <rPr>
        <sz val="10"/>
        <color theme="1"/>
        <rFont val="Arial"/>
        <family val="2"/>
      </rPr>
      <t xml:space="preserve"> netto</t>
    </r>
    <r>
      <rPr>
        <sz val="8"/>
        <color theme="1"/>
        <rFont val="Arial"/>
        <family val="2"/>
      </rPr>
      <t xml:space="preserve"> </t>
    </r>
    <r>
      <rPr>
        <i/>
        <sz val="8"/>
        <color theme="1"/>
        <rFont val="Arial"/>
        <family val="2"/>
      </rPr>
      <t>[ Z 12 + Z 19 ]</t>
    </r>
  </si>
  <si>
    <t>(Eingabe 'Einzelleistung' richtig)</t>
  </si>
  <si>
    <t>Die Angebotssumme wird zur Ermittlung der Wertungsreihenfolge herangezogen; jedoch nicht Vertragsbestandteil!</t>
  </si>
  <si>
    <t xml:space="preserve">Summe Leistungsphase 8 </t>
  </si>
  <si>
    <t xml:space="preserve">Summe Leistungsstufe 1A </t>
  </si>
  <si>
    <t xml:space="preserve">Summe Leistungsstufe 1B </t>
  </si>
  <si>
    <t xml:space="preserve">Summe Leistungsstufe 1C </t>
  </si>
  <si>
    <t xml:space="preserve">Summe Leistungsstufe 1D </t>
  </si>
  <si>
    <t xml:space="preserve">Summe Leistungsstufe 3A </t>
  </si>
  <si>
    <t xml:space="preserve">Summe Leistungsstufe 3B </t>
  </si>
  <si>
    <t xml:space="preserve">Summe Leistungsstufe 4 </t>
  </si>
  <si>
    <t xml:space="preserve">Summe aller Leistungsstufen </t>
  </si>
  <si>
    <t xml:space="preserve">Summe über alle Leistungsstufen </t>
  </si>
  <si>
    <t xml:space="preserve">Technische Zeichner, sonst. Mitarbeiter </t>
  </si>
  <si>
    <t>nach § 52 HOAI</t>
  </si>
  <si>
    <t>Honorartafel zu § 52 HOAI - Tragwerksplanung</t>
  </si>
  <si>
    <t>Fachplanung Tragwerksplanung</t>
  </si>
  <si>
    <t>VII.12.4</t>
  </si>
  <si>
    <r>
      <t>Honorarzone</t>
    </r>
    <r>
      <rPr>
        <b/>
        <sz val="8"/>
        <color theme="1"/>
        <rFont val="Arial"/>
        <family val="2"/>
      </rPr>
      <t xml:space="preserve"> </t>
    </r>
    <r>
      <rPr>
        <sz val="8"/>
        <color theme="1"/>
        <rFont val="Arial"/>
        <family val="2"/>
      </rPr>
      <t xml:space="preserve">gem. § 52 (2) und (3) HOAI </t>
    </r>
  </si>
  <si>
    <t>siehe VII.12.4 Teil A</t>
  </si>
  <si>
    <t>siehe VII.12.4 Teil B</t>
  </si>
  <si>
    <t>der Bedarfsplanung des Auftraggebers im Benehmen mit dem Objektplaner</t>
  </si>
  <si>
    <t xml:space="preserve">Zusammenstellung der die Aufgabe beeinflussenden </t>
  </si>
  <si>
    <t>Planungsabsichten</t>
  </si>
  <si>
    <t>Zusammenstellung der die Aufgabe beeinflussenden Planungsabsichten</t>
  </si>
  <si>
    <t>Zusammenfassen, Erläutern und Dokumentieren der Ergebnisse</t>
  </si>
  <si>
    <t xml:space="preserve">Analysieren der Grundlagen </t>
  </si>
  <si>
    <t>Belange der Standsicherheit, der Gebrauchsfähigkeit und der Wirtschaftlichkeit</t>
  </si>
  <si>
    <t>Beraten in statisch-konstruktiver Hinsicht unter Berücksichtigung der</t>
  </si>
  <si>
    <t xml:space="preserve">Mitwirken bei dem Erarbeiten eines Planungskonzepts einschließlich </t>
  </si>
  <si>
    <t>Untersuchung der Lösungsmöglichkeiten des Tragwerks unter gleichen Objektbedingungen mit skizzenhafter Darstellung, Klärung und Angabe der für das Tragwerk wesentlichen konstruktiven Festlegungen für zum Beispiel Baustoffe, Bauarten und Herstellungsverfahren, Konstruktionsraster und Gründungsart</t>
  </si>
  <si>
    <t xml:space="preserve">Mitwirken bei Vorverhandlungen mit Behörden und anderen an der </t>
  </si>
  <si>
    <t>Planung fachlich Beteiligten über die Genehmigungsfähigkeit</t>
  </si>
  <si>
    <t>Mitwirken bei der Kostenschätzung und bei der Terminplanung</t>
  </si>
  <si>
    <t>Zusammenfassen, Erläutern und Dokumentieren der Ergebnisse unter</t>
  </si>
  <si>
    <t xml:space="preserve">Verwendung der RLBau Muster, insbesondere der Muster Kosten, Muster Erläuterungsbericht und Muster Objektbogen und Übergeben der Unterlagen
</t>
  </si>
  <si>
    <r>
      <t xml:space="preserve">Summe Leistungsstufe 1C - Lph 3 </t>
    </r>
    <r>
      <rPr>
        <b/>
        <sz val="8"/>
        <color theme="1"/>
        <rFont val="Arial"/>
        <family val="2"/>
      </rPr>
      <t xml:space="preserve">(HOAI/ VHF max. 15,00 %) </t>
    </r>
  </si>
  <si>
    <t xml:space="preserve">Erarbeiten der Tragwerkslösung, unter Beachtung der durch die </t>
  </si>
  <si>
    <t>Objektplanung integrierten Fachplanungen, bis zum konstruktiven Entwurf mit zeichnerischer Darstellung</t>
  </si>
  <si>
    <t>Überschlägige statische Berechnung und Bemessung</t>
  </si>
  <si>
    <t xml:space="preserve">Grundlegende Festlegungen der konstruktiven Details und </t>
  </si>
  <si>
    <t>Hauptabmessungen des Tragwerks für zum Beispiel Gestaltung der tragenden Querschnitte, Aussparungen und Fugen; Ausbildung der Auflager- und Knotenpunkte sowie der Verbindungsmittel</t>
  </si>
  <si>
    <t>Überschlägiges Ermitteln der Betonstahlmengen im Stahlbetonbau,</t>
  </si>
  <si>
    <t>der Stahlmengen im Stahlbau und der Holzmengen im Ingenieurholzbau</t>
  </si>
  <si>
    <t xml:space="preserve">Mitwirken bei der Objektbeschreibung bzw. beim Erläuterungsbericht </t>
  </si>
  <si>
    <t>unter Verwendung des RLBau Musters Erläuterungsbericht</t>
  </si>
  <si>
    <t xml:space="preserve">Mitwirken bei Verhandlungen mit Behörden und anderen an der Planung </t>
  </si>
  <si>
    <t>fachlich Beteiligten über die Genehmigungsfähigkeit</t>
  </si>
  <si>
    <t xml:space="preserve">Mitwirken bei der Kostenberechnung unter Verwendung des </t>
  </si>
  <si>
    <t>RLBau Musters Kosten und bei der Terminplanung</t>
  </si>
  <si>
    <t xml:space="preserve">Mitwirken beim Vergleich der Kostenberechnung mit der </t>
  </si>
  <si>
    <t>Kostenschätzung</t>
  </si>
  <si>
    <r>
      <t xml:space="preserve">Summe Leistungsstufe 1D - Lph 4 </t>
    </r>
    <r>
      <rPr>
        <b/>
        <sz val="8"/>
        <color theme="1"/>
        <rFont val="Arial"/>
        <family val="2"/>
      </rPr>
      <t xml:space="preserve">(HOAI/ VHF max. 30,00 %) </t>
    </r>
  </si>
  <si>
    <t xml:space="preserve">Aufstellen der prüffähigen statischen Berechnungen für das Tragwerk </t>
  </si>
  <si>
    <t>unter Berücksichtigung der vorgegebenen bauphysikalischen Anforderungen</t>
  </si>
  <si>
    <t>Bei Ingenieurbauwerken: Erfassen von normalen Bauzuständen</t>
  </si>
  <si>
    <t>statischen Positionen, der Tragwerksabmessungen, 'der Verkehrslasten, der Art und Güte der Baustoffe und der Besonderheiten der Konstruktionen in die Entwurfszeichnungen des Objektplaners</t>
  </si>
  <si>
    <t xml:space="preserve">Anfertigen der Positionspläne für das Tragwerk oder Eintragen der </t>
  </si>
  <si>
    <t xml:space="preserve">Zusammenstellen der Unterlagen der Tragwerksplanung zur </t>
  </si>
  <si>
    <t>Zusammenstellen der Unterlagen der Tragwerksplanung zur Genehmigung</t>
  </si>
  <si>
    <t xml:space="preserve">Abstimmen mit Prüfämtern und Prüfingenieuren oder Eigenkontrolle unter </t>
  </si>
  <si>
    <t>Einbeziehung des Auftraggebers</t>
  </si>
  <si>
    <t>Vervollständigen und Berichtigen der Berechnungen und Pläne nach</t>
  </si>
  <si>
    <t>Maßgabe der Ergebnisse des bauaufsichtlichen Verfahrens</t>
  </si>
  <si>
    <t xml:space="preserve">Durcharbeiten der Ergebnisse der Leistungsphasen 3 und 4 unter </t>
  </si>
  <si>
    <t xml:space="preserve">Anfertigen der Schalpläne in Ergänzung der fertig gestellten </t>
  </si>
  <si>
    <t xml:space="preserve">Zeichnerische Darstellung der Konstruktionen mit Einbau- und </t>
  </si>
  <si>
    <t xml:space="preserve">Aufstellen von Stahl- oder Stücklisten als Ergänzung zur zeichnerischen </t>
  </si>
  <si>
    <t xml:space="preserve">Fortführen der Abstimmung mit Prüfämtern und Prüfingenieuren oder </t>
  </si>
  <si>
    <r>
      <t xml:space="preserve">Summe Leistungsstufe 3A - Lph 6 </t>
    </r>
    <r>
      <rPr>
        <b/>
        <sz val="8"/>
        <color theme="1"/>
        <rFont val="Arial"/>
        <family val="2"/>
      </rPr>
      <t>(HOAI/ VHF max. 2,00%)</t>
    </r>
    <r>
      <rPr>
        <b/>
        <sz val="10"/>
        <color theme="1"/>
        <rFont val="Arial"/>
        <family val="2"/>
      </rPr>
      <t xml:space="preserve"> </t>
    </r>
  </si>
  <si>
    <t xml:space="preserve">Ermitteln der Betonstahlmengen im Stahlbetonbau, der Stahlmengen im </t>
  </si>
  <si>
    <t>Stahlbau und der Holzmengen im Ingenieurholzbau als Ergebnis der Ausführungsplanung und als Beitrag zur Mengenermittlung des Objektplaners</t>
  </si>
  <si>
    <t>Überschlägiges Ermitteln der Mengen der konstruktiven Stahlteile und</t>
  </si>
  <si>
    <t>statisch erforderlichen Verbindungs- und Befestigungsmittel im Ingenieurholzbau</t>
  </si>
  <si>
    <t>Mitwirken beim Erstellen der Leistungsbeschreibung als Ergänzung zu</t>
  </si>
  <si>
    <t>den Mengenermittlungen als Grundlage für das Leistungsverzeichnis des Tragwerks</t>
  </si>
  <si>
    <r>
      <t>Summe Leistungsstufe 3B - Lph 7</t>
    </r>
    <r>
      <rPr>
        <b/>
        <sz val="8"/>
        <color theme="1"/>
        <rFont val="Arial"/>
        <family val="2"/>
      </rPr>
      <t xml:space="preserve"> (HOAI/ VHF max. 0,00%) </t>
    </r>
  </si>
  <si>
    <r>
      <t xml:space="preserve">Summe Leistungsstufe 4 - Lph 8 </t>
    </r>
    <r>
      <rPr>
        <b/>
        <sz val="8"/>
        <color theme="1"/>
        <rFont val="Arial"/>
        <family val="2"/>
      </rPr>
      <t xml:space="preserve">(HOAI/ VHF max. 0,00 %) </t>
    </r>
  </si>
  <si>
    <r>
      <t xml:space="preserve">Summe Leistungsstufe 5 - Lph 9 </t>
    </r>
    <r>
      <rPr>
        <b/>
        <sz val="8"/>
        <color theme="1"/>
        <rFont val="Arial"/>
        <family val="2"/>
      </rPr>
      <t>(HOAI/ VHF max. 0,00 %)</t>
    </r>
    <r>
      <rPr>
        <b/>
        <sz val="10"/>
        <color theme="1"/>
        <rFont val="Arial"/>
        <family val="2"/>
      </rPr>
      <t xml:space="preserve"> </t>
    </r>
  </si>
  <si>
    <t xml:space="preserve">Vorgezogene prüfbare und für die Ausführung </t>
  </si>
  <si>
    <t xml:space="preserve">geeignete Berechnungen wesentlicher tragender Teile </t>
  </si>
  <si>
    <t xml:space="preserve">Nachweise zur Erdbebensicherung (vereinfachter </t>
  </si>
  <si>
    <t xml:space="preserve">und/oder genauer rechnerischer Nachweis) </t>
  </si>
  <si>
    <t>Nachweise zum konstruktiven Brandschutz</t>
  </si>
  <si>
    <t>7.04</t>
  </si>
  <si>
    <t xml:space="preserve">Mitwirkung bei der Prüfung und Wertung der </t>
  </si>
  <si>
    <t>Angebote</t>
  </si>
  <si>
    <t xml:space="preserve">Ingenieurtechnische Kontrolle der Ausführung des </t>
  </si>
  <si>
    <t>Tragwerks auf Übereinstimmung mit den geprüften statischen Unterlagen</t>
  </si>
  <si>
    <r>
      <t xml:space="preserve">Summe Leistungsstufe 1 - Lph 1 </t>
    </r>
    <r>
      <rPr>
        <b/>
        <sz val="8"/>
        <color theme="1"/>
        <rFont val="Arial"/>
        <family val="2"/>
      </rPr>
      <t>(HOAI/ RBBau max. 3,00 %)</t>
    </r>
    <r>
      <rPr>
        <b/>
        <sz val="10"/>
        <color theme="1"/>
        <rFont val="Arial"/>
        <family val="2"/>
      </rPr>
      <t xml:space="preserve"> </t>
    </r>
  </si>
  <si>
    <t>Bedarfsplanung des Auftraggebers im Benehmen mit dem Objektplaner</t>
  </si>
  <si>
    <r>
      <t xml:space="preserve">Summe Leistungsstufe 1 - Lph 2 </t>
    </r>
    <r>
      <rPr>
        <b/>
        <sz val="8"/>
        <color theme="1"/>
        <rFont val="Arial"/>
        <family val="2"/>
      </rPr>
      <t>(HOAI/ RBBau max. 10,00 %)</t>
    </r>
  </si>
  <si>
    <r>
      <t>Summe Leistungsstufe 1B - Lph 2</t>
    </r>
    <r>
      <rPr>
        <b/>
        <sz val="8"/>
        <color theme="1"/>
        <rFont val="Arial"/>
        <family val="2"/>
      </rPr>
      <t xml:space="preserve"> (HOAI/ VHF max. 10,00 %) </t>
    </r>
  </si>
  <si>
    <t>der Belange der Standsicherheit, der Gebrauchsfähigkeit und der Wirtschaftlichkeit</t>
  </si>
  <si>
    <t>Beraten in statisch-konstruktiver Hinsicht unter Berücksichtigung</t>
  </si>
  <si>
    <t xml:space="preserve">Erarbeiten der Tragwerkslösung, unter Beachtung der durch </t>
  </si>
  <si>
    <t>die Objektplanung integrierten Fachplanungen, bis zum konstruktiven Entwurf mit zeichnerischer Darstellung</t>
  </si>
  <si>
    <t>unter Verwendung des Musters 7</t>
  </si>
  <si>
    <t xml:space="preserve">Mitwirken bei der Kostenberechnung und bei der Terminplanung unter </t>
  </si>
  <si>
    <t>Verwendung des Musters 6</t>
  </si>
  <si>
    <t>Mitwirken beim Vergleich der Kostenberechnung mit der Kostenschätzung</t>
  </si>
  <si>
    <t>Zusammenfassen, Erläutern und Dokumentieren der Ergebnisse als</t>
  </si>
  <si>
    <t>Aufstellen der prüffähigen statischen Berechnungen für das Tragwerk</t>
  </si>
  <si>
    <t xml:space="preserve">Anfertigen der Positionspläne für das Tragwerk oder Eintragen </t>
  </si>
  <si>
    <t>der statischen Positionen, der Tragwerksabmessungen, der Verkehrslasten, der Art und Güte der Baustoffe und der Besonderheiten der Konstruktionen in die Entwurfszeichnungen des Objektplaners</t>
  </si>
  <si>
    <t>Abstimmen mit Prüfämtern und Prüfingenieuren oder Eigenkontrolle unter</t>
  </si>
  <si>
    <t xml:space="preserve">Vervollständigen und Berichtigen der Berechnungen und Pläne nach </t>
  </si>
  <si>
    <t xml:space="preserve">Fortführen der Abstimmung mit Prüfämtern und Prüfingenieuren </t>
  </si>
  <si>
    <r>
      <t>Summe Leistungsstufe 3 - Lph 6</t>
    </r>
    <r>
      <rPr>
        <b/>
        <sz val="8"/>
        <color theme="1"/>
        <rFont val="Arial"/>
        <family val="2"/>
      </rPr>
      <t xml:space="preserve"> (HOAI/ RBBau max. 2,00%) </t>
    </r>
  </si>
  <si>
    <t xml:space="preserve">Ermitteln der Betonstahlmengen im Stahlbetonbau, der Stahlmengen </t>
  </si>
  <si>
    <t>im Stahlbau und der Holzmengen im Ingenieurholzbau als Ergebnis der Ausführungsplanung und als Beitrag zur Mengenermittlung des Objektplaners</t>
  </si>
  <si>
    <t xml:space="preserve">Überschlägiges Ermitteln der Mengen der konstruktiven Stahlteile und </t>
  </si>
  <si>
    <t xml:space="preserve">Mitwirken beim Erstellen der Leistungsbeschreibung als Ergänzung </t>
  </si>
  <si>
    <t>zu den Mengenermittlungen als Grundlage für das Leistungsverzeichnis des Tragwerks</t>
  </si>
  <si>
    <r>
      <t>Summe Leistungsstufe 3 - Lph 7</t>
    </r>
    <r>
      <rPr>
        <b/>
        <sz val="8"/>
        <color theme="1"/>
        <rFont val="Arial"/>
        <family val="2"/>
      </rPr>
      <t xml:space="preserve"> (HOAI/ RBBau max. 0,00%)</t>
    </r>
    <r>
      <rPr>
        <b/>
        <sz val="10"/>
        <color theme="1"/>
        <rFont val="Arial"/>
        <family val="2"/>
      </rPr>
      <t xml:space="preserve"> </t>
    </r>
  </si>
  <si>
    <r>
      <t xml:space="preserve">Summe Leistungsstufe 4 - Lph 8 </t>
    </r>
    <r>
      <rPr>
        <b/>
        <sz val="8"/>
        <color theme="1"/>
        <rFont val="Arial"/>
        <family val="2"/>
      </rPr>
      <t>(HOAI/ RBBau  max. 0,00 %)</t>
    </r>
    <r>
      <rPr>
        <b/>
        <sz val="10"/>
        <color theme="1"/>
        <rFont val="Arial"/>
        <family val="2"/>
      </rPr>
      <t xml:space="preserve"> </t>
    </r>
  </si>
  <si>
    <r>
      <t xml:space="preserve">Summe Leistungsstufe 5 -  Lph 9 </t>
    </r>
    <r>
      <rPr>
        <b/>
        <sz val="8"/>
        <color theme="1"/>
        <rFont val="Arial"/>
        <family val="2"/>
      </rPr>
      <t xml:space="preserve">(HOAI/ RBBau max. 0,00 %) </t>
    </r>
  </si>
  <si>
    <r>
      <t>Summe Leistungsstufe 1 - Lph 3</t>
    </r>
    <r>
      <rPr>
        <b/>
        <sz val="8"/>
        <color theme="1"/>
        <rFont val="Arial"/>
        <family val="2"/>
      </rPr>
      <t xml:space="preserve"> (HOAI/ RBBau max. 15,00 %)</t>
    </r>
    <r>
      <rPr>
        <b/>
        <sz val="10"/>
        <color theme="1"/>
        <rFont val="Arial"/>
        <family val="2"/>
      </rPr>
      <t xml:space="preserve"> </t>
    </r>
  </si>
  <si>
    <r>
      <t>Summe Leistungsstufe 1</t>
    </r>
    <r>
      <rPr>
        <b/>
        <sz val="8"/>
        <color theme="1"/>
        <rFont val="Arial"/>
        <family val="2"/>
      </rPr>
      <t xml:space="preserve"> (HOAI/ RBBau max. 58,00 %) </t>
    </r>
  </si>
  <si>
    <r>
      <t xml:space="preserve">Summe Leistungsstufe 1 - Lph 4 </t>
    </r>
    <r>
      <rPr>
        <b/>
        <sz val="8"/>
        <color theme="1"/>
        <rFont val="Arial"/>
        <family val="2"/>
      </rPr>
      <t xml:space="preserve">(HOAI/ RBBau max. 30,00 %) </t>
    </r>
  </si>
  <si>
    <t xml:space="preserve">Nachweise zum konstruktiven Brandschutz </t>
  </si>
  <si>
    <t>geeignete Berechnungen wesentlicher tragender Teile</t>
  </si>
  <si>
    <t>und/oder genauer rechnerischer Nachweis)</t>
  </si>
  <si>
    <t>Mitwirkung bei der Prüfung und Wertung</t>
  </si>
  <si>
    <t>ohne Kosten für die technischen Anlagen</t>
  </si>
  <si>
    <t>Objektwahl</t>
  </si>
  <si>
    <r>
      <t>Gebäude und zugehörige bauliche Anlagen</t>
    </r>
    <r>
      <rPr>
        <sz val="8"/>
        <color theme="1"/>
        <rFont val="Arial"/>
        <family val="2"/>
      </rPr>
      <t xml:space="preserve"> (§ 50 (1) HOAI)</t>
    </r>
  </si>
  <si>
    <r>
      <t xml:space="preserve">Gebäude mit hohem Anteil an Kosten der Gründung und Tragkonstruktionen </t>
    </r>
    <r>
      <rPr>
        <sz val="8"/>
        <color theme="1"/>
        <rFont val="Arial"/>
        <family val="2"/>
      </rPr>
      <t>(§ 50 (2) HOAI)</t>
    </r>
  </si>
  <si>
    <r>
      <t xml:space="preserve">Traggerüste bei Ingenieurbauwerken </t>
    </r>
    <r>
      <rPr>
        <sz val="8"/>
        <color theme="1"/>
        <rFont val="Arial"/>
        <family val="2"/>
      </rPr>
      <t>(§ 50 (4) HOAI)</t>
    </r>
  </si>
  <si>
    <t>Objektwahl und Angabe der Baukosten</t>
  </si>
  <si>
    <r>
      <t xml:space="preserve">Ingenieurbauwerke gem. § 41 Nr. 1 bis 5 HOAI </t>
    </r>
    <r>
      <rPr>
        <sz val="8"/>
        <color theme="1"/>
        <rFont val="Arial"/>
        <family val="2"/>
      </rPr>
      <t>(§ 50 (3) HOAI)</t>
    </r>
  </si>
  <si>
    <r>
      <t xml:space="preserve">Arbeiten, die nicht in § 50 (1) bis (4) HOAI erfasst sind </t>
    </r>
    <r>
      <rPr>
        <sz val="8"/>
        <color theme="1"/>
        <rFont val="Arial"/>
        <family val="2"/>
      </rPr>
      <t>(§ 50 (5) HOAI)</t>
    </r>
    <r>
      <rPr>
        <sz val="10"/>
        <color theme="1"/>
        <rFont val="Arial"/>
        <family val="2"/>
      </rPr>
      <t>:</t>
    </r>
  </si>
  <si>
    <t xml:space="preserve">Herstellkosten bzw. Neuwert bei mehrfach verwendeten Bauteilen </t>
  </si>
  <si>
    <t xml:space="preserve">Zugehörige Kosten für Baustelleneinrichtung </t>
  </si>
  <si>
    <t xml:space="preserve">Kosten für Traggerüste und Baustelleneinrichtung bei Ingenieurbauwerken </t>
  </si>
  <si>
    <t xml:space="preserve">Kosten der Baukonstruktion </t>
  </si>
  <si>
    <r>
      <t xml:space="preserve">Ingenieurbauwerke gem. § 41 Nr. 6 und 7 HOAI </t>
    </r>
    <r>
      <rPr>
        <sz val="8"/>
        <color theme="1"/>
        <rFont val="Arial"/>
        <family val="2"/>
      </rPr>
      <t xml:space="preserve">(§ 50 (3) HOAI) </t>
    </r>
    <r>
      <rPr>
        <sz val="10"/>
        <color theme="1"/>
        <rFont val="Arial"/>
        <family val="2"/>
      </rPr>
      <t>(für Verkehrsanlagen)</t>
    </r>
  </si>
  <si>
    <t>3</t>
  </si>
  <si>
    <t>Sichten der Unterlagen der Objektplanung in Hinblick auf Auswirkungen für die Tragwerksplanung</t>
  </si>
  <si>
    <t>Mitwirkung bei der Entwicklung eines Arbeits- und Terminplanes für die Planungsleistungen als Zuarbeit für den Objektplaner</t>
  </si>
  <si>
    <t>Zusammenstellung der Planungsrandbedingungen aus der Objektplanung, die sich auf die statisch-konstruktiven Anforderungen für die Planungsaufgabe auswirken</t>
  </si>
  <si>
    <t>(z.B. Auswirkungen auf Gradiente, Stützweite, verkehrliche Belange, Zwangspunkte).</t>
  </si>
  <si>
    <r>
      <t xml:space="preserve">Summe Leistungsphase 2 </t>
    </r>
    <r>
      <rPr>
        <b/>
        <sz val="8"/>
        <color theme="1"/>
        <rFont val="Arial"/>
        <family val="2"/>
      </rPr>
      <t>(VHF max. 10,00 %)</t>
    </r>
  </si>
  <si>
    <r>
      <t xml:space="preserve">Summe Leistungsphase 1 </t>
    </r>
    <r>
      <rPr>
        <b/>
        <sz val="8"/>
        <color theme="1"/>
        <rFont val="Arial"/>
        <family val="2"/>
      </rPr>
      <t xml:space="preserve">(VHF max. 3,00 %) </t>
    </r>
  </si>
  <si>
    <t>Sichten von vorhandenen Unterlagen, z. B. Bauwerksbuch, Bauwerksakte</t>
  </si>
  <si>
    <t>Bewerten der Unterlagen hinsichtlich des Planungszieles</t>
  </si>
  <si>
    <t>Sichten und Bewerten der Unterlagen aus vorausgegangenen Untersuchungen (z.B. OSA, Gutachten, Schriftverkehr)</t>
  </si>
  <si>
    <t>Belange der Standsicherheit, der Gebrauchstauglichkeit und der Wirtschaftlichkeit</t>
  </si>
  <si>
    <t>Systematische Untersuchung und Beurteilung aller Sachverhalte, die die Maßnahme/das Objekt beeinflussen und Aufzeigen der daraus entstehenden Konsequenzen mit Vor- und Nachteilen</t>
  </si>
  <si>
    <t>Mitwirken bei der Bearbeitung von Varianten (unterschiedliche Tragwerksarten, Bauweisen, Baustoffe, Stützweiten) zuzüglich sich eventuell ergebender Untervarianten (z.B. verschiedene Überbauquerschnitte, Stützenformen, Gründungsvarianten, Geländerformen, Gestaltungsmöglichkeiten) in Abstimmung mit dem Objektplaner.</t>
  </si>
  <si>
    <t>Die Beiträge anderer an der Planung fachlich Beteiligter (z.B. Geologie, UVS, Artenschutz) sind für jede Variante zu berücksichtigen.</t>
  </si>
  <si>
    <t>Mitwirken bei der Feststellung der Vorzugsvariante in Abstimmung mit dem Objektplaner. Für die Vorzugsvariante sind die überschlägigen tragwerksplanerischen Nachweise (Vorstatik) zu erstellen.</t>
  </si>
  <si>
    <t>Mitwirken bei Vorverhandlungen der Vorzugsvariante mit Behörden und</t>
  </si>
  <si>
    <t>anderen an der Planung fachlich Beteiligten über die Genehmigungsfähigkeit</t>
  </si>
  <si>
    <t>Vorabstimmung und fachspezifische Beratung des Objektplaners</t>
  </si>
  <si>
    <t xml:space="preserve">Mitwirken bei der Kostenschätzung und bei der Terminplanung </t>
  </si>
  <si>
    <t>Ermitteln der überschlägigen Mengen und schätzen der Kosten aufgrund von Erfahrungswerten (z.B. Brückenfläche * Euro/m²)</t>
  </si>
  <si>
    <t>Mitwirkung bei der Erstellung eines groben Rahmenterminplans in Abstimmung mit dem Objektplaner</t>
  </si>
  <si>
    <t>Zusammenstellen der Vorplanungsergebnisse in schriftlicher und zeichnerischer Form mit Erläuterung der endgültigen Vorzugsvariante. Es ist darzustellen, welche Varianten betrachtet wurden, aus welchem Grund sie untersucht wurden und welche Varianten aus welchem Grund wieder fallengelassen wurden. Mitwirkung bei der Einarbeitung der Ergebnisse in die Objektplanung.</t>
  </si>
  <si>
    <r>
      <t xml:space="preserve">Summe Leistungsphase 3 </t>
    </r>
    <r>
      <rPr>
        <b/>
        <sz val="8"/>
        <color theme="1"/>
        <rFont val="Arial"/>
        <family val="2"/>
      </rPr>
      <t xml:space="preserve">(VHF max. 15,00 %) </t>
    </r>
  </si>
  <si>
    <t>Grundlegende Festlegung der Abmessungen und der konstruktiven Details auch unter Berücksichtigung der „Richtzeichnungen für Ingenieurbauwerke (RiZ ING)"</t>
  </si>
  <si>
    <t>Zeichnerische Darstellung des konstruktiven Entwurfs als Beitrag für den Bauwerksentwurfs des Objektplaners</t>
  </si>
  <si>
    <t xml:space="preserve">Überschlägige statische Berechnung und Bemessung </t>
  </si>
  <si>
    <t>Überschlägige überprüfbare statische Berechnung und Bemessung (Entwurfsstatik) für die Haupttragwerke unter Berücksichtigung der Herstellung und der Bauverfahren. Hierzu gehören z.B. folgende Leistungen:</t>
  </si>
  <si>
    <t>Überbau</t>
  </si>
  <si>
    <t>Festlegung des wirtschaftlichsten Querschnittes und dessen Abmessungen,</t>
  </si>
  <si>
    <t>und, soweit kritisch</t>
  </si>
  <si>
    <t>Bemessung der maßgebenden Querschnitte</t>
  </si>
  <si>
    <t>Ermittlung der Auflagerkräfte und Dimensionierung der Lager,</t>
  </si>
  <si>
    <t>Ermittlung der an den Lagern und Fahrbahnübergängen zu erwartenden Bewegungen,</t>
  </si>
  <si>
    <t>Nachweis der Sicherheit gegen Verformungen und Stabilitätsnachweis,</t>
  </si>
  <si>
    <t>Nachweis der Setzungsempfindlichkeit des gewählten Systems</t>
  </si>
  <si>
    <t>Unterbauten</t>
  </si>
  <si>
    <t xml:space="preserve">Festlegung der erforderlichen Abmessungen, </t>
  </si>
  <si>
    <t>und soweit erforderlich</t>
  </si>
  <si>
    <t>Standsicherheitsnachweis.</t>
  </si>
  <si>
    <t>Gründung</t>
  </si>
  <si>
    <t>Nachweis der Bodenpressung sowie der Kipp-, Gleit-, und Grundbruchsicherheiten</t>
  </si>
  <si>
    <t>Berechnung wahrscheinlicher und möglicher Setzungen und Verschiebungen für die Gründungskonstruktion.</t>
  </si>
  <si>
    <t>Grundlegende Festlegungen der konstruktiven Details und</t>
  </si>
  <si>
    <t>Entsprechende Darstellung von Konstruktionsdetails mit den erforderlichen Angaben  zur Einarbeitung in den Bauwerksentwurf des Objektplaners.</t>
  </si>
  <si>
    <t>Überschlägiges Ermitteln der Betonstahlmengen im  Stahlbetonbau,</t>
  </si>
  <si>
    <t>Überschlägige Ermittlung der wesentlichen Mengen (z.B. Betonstahlmengen, Spannstahlmengen, Baustahlmengen, Holzmengen)</t>
  </si>
  <si>
    <t>Mitwirken bei der Objektbeschreibung bzw. beim Erläuterungsbericht</t>
  </si>
  <si>
    <t>Beschreibung des Tragwerks unter Berücksichtigung der Herstellung und der Bauverfahren als Zuarbeit für den Erläuterungsbericht des Objektplaners</t>
  </si>
  <si>
    <t>Mitwirken bei Verhandlungen mit Behörden und anderen an der Planung</t>
  </si>
  <si>
    <t xml:space="preserve"> fachlich Beteiligten über die Genehmigungsfähigkeit</t>
  </si>
  <si>
    <t>Mitwirken u. a. bei</t>
  </si>
  <si>
    <t>der Abstimmung des Bauwerksentwurfes mit Dritten</t>
  </si>
  <si>
    <t>der Verhandlung mit Behörden und anderen an der Planung fachlich Beteiligten über die Genehmigungsfähigkeit</t>
  </si>
  <si>
    <t>der Einarbeitung der Ergebnisse der Fachbeiträge in den Bauwerksentwurf</t>
  </si>
  <si>
    <t xml:space="preserve">Mitwirken bei der Kostenberechnung und der Terminplanung </t>
  </si>
  <si>
    <t>Mitwirken bei der Kostenberechnung des Objektplaners</t>
  </si>
  <si>
    <t>Fortschreiben des Rahmenterminplans in Abstimmung mit dem Objektplaner</t>
  </si>
  <si>
    <t>Mitwirken bei der Kostenkontrolle durch Vergleich der Kostenberechnung mit der Kostenschätzung aus Leistungsphase 2</t>
  </si>
  <si>
    <t>Zusammenstellen der Ergebnisse des konstruktiven Entwurfs in schriftlicher und zeichnerischer Form mit Erläuterungen und Dokumentation</t>
  </si>
  <si>
    <r>
      <t>Summe Leistungsphase 4</t>
    </r>
    <r>
      <rPr>
        <b/>
        <sz val="8"/>
        <color theme="1"/>
        <rFont val="Arial"/>
        <family val="2"/>
      </rPr>
      <t xml:space="preserve"> (VHF max. 30,00 %) </t>
    </r>
  </si>
  <si>
    <t>Aufstellen der prüffähigen statischen Berechnungen gemäß ZTV-ING</t>
  </si>
  <si>
    <t xml:space="preserve">Bei Ingenieurbauwerken: Erfassen von normalen Bauzuständen </t>
  </si>
  <si>
    <t xml:space="preserve">Aufstellen der Standsicherheitsnachweise für die maßgebenden Bauzustände </t>
  </si>
  <si>
    <t>statischen Positionen, der Tragwerksabmessungen, der Verkehrslasten, der Art und Güte der Baustoffe und der Besonderheiten der Konstruktionen in die Entwurfszeichnungen des Objektplaners</t>
  </si>
  <si>
    <t>Übersichtliche Zusammenstellung der Positionen und wesentlichen Angaben gemäß ZTV-ING (z.B. in Form eines Standardsachregisters).</t>
  </si>
  <si>
    <t>Anzufertigen sind u.a.:</t>
  </si>
  <si>
    <t xml:space="preserve">Positionspläne als Ergänzung zu Schal- und Bewehrungsplänen mit Angabe der Betonierabschnitte </t>
  </si>
  <si>
    <t>Positionspläne für Fertigteile</t>
  </si>
  <si>
    <t>Positionspläne für Stahlbauteile mit Angabe der Montageschüsse</t>
  </si>
  <si>
    <t>Abstimmen mit Prüfämtern und Prüfingenieuren oder Eigenkontrolle</t>
  </si>
  <si>
    <t>Zusammenstellung der Unterlagen gemäß ZTV-ING</t>
  </si>
  <si>
    <t xml:space="preserve">Abstimmung der Unterlagen mit dem AG bzw. der von ihm vorgesehenen Prüfungsinstanz. </t>
  </si>
  <si>
    <t>Vervollständigen und Berichtigen der Berechnungen und Pläne</t>
  </si>
  <si>
    <t xml:space="preserve">Überarbeiten der Unterlagen nach Prüfung </t>
  </si>
  <si>
    <t>Überarbeiten der vervollständigten Unterlagen an den AG zur abschließenden Genehmigung</t>
  </si>
  <si>
    <r>
      <t xml:space="preserve">Summe der Grundleistungen über alle Leistungsphasen 
</t>
    </r>
    <r>
      <rPr>
        <b/>
        <sz val="8"/>
        <color theme="1"/>
        <rFont val="Arial"/>
        <family val="2"/>
      </rPr>
      <t xml:space="preserve">(VHF max. 104,00 %) </t>
    </r>
  </si>
  <si>
    <r>
      <t xml:space="preserve">Summe Leistungsphase 9 </t>
    </r>
    <r>
      <rPr>
        <b/>
        <sz val="8"/>
        <color theme="1"/>
        <rFont val="Arial"/>
        <family val="2"/>
      </rPr>
      <t xml:space="preserve">(VHF max. 0,00 %) </t>
    </r>
  </si>
  <si>
    <t>Leistungsstufe 4
Leistungsphase 8: Objektüberwachung</t>
  </si>
  <si>
    <t>Leistungsphase 8: Objektüberwachung</t>
  </si>
  <si>
    <r>
      <t xml:space="preserve">Summe Leistungsphase 8 </t>
    </r>
    <r>
      <rPr>
        <b/>
        <sz val="8"/>
        <color theme="1"/>
        <rFont val="Arial"/>
        <family val="2"/>
      </rPr>
      <t xml:space="preserve">(VHF max. 0,00 %) </t>
    </r>
  </si>
  <si>
    <r>
      <t xml:space="preserve">Summe Leistungsphase 7 </t>
    </r>
    <r>
      <rPr>
        <b/>
        <sz val="8"/>
        <color theme="1"/>
        <rFont val="Arial"/>
        <family val="2"/>
      </rPr>
      <t xml:space="preserve">(VHF max. 0,00 %) </t>
    </r>
  </si>
  <si>
    <r>
      <t xml:space="preserve">Summe Leistungsphase 6 </t>
    </r>
    <r>
      <rPr>
        <b/>
        <sz val="8"/>
        <color theme="1"/>
        <rFont val="Arial"/>
        <family val="2"/>
      </rPr>
      <t xml:space="preserve">(VHF max. 2,00 %) </t>
    </r>
  </si>
  <si>
    <t>Genaue Mengenermittlung für die geplante Bauleistung einschließlich Massenbilanz und Zuordnung entsprechend der Gliederung des Leistungsverzeichnisses (LV) sowie nach Einzelpositionen als Grundlage für das Aufstellen der Leistungsbeschreibung:</t>
  </si>
  <si>
    <t>Ermittlung der Betonmengen und Betonstahlmengen</t>
  </si>
  <si>
    <t>Ermittlung der Spannstahlmengen</t>
  </si>
  <si>
    <t>Ermittlung der Baustahlmengen und der Beschichtungsflächen</t>
  </si>
  <si>
    <t>Ermittlung der Holzmengen</t>
  </si>
  <si>
    <t>Überschlägiges Ermitteln der Mengen der konstruktiven Stahlteile</t>
  </si>
  <si>
    <t>und statisch erforderlichen Verbindungs- und Befestigungsmittel im Ingenieurholzbau</t>
  </si>
  <si>
    <t>Überschlägige Mengenermittlung der konstruktiven Stahlteile</t>
  </si>
  <si>
    <t>Überschlägige Mengenermittlung der Verbindungs- und Befestigungsmittel im Holzbau</t>
  </si>
  <si>
    <t>Mengenermittlungen als Grundlage für das Leistungsverzeichnis des Tragwerks</t>
  </si>
  <si>
    <t xml:space="preserve">Mitwirken beim Erstellen der Leistungsbeschreibung als Ergänzung zu den </t>
  </si>
  <si>
    <t>Aufstellen der Leistungsbeschreibung nach dem „Handbuch für die Vergabe und Ausführung von Bauleistungen im Straßen- und Brückenbau" (HVA B-StB) mit Baubeschreibung und Leistungsverzeichnis
(unter Anwendung des STLK (Standardleistungskatalog) bzw. des RLK (Regionalleistungskatalog) mit der Straßenbauverwaltung des betreffenden Landes)
und Abstimmung mit dem AG</t>
  </si>
  <si>
    <t>Abstimmung mit dem AG zur grundsätzlichen Gliederung der Vergabeunterlagen in Abschnitte (Lose) und wesentlicher Ausführungsphasen</t>
  </si>
  <si>
    <t xml:space="preserve">* Abweichende Bewertung mit 13,00 %, sofern ein Holzbau mit durchschnittlicher bzw. hoher Schwierigkeit vorliegt. </t>
  </si>
  <si>
    <t>Erstellung der objektbezogenen Ausführungsunterlagen gemäß ZTV-ING unter Berücksichtigung aller fachspezifischen Anforderungen und den Anforderungen anderer fachlich Beteiligten (z.B. Wasserhaltung, Baugrubenverbau, Traggerüste, Betoniervorgänge).</t>
  </si>
  <si>
    <t>Hierzu gehört auch das Zusammenstellen, Auswerten und Berücksichtigen der umweltrelevanten Vorgaben, die sich aus dem allgemeinen Umweltrecht ergeben. Zu den auszuwertenden Unterlagen gehören neben dem Planfeststellungsbeschluss mit seinen Anlagen auch Vereinbarungen mit Dritten.</t>
  </si>
  <si>
    <t>* Abweichende Bewertung mit 20,00 %, sofern nur Schalpläne in Auftrag gegeben werden § 51 (3) HOAI.</t>
  </si>
  <si>
    <t>Anfertigung der Schalpläne mit Angaben zu Abmessungen, Betongüte, Stahlsorte und Fugenausbildung, Richtzeichnungen, Einbauteilen etc.</t>
  </si>
  <si>
    <t>* Abweichende Bewertung mit 18,00 %, sofern ein Stahlbetonbau mit sehr enger Bewehrung vorliegt.
  Abweichende Bewertung mit 20,00 %, sofern ein Holzbau mit durchschnittlicher bzw. hoher Schwierigkeit vorliegt.</t>
  </si>
  <si>
    <t>Anfertigung von Bewehrungsplänen mit Angaben zur Stahlbewehrung mit Angabe der Bauteilabmessungen gemäß Schalplan</t>
  </si>
  <si>
    <t>Anfertigung von Ausführungsplänen zur Spanngliedführung mit Angaben zum Spannverfahren gemäß Zulassung</t>
  </si>
  <si>
    <t>Anfertigen von Stahlbauplänen, Materialverteilungsplänen und Korrosionsschutzplänen mit Festlegung von Montageschüssen</t>
  </si>
  <si>
    <t>Anfertigung von Holzkonstruktionsplänen</t>
  </si>
  <si>
    <t>Mitwirken beim Erstellen von Montage- und Arbeitsanweisungen</t>
  </si>
  <si>
    <t>Anfertigung von Ausführungsunterlagen als Ergänzung der Pläne z.B. für Brückenausstattung, Lageversetzplan, Entwässerung, Bauablaufplan</t>
  </si>
  <si>
    <t xml:space="preserve">Aufstellen von Stahl- und Stücklisten als Ergänzung zur zeichnerischen </t>
  </si>
  <si>
    <t>* Abweichende Bewertung mit 4,00 %, sofern ein Holzbau mit durchschnittlicher bzw. hoher Schwierigkeit vorliegt.
  Abweichende Bewertung mit 4,00 %, sofern ein Stahlbetonbau mit sehr enger Bewehrung vorliegt.</t>
  </si>
  <si>
    <t>Anfertigung von Stahl- und Stücklisten mit Angaben zur Bewehrungsform und Abmessung</t>
  </si>
  <si>
    <t>Fortführung der Abstimmung mit Prüfämtern und Prüfingenieuren</t>
  </si>
  <si>
    <t>* Abweichende Bewertung mit 3,00 %, sofern ein Holzbau mit durchschnittlicher bzw. hoher Schwierigkeit vorliegt.</t>
  </si>
  <si>
    <t>Abstimmung  der Unterlagen mit dem AG bzw. der von ihm vorgesehenen Prüfungsinstanz.</t>
  </si>
  <si>
    <t>Übergabe der Unterlagen an den AG zur abschließenden Genehmigung</t>
  </si>
  <si>
    <t>Kosten für Arbeiten, die nicht in § 50 (1) bis (4) HOAI erfasst sind</t>
  </si>
  <si>
    <t>1.3</t>
  </si>
  <si>
    <t>1.4</t>
  </si>
  <si>
    <t>1.5</t>
  </si>
  <si>
    <t>1.6</t>
  </si>
  <si>
    <r>
      <t xml:space="preserve">Anrechenbare Kosten Traggerüst </t>
    </r>
    <r>
      <rPr>
        <b/>
        <sz val="8"/>
        <color theme="1"/>
        <rFont val="Arial"/>
        <family val="2"/>
      </rPr>
      <t>[Z 5.1 + Z 5.2]</t>
    </r>
  </si>
  <si>
    <r>
      <t>55% der Kosten der Baukonstruktion</t>
    </r>
    <r>
      <rPr>
        <sz val="8"/>
        <color theme="1"/>
        <rFont val="Arial"/>
        <family val="2"/>
      </rPr>
      <t xml:space="preserve"> [0,55 x Z2]</t>
    </r>
  </si>
  <si>
    <r>
      <t>90% der Kosten der Baukonstruktion</t>
    </r>
    <r>
      <rPr>
        <sz val="8"/>
        <color theme="1"/>
        <rFont val="Arial"/>
        <family val="2"/>
      </rPr>
      <t xml:space="preserve"> [0,90 x Z2]</t>
    </r>
  </si>
  <si>
    <r>
      <t xml:space="preserve">10 % der Kosten für technische Anlagen / Ausrüstung </t>
    </r>
    <r>
      <rPr>
        <sz val="8"/>
        <color theme="1"/>
        <rFont val="Arial"/>
        <family val="2"/>
      </rPr>
      <t>[0,10 x Z2]</t>
    </r>
  </si>
  <si>
    <r>
      <t xml:space="preserve">15 % der Kosten für technische Anlagen / Ausrüstung </t>
    </r>
    <r>
      <rPr>
        <sz val="8"/>
        <color theme="1"/>
        <rFont val="Arial"/>
        <family val="2"/>
      </rPr>
      <t>[0,15 x Z2]</t>
    </r>
  </si>
  <si>
    <r>
      <t>100% der Kosten für Arbeiten nach § 50 (5) HOAI</t>
    </r>
    <r>
      <rPr>
        <sz val="8"/>
        <color theme="1"/>
        <rFont val="Arial"/>
        <family val="2"/>
      </rPr>
      <t xml:space="preserve"> [1,00 x Z6]</t>
    </r>
  </si>
  <si>
    <r>
      <t xml:space="preserve">Anrechenbare Kosten der mitzuverarbeitenden Bausubstanz </t>
    </r>
    <r>
      <rPr>
        <b/>
        <sz val="8"/>
        <color theme="1"/>
        <rFont val="Arial"/>
        <family val="2"/>
      </rPr>
      <t>[Z 4.1 + Z 4.2]</t>
    </r>
  </si>
  <si>
    <r>
      <t xml:space="preserve">Anrechenbare Kosten für die Leistungsphasen 1 bis 9  
</t>
    </r>
    <r>
      <rPr>
        <sz val="8"/>
        <rFont val="Arial"/>
        <family val="2"/>
      </rPr>
      <t>[Z 2.1 + Z 2.2 + Z 3.1 + Z 3.2 + Z 4.3 + Z 5.3 + Z 6.1]</t>
    </r>
  </si>
  <si>
    <t>TWP für Ing.-bauwerk m. großer Längenausdehnung unter gl. Bed.</t>
  </si>
  <si>
    <t>Aufstellen von Vergleichsberechnungen für</t>
  </si>
  <si>
    <t>mehrere Lösungsmöglichkeiten unter verschiedenen Objektbedingungen</t>
  </si>
  <si>
    <t>Aufstellen eines Lastenplans, zum Beispiel als</t>
  </si>
  <si>
    <t>Grundlage für die Baugrundbeurteilung und Gründungsberatung</t>
  </si>
  <si>
    <t>tragender Teile</t>
  </si>
  <si>
    <t>Vorläufige nachprüfbare Berechnung wesentlicher</t>
  </si>
  <si>
    <t>Vorläufige nachprüfbare Berechnung der Gründung</t>
  </si>
  <si>
    <t>Vorgezogene, prüfbare und für die Ausführung</t>
  </si>
  <si>
    <t>geeignete Berechnung wesentlich tragender Teile</t>
  </si>
  <si>
    <t>geeignete Berechnung der Gründung</t>
  </si>
  <si>
    <t xml:space="preserve">Mehraufwand bei Sonderbauweisen oder </t>
  </si>
  <si>
    <t>Sonderkonstruktionen, zum Beispiel Klären von Konstruktionsdetails</t>
  </si>
  <si>
    <t>Vorgezogene Stahl- oder Holzmengenermittlung des</t>
  </si>
  <si>
    <t>Tragwerks und der kraftübertragenden Verbindungsteile für die Ausschreibung, die ohne Vorliegen von Ausführungsunterlagen durchgeführt wird</t>
  </si>
  <si>
    <t xml:space="preserve">Nachweise der Erdbebensicherung </t>
  </si>
  <si>
    <t>4.07</t>
  </si>
  <si>
    <t>4.08</t>
  </si>
  <si>
    <t xml:space="preserve">Nachweis zum konstruktiven Brandschutz, soweit </t>
  </si>
  <si>
    <t>erforderlich unter Berücksichtigung der Temperatur (Heißbemessung)</t>
  </si>
  <si>
    <t>Statische Berechnung und zeichnerische Darstellung</t>
  </si>
  <si>
    <t>für Bergschadenssicherungen und Bauzustände bei Ingenieurbauwerken, soweit diese Leistungen über 
das Erfassen von normalen Bauzuständen hinausgehen</t>
  </si>
  <si>
    <t>Zeichnungen mit statischen Positionen und den</t>
  </si>
  <si>
    <t>Tragwerksabmessungen, den Bewehrungsquerschnitten, den Verkehrslasten und der Art und Güte der Baustoffe sowie Besonderheiten der Konstruktionen zur Vorlage bei der bauaufsichtlichen Prüfung anstelle von Positionsplänen</t>
  </si>
  <si>
    <t>Aufstellen der Berechnungen nach militärischen</t>
  </si>
  <si>
    <t>Lastenklassen (MLC)</t>
  </si>
  <si>
    <t>Erfassen von Bauzuständen bei Ingenieurbauwerken,</t>
  </si>
  <si>
    <t>Statische Nachweise an nicht zum Tragwerk</t>
  </si>
  <si>
    <t>gehörende Konstruktionen (zum Beispiel Fassaden)</t>
  </si>
  <si>
    <t>Konstruktion und Nachweise der Anschlüsse</t>
  </si>
  <si>
    <t xml:space="preserve">im Stahl- und Holzbau </t>
  </si>
  <si>
    <t xml:space="preserve">Werkstattzeichnungen im Stahl- und Holzbau </t>
  </si>
  <si>
    <t>einschließlich Stücklisten,  Elementpläne für Stahlbetonfertigteile einschließlich Stahl- und Stücklisten</t>
  </si>
  <si>
    <t>Berechnen der Dehnwege, Festlegen des</t>
  </si>
  <si>
    <t>Spannvorganges und Erstellen der Spannprotokolle im Spannbetonbau</t>
  </si>
  <si>
    <t>Rohbauzeichnungen im Stahlbetonbau, die</t>
  </si>
  <si>
    <t>auf der Baustelle nicht der Ergänzung durch die Pläne des Objektplaners bedürfen</t>
  </si>
  <si>
    <t>6.04</t>
  </si>
  <si>
    <t>6.05</t>
  </si>
  <si>
    <t>6.06</t>
  </si>
  <si>
    <t>Beitrag zur Leistungsbeschreibung mit</t>
  </si>
  <si>
    <t xml:space="preserve">Leistungsprogramm des Objektplaners </t>
  </si>
  <si>
    <t>Hinweis: Diese Besondere Leistung wird bei Leistungsbeschreibung mit Leistungsprogramm zur Grundleistung. In diesem Fall entfallen die Grundleistungen dieser Leistungsphase</t>
  </si>
  <si>
    <t>Beitrag zum Aufstellen von vergleichbaren</t>
  </si>
  <si>
    <t>Kostenübersichten des Objektplaners</t>
  </si>
  <si>
    <t>des Tragwerks</t>
  </si>
  <si>
    <t>Beitrag zum Aufstellen des Leistungsverzeichnisses</t>
  </si>
  <si>
    <t>7.05</t>
  </si>
  <si>
    <t>Mitwirken bei der Prüfung und Wertung der</t>
  </si>
  <si>
    <t>Angebote Leistungsbeschreibung mit Leistungsprogramm des Objektplaners</t>
  </si>
  <si>
    <t>Mitwirken beim Kostenanschlag nach DIN 276 oder</t>
  </si>
  <si>
    <t>Nebenangeboten</t>
  </si>
  <si>
    <t>Mitwirken bei der Prüfung und Wertung von</t>
  </si>
  <si>
    <t>anderer Vorgaben des Auftraggebers aus Einheitspreisen oder Pauschalangeboten</t>
  </si>
  <si>
    <t>Ingenieurtechnische Kontrolle der Ausführung</t>
  </si>
  <si>
    <t>des Tragwerks auf Übereinstimmung mit den geprüften statischen Unterlagen</t>
  </si>
  <si>
    <t xml:space="preserve">Ingenieurtechnische Kontrolle der Baubehelfe, </t>
  </si>
  <si>
    <t>zum Beispiel Arbeits- und Lehrgerüste, Kranbahnen, Baugrubensicherungen</t>
  </si>
  <si>
    <t>Kontrolle der Betonherstellung und –verarbeitung</t>
  </si>
  <si>
    <t>auf der Baustelle in besonderen Fällen sowie Auswertung der Güteprüfung</t>
  </si>
  <si>
    <t>Betontechnologische Beratung</t>
  </si>
  <si>
    <t xml:space="preserve">Mitwirken bei der Überwachung der Ausführung </t>
  </si>
  <si>
    <t>der Tragwerkseingriffe bei Umbauten und Modernisierungen</t>
  </si>
  <si>
    <t>Baubegehung zur Feststellung und Überwachung</t>
  </si>
  <si>
    <t>von die Standsicherheit betreffenden Einflüssen</t>
  </si>
  <si>
    <t>Mitwirken beim Vergleich der Kostenberechnung mit der</t>
  </si>
  <si>
    <t>der Stahlmengen im Stahlbau und der Holzmengen im Ingenieurbau</t>
  </si>
  <si>
    <t>Ermitteln der Betonstahlmengen im Stahlbetonbau, der Stahlmengen</t>
  </si>
  <si>
    <t>in Stahlbau und der Holzmengen im Ingenieurholzbau als Ergebnis der Ausführungsplanung und als Beitrag zur Mengenermittlung des Objektplaners</t>
  </si>
  <si>
    <t>Eingabe für StB:</t>
  </si>
  <si>
    <t>Leistungsphase 1: Grundlagenermittlung *</t>
  </si>
  <si>
    <t>* Für konstruktive Ingenieurbauwerke für Verkehrsanlagen</t>
  </si>
  <si>
    <t>nach § 41 Nr. 6 HOAI und sonstige Einzelbauwerke (§ 41 Nr. 7 HOAI) sind die Grundleistungen der Tragwerksplanung in der Leistungsphase 1 im Leistungsbild Objektplanung „Ingenieurbauwerke“ gemäß § 43 enthalten (§ 51, Abs. 5 HOAI).</t>
  </si>
  <si>
    <t>Leistungsstufe 1A
Leistungsphase 1: Grundlagenermittlung*</t>
  </si>
  <si>
    <t>* Abweichende Bewertung mit 20,00%, sofern nur Schalpläne in Auftrag gegeben werden § 51 (3) HOAI</t>
  </si>
  <si>
    <r>
      <t xml:space="preserve">Summe Grundleistungen über alle Leistungsphasen 
</t>
    </r>
    <r>
      <rPr>
        <b/>
        <sz val="8"/>
        <color theme="1"/>
        <rFont val="Arial"/>
        <family val="2"/>
      </rPr>
      <t xml:space="preserve">(HOAI/ VHF max. 104 %) </t>
    </r>
  </si>
  <si>
    <r>
      <t xml:space="preserve">Summe Grundleistungen über alle Leistungsphasen 
</t>
    </r>
    <r>
      <rPr>
        <b/>
        <sz val="8"/>
        <color theme="1"/>
        <rFont val="Arial"/>
        <family val="2"/>
      </rPr>
      <t xml:space="preserve">(HOAI/ RBBau max. 104 %) </t>
    </r>
  </si>
  <si>
    <t xml:space="preserve">Zusammenstellen der die Aufgabe beeinflussenden </t>
  </si>
  <si>
    <t>Eingabe für HB:</t>
  </si>
  <si>
    <t xml:space="preserve">Kosten der Technische Anlagen / Ausrüstung </t>
  </si>
  <si>
    <t xml:space="preserve">Kosten der mvB der Baukonstruktion </t>
  </si>
  <si>
    <t>Kosten der mvB der Technischen Anlagen / Ausrüstung</t>
  </si>
  <si>
    <r>
      <t xml:space="preserve">Es handelt sich um eine </t>
    </r>
    <r>
      <rPr>
        <b/>
        <sz val="10"/>
        <rFont val="Arial"/>
        <family val="2"/>
      </rPr>
      <t>Ausführungsplanung im Holzbau</t>
    </r>
    <r>
      <rPr>
        <sz val="10"/>
        <rFont val="Arial"/>
        <family val="2"/>
      </rPr>
      <t xml:space="preserve"> nach § 51 Abs. 2 Nr. 2 HOAI.</t>
    </r>
  </si>
  <si>
    <r>
      <t xml:space="preserve">Es handelt sich um eine </t>
    </r>
    <r>
      <rPr>
        <b/>
        <sz val="10"/>
        <rFont val="Arial"/>
        <family val="2"/>
      </rPr>
      <t xml:space="preserve">Ausführungsplanung im Holzbau </t>
    </r>
    <r>
      <rPr>
        <sz val="10"/>
        <rFont val="Arial"/>
        <family val="2"/>
      </rPr>
      <t>nach § 51 Abs. 2 Nr. 2 HOAI.</t>
    </r>
  </si>
  <si>
    <r>
      <t xml:space="preserve">Es handelt sich um eine </t>
    </r>
    <r>
      <rPr>
        <b/>
        <sz val="10"/>
        <rFont val="Arial"/>
        <family val="2"/>
      </rPr>
      <t>Ausführungsplanung mit einer sehr engen Bewehrung</t>
    </r>
    <r>
      <rPr>
        <sz val="10"/>
        <rFont val="Arial"/>
        <family val="2"/>
      </rPr>
      <t xml:space="preserve"> nach § 51 Abs.4 HOAI. </t>
    </r>
  </si>
  <si>
    <r>
      <t xml:space="preserve">Summe Leistungsstufe 2 - Lph 5 </t>
    </r>
    <r>
      <rPr>
        <b/>
        <sz val="8"/>
        <color theme="1"/>
        <rFont val="Arial"/>
        <family val="2"/>
      </rPr>
      <t xml:space="preserve">(HOAI/ VHF max. 44,00 %) </t>
    </r>
  </si>
  <si>
    <r>
      <t xml:space="preserve">Summe Leistungsphase 5 </t>
    </r>
    <r>
      <rPr>
        <b/>
        <sz val="8"/>
        <color theme="1"/>
        <rFont val="Arial"/>
        <family val="2"/>
      </rPr>
      <t>(VHF max. 44,00 %)</t>
    </r>
    <r>
      <rPr>
        <b/>
        <sz val="10"/>
        <color theme="1"/>
        <rFont val="Arial"/>
        <family val="2"/>
      </rPr>
      <t xml:space="preserve"> </t>
    </r>
  </si>
  <si>
    <r>
      <t xml:space="preserve">Summe Leistungssstufe 2 - Lph 5 </t>
    </r>
    <r>
      <rPr>
        <b/>
        <sz val="8"/>
        <color theme="1"/>
        <rFont val="Arial"/>
        <family val="2"/>
      </rPr>
      <t>(HOAI/ RBBau max. 44,00 %)</t>
    </r>
    <r>
      <rPr>
        <b/>
        <sz val="10"/>
        <color theme="1"/>
        <rFont val="Arial"/>
        <family val="2"/>
      </rPr>
      <t xml:space="preserve"> </t>
    </r>
  </si>
  <si>
    <r>
      <t xml:space="preserve">Es handelt sich um eine </t>
    </r>
    <r>
      <rPr>
        <b/>
        <sz val="10"/>
        <rFont val="Arial"/>
        <family val="2"/>
      </rPr>
      <t>Ausführungsplanung mit einer sehr engen Bewehrung</t>
    </r>
    <r>
      <rPr>
        <sz val="10"/>
        <rFont val="Arial"/>
        <family val="2"/>
      </rPr>
      <t xml:space="preserve"> nach § 51 Abs.4 HOAI.</t>
    </r>
  </si>
  <si>
    <r>
      <t xml:space="preserve">Summe Leistungsstufe 3 </t>
    </r>
    <r>
      <rPr>
        <b/>
        <sz val="8"/>
        <color theme="1"/>
        <rFont val="Arial"/>
        <family val="2"/>
      </rPr>
      <t>(HOAI/ RBBau max. 2,00%)</t>
    </r>
    <r>
      <rPr>
        <b/>
        <sz val="10"/>
        <color theme="1"/>
        <rFont val="Arial"/>
        <family val="2"/>
      </rPr>
      <t xml:space="preserve"> </t>
    </r>
  </si>
  <si>
    <t>Bedarfsplanung des Auftraggebers</t>
  </si>
  <si>
    <t>Analysieren der Grundlagen</t>
  </si>
  <si>
    <t>Beachtung der durch die Objektplanung integrierten Fachplanungen*</t>
  </si>
  <si>
    <t>Ausführungspläne des Objektplaners*</t>
  </si>
  <si>
    <t>Verlegeanweisungen, zum Beispiel Bewehrungspläne, Stahlbau- oder Holzkonstruktionspläne mit Leitdetails (keine Werkstattzeichnungen)*</t>
  </si>
  <si>
    <t>Darstellung der Konstruktionen mit Stahlmengenermittlung*</t>
  </si>
  <si>
    <t>oder Eigenkontrolle*</t>
  </si>
  <si>
    <t>Beachtung der durch  die Objektplanung integrierten Fachplanungen*</t>
  </si>
  <si>
    <t>Eigenkontrolle*</t>
  </si>
  <si>
    <t>Wahl der geeigneten Gründungsart in Bezug auf die vorhandenen Baugrundverhältnisse unter Berücksichtigung des geotechnischen Bericht</t>
  </si>
  <si>
    <t>Festlegung der Hauptabmessungen der Gründungskonstruktion</t>
  </si>
  <si>
    <t>Leistungsstufe 1
Leistungsphase 1: Grundlagenermittlung*</t>
  </si>
  <si>
    <t xml:space="preserve">in fünffacher Ausfertigung </t>
  </si>
  <si>
    <r>
      <t>Beitrag zur Entwurfsunterlage Bau / HU-Bau</t>
    </r>
    <r>
      <rPr>
        <vertAlign val="superscript"/>
        <sz val="10"/>
        <rFont val="Arial"/>
        <family val="2"/>
      </rPr>
      <t>1</t>
    </r>
    <r>
      <rPr>
        <sz val="10"/>
        <rFont val="Arial"/>
        <family val="2"/>
      </rPr>
      <t xml:space="preserve"> / Bauunterlage nach Abschnitt F 2 RBBau und Übergeben auf Datenträgern und </t>
    </r>
  </si>
  <si>
    <r>
      <rPr>
        <i/>
        <vertAlign val="superscript"/>
        <sz val="8"/>
        <rFont val="Arial"/>
        <family val="2"/>
      </rPr>
      <t xml:space="preserve">1 </t>
    </r>
    <r>
      <rPr>
        <i/>
        <sz val="8"/>
        <rFont val="Arial"/>
        <family val="2"/>
      </rPr>
      <t>Nur bei Baumaßnahmen der Gaststreitkräfte</t>
    </r>
  </si>
  <si>
    <t xml:space="preserve">in dreifacher Ausfertigung </t>
  </si>
  <si>
    <t>Genehmigung und Übergeben der Unterlagen</t>
  </si>
  <si>
    <t>in dreifacher Ausfertigung</t>
  </si>
  <si>
    <t>und Übergeben der Unterlagen in digitaler Form sowie in Papier</t>
  </si>
  <si>
    <t>unter Verwendung der RLBau Muster, insbesondere der Muster Kosten, Muster Erläuterungsbericht und Muster Objektbogen und Übergeben der Unterlagen</t>
  </si>
  <si>
    <r>
      <t xml:space="preserve">Der Wert beinhaltet mehrere vergleichbare Tragwerke </t>
    </r>
    <r>
      <rPr>
        <sz val="8"/>
        <color theme="1"/>
        <rFont val="Arial"/>
        <family val="2"/>
      </rPr>
      <t>(§ 11 (2) HOAI)</t>
    </r>
  </si>
  <si>
    <t xml:space="preserve">Abrechnungsstand vom: </t>
  </si>
  <si>
    <r>
      <t xml:space="preserve">
Zur Bearbeitung wird die Excel-Arbeitsmappenansicht „Normal“ empfohlen.
Eintragungen in </t>
    </r>
    <r>
      <rPr>
        <b/>
        <sz val="10"/>
        <color theme="1"/>
        <rFont val="Arial"/>
        <family val="2"/>
      </rPr>
      <t>Felder mit blauem Hintergrund und roter Umrandung</t>
    </r>
    <r>
      <rPr>
        <sz val="10"/>
        <color theme="1"/>
        <rFont val="Arial"/>
        <family val="2"/>
      </rPr>
      <t xml:space="preserve"> (gekennzeichnet mit seitlichem roten Pfeil) sind vom </t>
    </r>
    <r>
      <rPr>
        <b/>
        <sz val="10"/>
        <color theme="1"/>
        <rFont val="Arial"/>
        <family val="2"/>
      </rPr>
      <t>Auftraggeber</t>
    </r>
    <r>
      <rPr>
        <sz val="10"/>
        <color theme="1"/>
        <rFont val="Arial"/>
        <family val="2"/>
      </rPr>
      <t xml:space="preserve"> zwingend auszufüllen. 
Es wird empfohlen, nichtbenötigte Tabellenblätter auszublenden (</t>
    </r>
    <r>
      <rPr>
        <b/>
        <sz val="10"/>
        <color theme="1"/>
        <rFont val="Arial"/>
        <family val="2"/>
      </rPr>
      <t>nicht löschen!</t>
    </r>
    <r>
      <rPr>
        <sz val="10"/>
        <color theme="1"/>
        <rFont val="Arial"/>
        <family val="2"/>
      </rPr>
      <t xml:space="preserve">). Dies ist auch mit ganzen Zeilen oder Spalten möglich.
Beim Einfügen von zusätzlichen Zeilen mit Kontrollkästchen, müssen die Zellverknüpfungen manuel angepasst werden.
Bei mehreren Angeobtsdateien ist die Bezeichnung der Honorarangebotsdatei manuell in das "Angebotsdokument" zu übertragen.
Um unbeabsichtigten Änderungen insbesondere in den Formeln vorzubeugen, wurden die Tabellenblätter geschützt. </t>
    </r>
  </si>
  <si>
    <t>(Anpassung der Teilleistungen LPH 5)</t>
  </si>
  <si>
    <t>* Abweichende Bewertung mit 1,00 %, sofern ein Holzbau mit durchschnittlicher bzw. hoher Schwierigkeit vorliegt (§ 51 (2) Nr.2 HOAI).</t>
  </si>
  <si>
    <t xml:space="preserve">* Abweichende Bewertung mit 12,00 %, sofern ein Holzbau mit durchschnittlicher bzw. hoher Schwierigkeit vorliegt (§ 51 (2) Nr.2 HOAI) </t>
  </si>
  <si>
    <t>(Anpassung der Teilleistungen LPH 5 auf Grund Zuordnung Honorarzone)</t>
  </si>
  <si>
    <t xml:space="preserve">* Abweichende Bewertung mit 10,00 %, sofern ein Holzbau mit durchschnittlicher bzw. hoher Schwierigkeit vorliegt (§ 51 (2) Nr.2 HOAI) </t>
  </si>
  <si>
    <t>* Abweichende Bewertung mit 23,50 %, sofern ein Holzbau mit durchschnittlicher bzw. hoher Schwierigkeit vorliegt (§ 51 (2) Nr.2 HOAI).
 Abweichende Bewertung mit 21,00 %, sofern ein Stahlbetonbau mit sehr enger Bewehrung vorliegt (§51 (4) HOAI).</t>
  </si>
  <si>
    <t xml:space="preserve">* Abweichende Bewertung mit 23,50 %, sofern ein Holzbau mit durchschnittlicher bzw. hoher Schwierigkeit vorliegt (§ 51 (2) Nr.2 HOAI).
 Abweichende Bewertung mit 21,00 %, sofern ein Stahlbetonbau mit sehr enger Bewehrung vorliegt (§51 (4) HOAI).
</t>
  </si>
  <si>
    <t>* Abweichende Bewertung mit 3,50 %, sofern ein Holzbau mit durchschnittlicher bzw. hoher Schwierigkeit vorliegt (§ 51 (2) Nr.2 HOAI).
  Abweichende Bewertung mit 3,50 %, sofern ein Stahlbetonbau mit sehr enger Bewehrung vorliegt (§51 (4) HOAI).</t>
  </si>
  <si>
    <t>* Abweichende Bewertung mit 20,00 %, sofern nur Schalpläne in Auftrag gegeben werden (§ 51 (3) HOAI).</t>
  </si>
  <si>
    <r>
      <t>Summe Leistungsstufe 1A - Lph 1</t>
    </r>
    <r>
      <rPr>
        <b/>
        <sz val="8"/>
        <color theme="1"/>
        <rFont val="Arial"/>
        <family val="2"/>
      </rPr>
      <t xml:space="preserve"> (HOAI/ VHF max. 3,00 %) </t>
    </r>
  </si>
  <si>
    <t>Festlegung der Besonderen Leistungen Hochbau - Land</t>
  </si>
  <si>
    <t>Festlegung der Besonderen Leistungen Hochbau - Bund</t>
  </si>
  <si>
    <t>LPh 1 bis 9 (Teil A Z 7)</t>
  </si>
  <si>
    <t>Lph 1 bis 9 (Teil A Z 7)</t>
  </si>
  <si>
    <t>Leistungsphasen 1 bis 9 (Teil E Z 4.9)</t>
  </si>
  <si>
    <t>4.9</t>
  </si>
  <si>
    <t xml:space="preserve">HB Besond. Lstg. Land </t>
  </si>
  <si>
    <t xml:space="preserve">HB Besond. Lstg. Bund </t>
  </si>
  <si>
    <t>Honorartafel nach §52 HOAI</t>
  </si>
  <si>
    <r>
      <t xml:space="preserve">
Zur Bearbeitung wird die Excel-Arbeitsmappenansicht „Normal“ empfohlen.
Eintragungen in </t>
    </r>
    <r>
      <rPr>
        <b/>
        <sz val="10"/>
        <color theme="1"/>
        <rFont val="Arial"/>
        <family val="2"/>
      </rPr>
      <t>Felder mit blauem Hintergrund</t>
    </r>
    <r>
      <rPr>
        <sz val="10"/>
        <color theme="1"/>
        <rFont val="Arial"/>
        <family val="2"/>
      </rPr>
      <t xml:space="preserve"> sind dem </t>
    </r>
    <r>
      <rPr>
        <b/>
        <sz val="10"/>
        <color theme="1"/>
        <rFont val="Arial"/>
        <family val="2"/>
      </rPr>
      <t>Auftraggeber</t>
    </r>
    <r>
      <rPr>
        <sz val="10"/>
        <color theme="1"/>
        <rFont val="Arial"/>
        <family val="2"/>
      </rPr>
      <t xml:space="preserve"> vorbehalten. Eintragungen des Bieters sind unzulässig.
Die in den </t>
    </r>
    <r>
      <rPr>
        <b/>
        <sz val="10"/>
        <color theme="1"/>
        <rFont val="Arial"/>
        <family val="2"/>
      </rPr>
      <t>Teilen D und E rot hinterlegten Felder</t>
    </r>
    <r>
      <rPr>
        <sz val="10"/>
        <color theme="1"/>
        <rFont val="Arial"/>
        <family val="2"/>
      </rPr>
      <t xml:space="preserve"> sind vom </t>
    </r>
    <r>
      <rPr>
        <b/>
        <sz val="10"/>
        <color theme="1"/>
        <rFont val="Arial"/>
        <family val="2"/>
      </rPr>
      <t xml:space="preserve">Bieter </t>
    </r>
    <r>
      <rPr>
        <sz val="10"/>
        <color theme="1"/>
        <rFont val="Arial"/>
        <family val="2"/>
      </rPr>
      <t>zwingend zu befüllen (gelbe Felder sind optional zu befüllen), der Eintrag von "0" ist regelmäßig zulässig. Werden die Felder befüllt, wechselt die Farbe auf gelb.
Auf die Folgen unvollständiger oder unzulässiger Eintragungen des Bieters, insbesondere entsprechend der §§ 56 und 57 VgV, die auch unterschwellig entsprechend Anwendung finden können, wird hiermit hingewiesen.
Bei mehreren Angebotsdateien ist die "</t>
    </r>
    <r>
      <rPr>
        <b/>
        <sz val="10"/>
        <color theme="1"/>
        <rFont val="Arial"/>
        <family val="2"/>
      </rPr>
      <t>Angebotssumme</t>
    </r>
    <r>
      <rPr>
        <sz val="10"/>
        <color theme="1"/>
        <rFont val="Arial"/>
        <family val="2"/>
      </rPr>
      <t xml:space="preserve"> brutto" in Teil E vom Bieter manuell in das "Angebotsdokument" zu übertragen. Es gelten die Einheitspreise in der Angebotsdatei
Um unbeabsichtigten Änderungen insbesondere in den Formeln vorzubeugen, wurden die Tabellenblätter geschützt. </t>
    </r>
  </si>
  <si>
    <r>
      <t xml:space="preserve">Das Honorar für Grundleistungen umfasst </t>
    </r>
    <r>
      <rPr>
        <b/>
        <sz val="10"/>
        <color theme="1"/>
        <rFont val="Arial"/>
        <family val="2"/>
      </rPr>
      <t>keine</t>
    </r>
    <r>
      <rPr>
        <sz val="10"/>
        <color theme="1"/>
        <rFont val="Arial"/>
        <family val="2"/>
      </rPr>
      <t xml:space="preserve"> Umbauten und Modernisierungen bzw.</t>
    </r>
  </si>
  <si>
    <t>Instandsetzungen und Instandhaltungen. Ein Zuschlag wird nicht vereinbart.</t>
  </si>
  <si>
    <t>HOAI-Text gemäß Leistungsbild</t>
  </si>
  <si>
    <r>
      <t xml:space="preserve">Grundleistungen Hochbau Land
</t>
    </r>
    <r>
      <rPr>
        <sz val="9"/>
        <color theme="1"/>
        <rFont val="Arial"/>
        <family val="2"/>
      </rPr>
      <t>Anlage zu § 6 (Spezifische Leistungspflichten zum Vertrag Fachplanung – Tragwerksplanung)</t>
    </r>
  </si>
  <si>
    <r>
      <t xml:space="preserve">Grundleistungen Hochbau Bund
</t>
    </r>
    <r>
      <rPr>
        <sz val="9"/>
        <color theme="1"/>
        <rFont val="Arial"/>
        <family val="2"/>
      </rPr>
      <t>Anlage zu § 6 (Spezifische Leistungspflichten zum Vertrag Fachplanung – Tragwerksplanung)</t>
    </r>
  </si>
  <si>
    <r>
      <t>Beschreibung der Besonderen Leistungen Hochbau Land</t>
    </r>
    <r>
      <rPr>
        <sz val="8"/>
        <color rgb="FF0070C0"/>
        <rFont val="Arial"/>
        <family val="2"/>
      </rPr>
      <t xml:space="preserve">
</t>
    </r>
    <r>
      <rPr>
        <sz val="8"/>
        <rFont val="Arial"/>
        <family val="2"/>
      </rPr>
      <t>Leistungstext (Anlage zu § 6 Spezifische Leistungspflichen zum Vertrag)</t>
    </r>
  </si>
  <si>
    <r>
      <t>Beschreibung der Besonderen Leistungen Hochbau Bund</t>
    </r>
    <r>
      <rPr>
        <sz val="8"/>
        <color rgb="FF0070C0"/>
        <rFont val="Arial"/>
        <family val="2"/>
      </rPr>
      <t xml:space="preserve">
</t>
    </r>
    <r>
      <rPr>
        <sz val="8"/>
        <rFont val="Arial"/>
        <family val="2"/>
      </rPr>
      <t>Leistungstext (Anlage zu § 6 Spezifische Leistungspflichen zum Vertrag)</t>
    </r>
  </si>
  <si>
    <r>
      <t xml:space="preserve">v.H. Satz
</t>
    </r>
    <r>
      <rPr>
        <sz val="8"/>
        <color theme="1"/>
        <rFont val="Arial"/>
        <family val="2"/>
      </rPr>
      <t>(von Teil E  Z 4.9)</t>
    </r>
  </si>
  <si>
    <t>(Honorarangabe für Besondere Lst. Hochbau)</t>
  </si>
  <si>
    <r>
      <t xml:space="preserve">Zuschlag v. H. vereinbart </t>
    </r>
    <r>
      <rPr>
        <sz val="8"/>
        <color theme="1"/>
        <rFont val="Arial"/>
        <family val="2"/>
      </rPr>
      <t>(0 bis max. 50 v.H. § 52 (4) HOAI)</t>
    </r>
    <r>
      <rPr>
        <sz val="10"/>
        <color theme="1"/>
        <rFont val="Arial"/>
        <family val="2"/>
      </rPr>
      <t xml:space="preserve"> in Höhe von:</t>
    </r>
  </si>
  <si>
    <t>Maßnahmennr</t>
  </si>
  <si>
    <t>Maßnahme</t>
  </si>
  <si>
    <t>Vergabenr</t>
  </si>
  <si>
    <t>Bieter</t>
  </si>
  <si>
    <t>Angebot</t>
  </si>
  <si>
    <t>Index</t>
  </si>
  <si>
    <t>2 Honorarzone</t>
  </si>
  <si>
    <t>4.9 Basishonorar für Grundleistungen</t>
  </si>
  <si>
    <t>5.1 Minderung des Basishonorars in v.H.</t>
  </si>
  <si>
    <t>5.2 Erhöhung des Basishonorars in v.H.</t>
  </si>
  <si>
    <t>7.4 Umbauzuschlag in v.H.</t>
  </si>
  <si>
    <t>8.2 Wiederholung Nr.</t>
  </si>
  <si>
    <t xml:space="preserve">6 Leistungsphase 1     mit v.H. </t>
  </si>
  <si>
    <t xml:space="preserve">6 Leistungsphase 1     </t>
  </si>
  <si>
    <t xml:space="preserve">6 Leistungsphase 2     mit v.H. </t>
  </si>
  <si>
    <t xml:space="preserve">6 Leistungsphase 2     </t>
  </si>
  <si>
    <t xml:space="preserve">6 Leistungsphase 3     mit v.H. </t>
  </si>
  <si>
    <t xml:space="preserve">6 Leistungsphase 3     </t>
  </si>
  <si>
    <t xml:space="preserve">6 Leistungsphase 4     mit v.H. </t>
  </si>
  <si>
    <t xml:space="preserve">6 Leistungsphase 4     </t>
  </si>
  <si>
    <t xml:space="preserve">6 Leistungsphase 5     mit v.H. </t>
  </si>
  <si>
    <t xml:space="preserve">6 Leistungsphase 5     </t>
  </si>
  <si>
    <t xml:space="preserve">6 Leistungsphase 6     mit v.H. </t>
  </si>
  <si>
    <t xml:space="preserve">6 Leistungsphase 6     </t>
  </si>
  <si>
    <t xml:space="preserve">6 Leistungsphase 7     mit v.H. </t>
  </si>
  <si>
    <t xml:space="preserve">6 Leistungsphase 7     </t>
  </si>
  <si>
    <t xml:space="preserve">6 Leistungsphase 8     mit v.H. </t>
  </si>
  <si>
    <t xml:space="preserve">6 Leistungsphase 8     </t>
  </si>
  <si>
    <t xml:space="preserve">6 Leistungsphase 9     mit v.H. </t>
  </si>
  <si>
    <t xml:space="preserve">6 Leistungsphase 9     </t>
  </si>
  <si>
    <t>8.5 Summe Honorar für anteilige Grundleistungen</t>
  </si>
  <si>
    <t>9.1 Summe Honorar für Besond. Leistungen (s.Teil C)</t>
  </si>
  <si>
    <t>9.2 Summe Grundhonorar und Besond. Leistungen</t>
  </si>
  <si>
    <t>10.2 Nebenkosten  in %</t>
  </si>
  <si>
    <t xml:space="preserve">10 Nebenkosten </t>
  </si>
  <si>
    <t>12 Auftragssumme netto</t>
  </si>
  <si>
    <t>13 Mehrwertsteuer in %</t>
  </si>
  <si>
    <t>13 Mehrwertsteuer</t>
  </si>
  <si>
    <t>14 Auftragsumme brutto</t>
  </si>
  <si>
    <t>20 Wertungssumme netto</t>
  </si>
  <si>
    <t>21 Mehrwertsteuer</t>
  </si>
  <si>
    <t>22 Wertungssumme brutto</t>
  </si>
  <si>
    <t>Bezeichnung Besond Lstg</t>
  </si>
  <si>
    <t>EP-Preis</t>
  </si>
  <si>
    <t>Netto-GP-Preis</t>
  </si>
  <si>
    <t>1 Anechenbare Kosten</t>
  </si>
  <si>
    <t>5.4 Basishonorar der Leistungsphasen</t>
  </si>
  <si>
    <t>Umbauzuschlag nach § 6 (2) HOAI</t>
  </si>
  <si>
    <r>
      <t xml:space="preserve">Es handelt sich um </t>
    </r>
    <r>
      <rPr>
        <b/>
        <sz val="10"/>
        <rFont val="Arial"/>
        <family val="2"/>
      </rPr>
      <t>Nachrechnen gem. Nachrechnungsrichtlinie</t>
    </r>
  </si>
  <si>
    <t>(Sofern das Honorar nicht als v.H.-Sätze der HOAI-Berechnungstabelle ermittelt werden kann, sind die Positionen in die Besonderen Leistungen zu übertragen und als Pauschalen anbieten zu lassen.)</t>
  </si>
  <si>
    <r>
      <rPr>
        <i/>
        <u/>
        <sz val="9"/>
        <color rgb="FF0070C0"/>
        <rFont val="Arial"/>
        <family val="2"/>
      </rPr>
      <t>Nachrechnung gem. Nachrechnungsrichtlinie:</t>
    </r>
    <r>
      <rPr>
        <i/>
        <sz val="9"/>
        <color rgb="FF0070C0"/>
        <rFont val="Arial"/>
        <family val="2"/>
      </rPr>
      <t xml:space="preserve">
Sichtung und Auswertung der Bestandsunterlagen, der Bauwerksbücher und der Hauptprüfberichte gemäß Nachrechnungsrichtlinie und Prüfung auf Plau-sibilität</t>
    </r>
  </si>
  <si>
    <r>
      <rPr>
        <i/>
        <u/>
        <sz val="9"/>
        <color rgb="FF0070C0"/>
        <rFont val="Arial"/>
        <family val="2"/>
      </rPr>
      <t>Nachrechnung gem. Nachrechnungsrichtlinie:</t>
    </r>
    <r>
      <rPr>
        <i/>
        <sz val="9"/>
        <color rgb="FF0070C0"/>
        <rFont val="Arial"/>
        <family val="2"/>
      </rPr>
      <t xml:space="preserve">
Dokumentation der örtlichen Besichtigung, Beschreibung des Bauwerkszu-stands und weiterführende Unterlagen zur Erfassung des Bauwerkszustands</t>
    </r>
  </si>
  <si>
    <r>
      <rPr>
        <i/>
        <u/>
        <sz val="9"/>
        <color rgb="FF0070C0"/>
        <rFont val="Arial"/>
        <family val="2"/>
      </rPr>
      <t>Nachrechnung gem. Nachrechnungsrichtlinie:</t>
    </r>
    <r>
      <rPr>
        <i/>
        <sz val="9"/>
        <color rgb="FF0070C0"/>
        <rFont val="Arial"/>
        <family val="2"/>
      </rPr>
      <t xml:space="preserve">
Sichten und Bewerten von Unterlagen aus vorausgegangenen Untersuchun-gen (z. B. OSA, Gutachten, Schriftverkehr)</t>
    </r>
  </si>
  <si>
    <r>
      <rPr>
        <i/>
        <u/>
        <sz val="9"/>
        <color rgb="FF0070C0"/>
        <rFont val="Arial"/>
        <family val="2"/>
      </rPr>
      <t>Nachrechnung gem. Nachrechnungsrichtlinie:</t>
    </r>
    <r>
      <rPr>
        <i/>
        <sz val="9"/>
        <color rgb="FF0070C0"/>
        <rFont val="Arial"/>
        <family val="2"/>
      </rPr>
      <t xml:space="preserve">
Überprüfung der Bestandspläne (z. B. Bewehrung, Stahlverteilung) in Bezug auf die für die Nachrechnung erforderlichen Konstruktionsdetails</t>
    </r>
  </si>
  <si>
    <r>
      <rPr>
        <i/>
        <u/>
        <sz val="9"/>
        <color rgb="FF0070C0"/>
        <rFont val="Arial"/>
        <family val="2"/>
      </rPr>
      <t>Nachrechnung gem. Nachrechnungsrichtlinie:</t>
    </r>
    <r>
      <rPr>
        <i/>
        <sz val="9"/>
        <color rgb="FF0070C0"/>
        <rFont val="Arial"/>
        <family val="2"/>
      </rPr>
      <t xml:space="preserve">
Zusammenstellen der Ergebnisse mit Erläuterungen</t>
    </r>
  </si>
  <si>
    <r>
      <rPr>
        <i/>
        <u/>
        <sz val="9"/>
        <color rgb="FF0070C0"/>
        <rFont val="Arial"/>
        <family val="2"/>
      </rPr>
      <t>Nachrechnung gem. Nachrechnungsrichtlinie:</t>
    </r>
    <r>
      <rPr>
        <i/>
        <sz val="9"/>
        <color rgb="FF0070C0"/>
        <rFont val="Arial"/>
        <family val="2"/>
      </rPr>
      <t xml:space="preserve">
Grundlegende Festlegung zur Bestimmung der Tragwerkswiderstände (z. B. Bewehrungsmenge oder Stahlquerschnitte in Nachweispunkten)</t>
    </r>
  </si>
  <si>
    <t>Nachrechnung gem. Nachrechnungsrichtlinie:</t>
  </si>
  <si>
    <t>richtlinie
Das Bauwerk ist auf der Grundlage der in der Nachrechnungsrichtlinie Abschnitt 4.2 näher spezifizierten Stufe 1 zu bearbeiten. Als Ziellastniveau ist hierbei anzusetzen (vgl. Nachrechnungsrichtlinie 10.1.2):</t>
  </si>
  <si>
    <t>LMM – Lastmodell 1 nach  DIN EN 1991-2/NA</t>
  </si>
  <si>
    <t>LM 1 – Lastmodell 1 nach DIN-Fachbericht 101 (März/2009)</t>
  </si>
  <si>
    <t>BK 60/30 – Brückenklasse 60/30 nach DIN 1072 (1985)</t>
  </si>
  <si>
    <t>BK 60 – Brückenklasse 60 nach DIN 1072 (1967)</t>
  </si>
  <si>
    <t>BK 30/30 – Brückenklasse 30/30 nach DIN 1072 (1985)</t>
  </si>
  <si>
    <t>Die Nachrechnung umfasst die grundsätzlich zu erbringenden Leistungen für:</t>
  </si>
  <si>
    <t>Überbau in Quer- und Längsrichtung inkl. Auflagerkräfte</t>
  </si>
  <si>
    <r>
      <t xml:space="preserve">Die Nachrechnung umfasst weitere Leistungen für: 
</t>
    </r>
    <r>
      <rPr>
        <i/>
        <sz val="8"/>
        <color rgb="FF0070C0"/>
        <rFont val="Arial"/>
        <family val="2"/>
      </rPr>
      <t>(Zustimmung des AG erforderlich)</t>
    </r>
  </si>
  <si>
    <t>Lagerkräfte/-verformungen (einschl. Betongelenk)</t>
  </si>
  <si>
    <r>
      <t xml:space="preserve">Aufstellen der prüffähigen statischen Nachrechnung gemäß </t>
    </r>
    <r>
      <rPr>
        <i/>
        <u/>
        <sz val="9"/>
        <color rgb="FF0070C0"/>
        <rFont val="Arial"/>
        <family val="2"/>
      </rPr>
      <t>Stufe 1</t>
    </r>
    <r>
      <rPr>
        <i/>
        <sz val="9"/>
        <color rgb="FF0070C0"/>
        <rFont val="Arial"/>
        <family val="2"/>
      </rPr>
      <t xml:space="preserve"> der Nachrechnungs-</t>
    </r>
  </si>
  <si>
    <r>
      <t>richtlinie (</t>
    </r>
    <r>
      <rPr>
        <i/>
        <sz val="8"/>
        <color rgb="FF0070C0"/>
        <rFont val="Arial"/>
        <family val="2"/>
      </rPr>
      <t>Zustimmung des AG erforderlich)</t>
    </r>
    <r>
      <rPr>
        <i/>
        <sz val="9"/>
        <color rgb="FF0070C0"/>
        <rFont val="Arial"/>
        <family val="2"/>
      </rPr>
      <t xml:space="preserve">
Ergänzung und Überarbeitung der prüffähigen statischen Nachrechnung nach Stufe 1 unter Berücksichtigung spezieller Regelungen gemäß Stufe 2 – ggf. Abminderung des Ziellastniveaus - mit Angabe von Kompensationsmaß-nahmen bzw. Nutzungsauflagen für ggf. verbleibende Nachweisdefizite inkl. Zusammenstellung des Auslastungsgrades κ gemäß Nachrechnungsrichtli-nie, Anlage 2.</t>
    </r>
  </si>
  <si>
    <r>
      <t xml:space="preserve">Aufstellen der prüffähigen statischen Nachrechnung gemäß </t>
    </r>
    <r>
      <rPr>
        <i/>
        <u/>
        <sz val="9"/>
        <color rgb="FF0070C0"/>
        <rFont val="Arial"/>
        <family val="2"/>
      </rPr>
      <t>Stufe 2</t>
    </r>
    <r>
      <rPr>
        <i/>
        <sz val="9"/>
        <color rgb="FF0070C0"/>
        <rFont val="Arial"/>
        <family val="2"/>
      </rPr>
      <t xml:space="preserve"> der Nachrechnungs-</t>
    </r>
  </si>
  <si>
    <t>Bewertung der Ergebnisse der Nachrechnung</t>
  </si>
  <si>
    <t>Ingenieurmäßige Bewertung der Ergebnisse gemäß Nachrechnungsrichtlinie Abschnitt 8.1</t>
  </si>
  <si>
    <r>
      <rPr>
        <i/>
        <u/>
        <sz val="9"/>
        <color rgb="FF0070C0"/>
        <rFont val="Arial"/>
        <family val="2"/>
      </rPr>
      <t>Nachrechnung gem. Nachrechnungsrichtlinie:</t>
    </r>
    <r>
      <rPr>
        <i/>
        <sz val="9"/>
        <color rgb="FF0070C0"/>
        <rFont val="Arial"/>
        <family val="2"/>
      </rPr>
      <t xml:space="preserve">
Systematische Zusammenstellung der Ergebnisse gemäß Nachrechnungs-
richtlinie Abschnitt 9.</t>
    </r>
  </si>
  <si>
    <r>
      <rPr>
        <i/>
        <u/>
        <sz val="9"/>
        <color rgb="FF0070C0"/>
        <rFont val="Arial"/>
        <family val="2"/>
      </rPr>
      <t>Nachrechnung gem. Nachrechnungsrichtlinie:</t>
    </r>
    <r>
      <rPr>
        <i/>
        <sz val="9"/>
        <color rgb="FF0070C0"/>
        <rFont val="Arial"/>
        <family val="2"/>
      </rPr>
      <t xml:space="preserve">
Abstimmung der Unterlagen mit dem vom AG vorgesehenen Prüfungsingenieur</t>
    </r>
  </si>
  <si>
    <r>
      <rPr>
        <i/>
        <u/>
        <sz val="9"/>
        <color rgb="FF0070C0"/>
        <rFont val="Arial"/>
        <family val="2"/>
      </rPr>
      <t>Nachrechnung gem. Nachrechnungsrichtlinie:</t>
    </r>
    <r>
      <rPr>
        <i/>
        <sz val="9"/>
        <color rgb="FF0070C0"/>
        <rFont val="Arial"/>
        <family val="2"/>
      </rPr>
      <t xml:space="preserve">
Überarbeiten der Unterlagen nach Prüfung 
Übergabe der vervollständigten Unterlagen an den AG</t>
    </r>
  </si>
  <si>
    <t>Ortsbesichtigung gem. Nachrechnungsrichtlinie</t>
  </si>
  <si>
    <r>
      <rPr>
        <i/>
        <u/>
        <sz val="9"/>
        <color rgb="FF0070C0"/>
        <rFont val="Arial"/>
        <family val="2"/>
      </rPr>
      <t>Nachrechnung gem. Nachrechnungsrichtlinie:</t>
    </r>
    <r>
      <rPr>
        <i/>
        <sz val="9"/>
        <color rgb="FF0070C0"/>
        <rFont val="Arial"/>
        <family val="2"/>
      </rPr>
      <t xml:space="preserve">
Ortsbesichtigung aller Teilbauwerke mit dem AG zur visuellen Überprüfung der Bestandsunterlagen auf Plausibilität und zur Einschätzung des allgemeinen Bauwerkszustandes, vgl. Nachrechnungsrichtlinie.
Die Ergebnisse der Bestandsaufnahme und der Bauwerksbesichtigung sind bei der weiteren Bearbeitung der statischen Nachrechnung zu berücksichtigen, vgl. Nachrechnungsrichtlinie.</t>
    </r>
  </si>
  <si>
    <t>Wirtschaftlichkeitsuntersuchung</t>
  </si>
  <si>
    <r>
      <rPr>
        <i/>
        <u/>
        <sz val="9"/>
        <color rgb="FF0070C0"/>
        <rFont val="Arial"/>
        <family val="2"/>
      </rPr>
      <t>Nachrechnung gem. Nachrechnungsrichtlinie:</t>
    </r>
    <r>
      <rPr>
        <i/>
        <sz val="9"/>
        <color rgb="FF0070C0"/>
        <rFont val="Arial"/>
        <family val="2"/>
      </rPr>
      <t xml:space="preserve">
In der Machbarkeitsstudie sind für alle Teilbauwerke geeignete Verstärkungsmaßnahmen zur Behebung der in der Nachrechnung festgestellten Defizite aufzuzeigen. Die statischen Nachweise sind an allen Punkten zu führen, an denen die Lasten aus der Verstärkung in den Bestand eingeleitet werden. Die vorgesehenen Verstärkungsmaßnahmen (inklusive der Konstruktion und der Bauverfahrenstechnik) sind skizzenhaft darzustellen. Es ist eine Kostenschätzung gemäß HOAI § 2 aufzustellen, die als Grundlage für eine Wirtschaftlichkeitsuntersuchung dienen soll. </t>
    </r>
  </si>
  <si>
    <r>
      <rPr>
        <i/>
        <u/>
        <sz val="9"/>
        <color rgb="FF0070C0"/>
        <rFont val="Arial"/>
        <family val="2"/>
      </rPr>
      <t>Nachrechnung gem. Nachrechnungsrichtlinie:</t>
    </r>
    <r>
      <rPr>
        <i/>
        <sz val="9"/>
        <color rgb="FF0070C0"/>
        <rFont val="Arial"/>
        <family val="2"/>
      </rPr>
      <t xml:space="preserve">
Erstellung einer Wirtschaftlichkeitsuntersuchung gemäß „Richtlinie zur Durchführung von Wirtschaftlichkeitsuntersuchungen im Rahmen von Instandsetzungs-/ Erneuerungsmaßnahmen bei Straßenbrücken, RI-WI-BRÜ“ durch Vergleich der Verstärkungsmaßnahmen aus der Machbarkeitsstudie mit einem Ersatzneubau mit Vorschlag für das weitere Vorgehen.</t>
    </r>
  </si>
  <si>
    <t>in denen das statische System von dem des Endzustands abweicht</t>
  </si>
  <si>
    <t>2.08</t>
  </si>
  <si>
    <t>4.09</t>
  </si>
  <si>
    <t>4.10</t>
  </si>
  <si>
    <t>4.11</t>
  </si>
  <si>
    <t>4.12</t>
  </si>
  <si>
    <t>nach der Nachrechnungsrichtlinie Abschnitt 4.2.(7).</t>
  </si>
  <si>
    <t xml:space="preserve">Aufstellen der prüffähigen statischen Berechnung </t>
  </si>
  <si>
    <t>Aufstellen einer prüffähigen statischen Berechnung gem. „Handlungs-</t>
  </si>
  <si>
    <t>anweisung zur Beurteilung der Dauerhaftigkeit vorgespannter Bewehrung von älteren Spannbetonüberbauten, Ausgabe 1998“ (Handlungsanweisung Koppelfugen).</t>
  </si>
  <si>
    <t xml:space="preserve">Aufstellen einer prüffähigen statischen Berechnung </t>
  </si>
  <si>
    <t>gemäß „Handlungsanweisung zur Überprüfung und Beurteilung von älteren Bauwerken, die mit vergütetem spannungsrisskorrosionsgefährdetem Spannstahl erstellt wurden“ (Handlungsanweisung Spannungsrisskorrosion).</t>
  </si>
  <si>
    <t>bei Nachrechnen gem. Nachrechnungsrichtlinie</t>
  </si>
  <si>
    <t xml:space="preserve">hinsichtlich der Zulässigkeit einer Baustellenverkehrsführung (z. B.4+0) bzw. der Nachweis der BK 60 nach DIN 1072 gemäß Anlage 5 der 1. Ergänzung zur Nachrechnungsrichtlinie </t>
  </si>
  <si>
    <t>4.13</t>
  </si>
  <si>
    <t xml:space="preserve">des Nachweises zum Ankündigungsverhalten ggf. unter Berücksichtigung der Verstärkung gemäß Abschnitt 12.8 der 1. Ergänzung zur Nachrechnungsrichtlinie  </t>
  </si>
  <si>
    <t xml:space="preserve">zur Ermittlung des Vergleichswertes η  </t>
  </si>
  <si>
    <t>die Längs- und Querrichtung des Überbaus</t>
  </si>
  <si>
    <t>die Unterbauten</t>
  </si>
  <si>
    <t>die Gründung</t>
  </si>
  <si>
    <t>zu ermitteln. (Hinweis: Art und Umfang der zu ermittelnden Auslastungsgrade ist eindeutig festzulegen.)</t>
  </si>
  <si>
    <t>ertüchtigung</t>
  </si>
  <si>
    <t xml:space="preserve">Machbarkeitsuntersuchung zur Bauwerks- </t>
  </si>
  <si>
    <r>
      <rPr>
        <i/>
        <u/>
        <sz val="9"/>
        <color rgb="FF0070C0"/>
        <rFont val="Arial"/>
        <family val="2"/>
      </rPr>
      <t>Nachrechnen gem. Nachrechnungsrichtlinie:</t>
    </r>
    <r>
      <rPr>
        <i/>
        <sz val="9"/>
        <color rgb="FF0070C0"/>
        <rFont val="Arial"/>
        <family val="2"/>
      </rPr>
      <t xml:space="preserve">
Statische Berechnung und Bemessung von Betonbrücken nach den seinerzeit gültigen Normen unmittelbar vor Einführung der DIN-Fachberichte unter Anwendung des globalen Sicherheitskonzeptes:</t>
    </r>
  </si>
  <si>
    <t xml:space="preserve">Zusammenstellung der Unterlagen der Tragwerksplanung zur </t>
  </si>
  <si>
    <t xml:space="preserve">Genehmigung </t>
  </si>
  <si>
    <t>Leistungen gem. Nachrechnungsrichtlinie:</t>
  </si>
  <si>
    <r>
      <rPr>
        <i/>
        <u/>
        <sz val="9"/>
        <color rgb="FF0070C0"/>
        <rFont val="Arial"/>
        <family val="2"/>
      </rPr>
      <t>Nachrechnen gem. Nachrechnungsrichtlinie:</t>
    </r>
    <r>
      <rPr>
        <i/>
        <sz val="9"/>
        <color rgb="FF0070C0"/>
        <rFont val="Arial"/>
        <family val="2"/>
      </rPr>
      <t xml:space="preserve">
Der auf das definierte Ziellastniveau bezogene Vergleichswert der Einwirkung mit dem Lastmodell LMM ist sowohl für die Grenzzustände der Tragfähigkeit als auch für die Grenzzustände der Gebrauchstauglichkeit für die maßgebenden Bauteile und Nachweisquerschnitte für</t>
    </r>
  </si>
  <si>
    <t>Vertragsnr.:</t>
  </si>
  <si>
    <t>Es ist eine Person für alle Leistungsphasen fachlich verantwortlich.</t>
  </si>
  <si>
    <t>Stand: 04.01.2024</t>
  </si>
  <si>
    <t>Aktualisierung des Lastenplans der Ziff. 2.02</t>
  </si>
  <si>
    <t>B63SABBD000300</t>
  </si>
  <si>
    <t>B 26, Erneuerung der Brücke über die Bahn bei Wernfeld</t>
  </si>
  <si>
    <t>Behelfsbrücke über die Bahn</t>
  </si>
  <si>
    <t>000.411.425</t>
  </si>
  <si>
    <t>24-080603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</si>
</sst>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0.00\ &quot;€&quot;"/>
    <numFmt numFmtId="165" formatCode="0.0000000%"/>
    <numFmt numFmtId="166" formatCode="#,##0;;;@"/>
    <numFmt numFmtId="167" formatCode="#,##0.00;;;@"/>
    <numFmt numFmtId="168" formatCode="#,##0.00%;;;@"/>
    <numFmt numFmtId="169" formatCode="0.0%"/>
  </numFmts>
  <fonts count="7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color theme="1"/>
      <name val="Arial"/>
      <family val="2"/>
    </font>
    <font>
      <b/>
      <sz val="14"/>
      <color theme="1"/>
      <name val="Arial"/>
      <family val="2"/>
    </font>
    <font>
      <b/>
      <sz val="10"/>
      <color theme="1"/>
      <name val="Arial"/>
      <family val="2"/>
    </font>
    <font>
      <sz val="9"/>
      <color theme="1"/>
      <name val="Arial"/>
      <family val="2"/>
    </font>
    <font>
      <b/>
      <sz val="8"/>
      <color theme="1"/>
      <name val="Arial"/>
      <family val="2"/>
    </font>
    <font>
      <b/>
      <sz val="9"/>
      <color theme="1"/>
      <name val="Arial"/>
      <family val="2"/>
    </font>
    <font>
      <sz val="8"/>
      <color rgb="FFFF0000"/>
      <name val="Arial"/>
      <family val="2"/>
    </font>
    <font>
      <i/>
      <sz val="8"/>
      <color rgb="FFFF0000"/>
      <name val="Arial"/>
      <family val="2"/>
    </font>
    <font>
      <sz val="11"/>
      <color theme="1"/>
      <name val="Arial"/>
      <family val="2"/>
    </font>
    <font>
      <i/>
      <sz val="8"/>
      <color rgb="FF0070C0"/>
      <name val="Arial"/>
      <family val="2"/>
    </font>
    <font>
      <i/>
      <sz val="10"/>
      <color theme="1"/>
      <name val="Arial"/>
      <family val="2"/>
    </font>
    <font>
      <i/>
      <sz val="10"/>
      <color rgb="FFFF0000"/>
      <name val="Arial"/>
      <family val="2"/>
    </font>
    <font>
      <b/>
      <sz val="10"/>
      <color rgb="FFFF0000"/>
      <name val="Arial"/>
      <family val="2"/>
    </font>
    <font>
      <sz val="8"/>
      <color rgb="FF0070C0"/>
      <name val="Arial"/>
      <family val="2"/>
    </font>
    <font>
      <i/>
      <sz val="8"/>
      <color theme="1"/>
      <name val="Arial"/>
      <family val="2"/>
    </font>
    <font>
      <sz val="10"/>
      <color rgb="FF222222"/>
      <name val="Arial"/>
      <family val="2"/>
    </font>
    <font>
      <sz val="10"/>
      <color theme="1"/>
      <name val="Arial"/>
      <family val="2"/>
    </font>
    <font>
      <sz val="10"/>
      <name val="Arial"/>
      <family val="2"/>
    </font>
    <font>
      <sz val="14"/>
      <color theme="1"/>
      <name val="Arial"/>
      <family val="2"/>
    </font>
    <font>
      <sz val="12"/>
      <color theme="1"/>
      <name val="Arial"/>
      <family val="2"/>
    </font>
    <font>
      <b/>
      <sz val="8"/>
      <color rgb="FFFF0000"/>
      <name val="Arial"/>
      <family val="2"/>
    </font>
    <font>
      <b/>
      <sz val="8"/>
      <name val="Arial"/>
      <family val="2"/>
    </font>
    <font>
      <b/>
      <sz val="10"/>
      <name val="Arial"/>
      <family val="2"/>
    </font>
    <font>
      <sz val="10"/>
      <color rgb="FFDCE6F1"/>
      <name val="Arial"/>
      <family val="2"/>
    </font>
    <font>
      <i/>
      <sz val="8"/>
      <color rgb="FFC00000"/>
      <name val="Arial"/>
      <family val="2"/>
    </font>
    <font>
      <sz val="10"/>
      <color theme="0"/>
      <name val="Arial"/>
      <family val="2"/>
    </font>
    <font>
      <sz val="10"/>
      <color rgb="FFFF0000"/>
      <name val="Arial"/>
      <family val="2"/>
    </font>
    <font>
      <sz val="13"/>
      <color theme="1"/>
      <name val="Arial"/>
      <family val="2"/>
    </font>
    <font>
      <i/>
      <sz val="10"/>
      <name val="Arial"/>
      <family val="2"/>
    </font>
    <font>
      <u/>
      <sz val="10"/>
      <color theme="1"/>
      <name val="Arial"/>
      <family val="2"/>
    </font>
    <font>
      <i/>
      <sz val="10"/>
      <color rgb="FF0070C0"/>
      <name val="Arial"/>
      <family val="2"/>
    </font>
    <font>
      <b/>
      <i/>
      <sz val="8"/>
      <color rgb="FFFF0000"/>
      <name val="Arial"/>
      <family val="2"/>
    </font>
    <font>
      <i/>
      <sz val="9"/>
      <color rgb="FF0070C0"/>
      <name val="Arial"/>
      <family val="2"/>
    </font>
    <font>
      <u/>
      <sz val="10"/>
      <color theme="10"/>
      <name val="Arial"/>
      <family val="2"/>
    </font>
    <font>
      <b/>
      <sz val="12"/>
      <color theme="1"/>
      <name val="Arial"/>
      <family val="2"/>
    </font>
    <font>
      <i/>
      <sz val="8"/>
      <name val="Arial"/>
      <family val="2"/>
    </font>
    <font>
      <sz val="8"/>
      <color theme="4"/>
      <name val="Arial"/>
      <family val="2"/>
    </font>
    <font>
      <i/>
      <u/>
      <sz val="8"/>
      <color theme="1"/>
      <name val="Arial"/>
      <family val="2"/>
    </font>
    <font>
      <b/>
      <i/>
      <sz val="8"/>
      <color rgb="FFC00000"/>
      <name val="Arial"/>
      <family val="2"/>
    </font>
    <font>
      <sz val="12"/>
      <name val="Arial"/>
      <family val="2"/>
    </font>
    <font>
      <i/>
      <sz val="12"/>
      <name val="Arial"/>
      <family val="2"/>
    </font>
    <font>
      <sz val="14"/>
      <name val="Arial"/>
      <family val="2"/>
    </font>
    <font>
      <i/>
      <sz val="12"/>
      <color rgb="FF0070C0"/>
      <name val="Arial"/>
      <family val="2"/>
    </font>
    <font>
      <i/>
      <u/>
      <sz val="10"/>
      <name val="Arial"/>
      <family val="2"/>
    </font>
    <font>
      <i/>
      <u/>
      <sz val="8"/>
      <name val="Arial"/>
      <family val="2"/>
    </font>
    <font>
      <i/>
      <sz val="10"/>
      <color theme="4"/>
      <name val="Arial"/>
      <family val="2"/>
    </font>
    <font>
      <sz val="13"/>
      <name val="Arial"/>
      <family val="2"/>
    </font>
    <font>
      <b/>
      <i/>
      <sz val="10"/>
      <color rgb="FFC00000"/>
      <name val="Arial"/>
      <family val="2"/>
    </font>
    <font>
      <b/>
      <sz val="9"/>
      <name val="Arial"/>
      <family val="2"/>
    </font>
    <font>
      <b/>
      <sz val="9"/>
      <color theme="0"/>
      <name val="Arial"/>
      <family val="2"/>
    </font>
    <font>
      <b/>
      <sz val="10"/>
      <color rgb="FFC00000"/>
      <name val="Arial"/>
      <family val="2"/>
    </font>
    <font>
      <sz val="8"/>
      <color theme="4" tint="0.79998168889431442"/>
      <name val="Arial"/>
      <family val="2"/>
    </font>
    <font>
      <sz val="10"/>
      <color theme="1"/>
      <name val="SymbolPS"/>
      <family val="5"/>
      <charset val="2"/>
    </font>
    <font>
      <sz val="13"/>
      <color rgb="FFFF0000"/>
      <name val="SymbolPS"/>
      <family val="5"/>
      <charset val="2"/>
    </font>
    <font>
      <sz val="13"/>
      <color rgb="FFFF0000"/>
      <name val="Arial"/>
      <family val="2"/>
    </font>
    <font>
      <sz val="13"/>
      <color rgb="FFC00000"/>
      <name val="SymbolPS"/>
      <family val="5"/>
      <charset val="2"/>
    </font>
    <font>
      <b/>
      <sz val="13"/>
      <color rgb="FFC00000"/>
      <name val="SymbolPS"/>
      <family val="5"/>
      <charset val="2"/>
    </font>
    <font>
      <sz val="13"/>
      <color rgb="FFC00000"/>
      <name val="Arial"/>
      <family val="2"/>
    </font>
    <font>
      <sz val="7"/>
      <color theme="1"/>
      <name val="Arial"/>
      <family val="2"/>
    </font>
    <font>
      <b/>
      <sz val="7"/>
      <color theme="1"/>
      <name val="Arial"/>
      <family val="2"/>
    </font>
    <font>
      <sz val="9"/>
      <color theme="4" tint="0.39997558519241921"/>
      <name val="Arial"/>
      <family val="2"/>
    </font>
    <font>
      <i/>
      <sz val="7"/>
      <color theme="1"/>
      <name val="Arial"/>
      <family val="2"/>
    </font>
    <font>
      <sz val="9"/>
      <name val="Arial"/>
      <family val="2"/>
    </font>
    <font>
      <vertAlign val="superscript"/>
      <sz val="10"/>
      <name val="Arial"/>
      <family val="2"/>
    </font>
    <font>
      <i/>
      <vertAlign val="superscript"/>
      <sz val="8"/>
      <name val="Arial"/>
      <family val="2"/>
    </font>
    <font>
      <strike/>
      <sz val="10"/>
      <color rgb="FFC00000"/>
      <name val="Arial"/>
      <family val="2"/>
    </font>
    <font>
      <sz val="10"/>
      <color rgb="FF192527"/>
      <name val="Segoe UI"/>
      <family val="2"/>
    </font>
    <font>
      <i/>
      <u/>
      <sz val="9"/>
      <color rgb="FF0070C0"/>
      <name val="Arial"/>
      <family val="2"/>
    </font>
    <font>
      <u/>
      <sz val="10"/>
      <color rgb="FF0000FF"/>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CE6F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theme="1" tint="0.24994659260841701"/>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4" tint="-0.249977111117893"/>
        <bgColor theme="4" tint="0.79998168889431442"/>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top style="thick">
        <color theme="4" tint="-0.24994659260841701"/>
      </top>
      <bottom style="thick">
        <color theme="4" tint="-0.2499465926084170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medium">
        <color indexed="64"/>
      </right>
      <top/>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medium">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1">
    <xf numFmtId="0" fontId="0" fillId="0" borderId="0"/>
    <xf numFmtId="0" fontId="4" fillId="0" borderId="0"/>
    <xf numFmtId="0" fontId="3" fillId="0" borderId="0"/>
    <xf numFmtId="0" fontId="39" fillId="0" borderId="0" applyNumberFormat="0" applyFill="0" applyBorder="0" applyAlignment="0" applyProtection="0"/>
    <xf numFmtId="0" fontId="2" fillId="0" borderId="0"/>
    <xf numFmtId="0" fontId="2" fillId="0" borderId="0"/>
    <xf numFmtId="0" fontId="1" fillId="0" borderId="0"/>
    <xf numFmtId="0" fontId="1" fillId="0" borderId="0"/>
    <xf numFmtId="0" fontId="1" fillId="0" borderId="0"/>
    <xf numFmtId="0" fontId="1" fillId="0" borderId="0"/>
    <xf numFmtId="44" fontId="22" fillId="0" borderId="0" applyFont="0" applyFill="0" applyBorder="0" applyAlignment="0" applyProtection="0"/>
  </cellStyleXfs>
  <cellXfs count="1563">
    <xf numFmtId="0" fontId="0" fillId="0" borderId="0" xfId="0"/>
    <xf numFmtId="0" fontId="0" fillId="0" borderId="0" xfId="0" applyAlignment="1" applyProtection="1">
      <alignment vertical="top"/>
      <protection hidden="1"/>
    </xf>
    <xf numFmtId="0" fontId="10" fillId="0" borderId="12" xfId="0" applyFont="1" applyBorder="1" applyAlignment="1" applyProtection="1">
      <alignment horizontal="center" vertical="top"/>
      <protection hidden="1"/>
    </xf>
    <xf numFmtId="0" fontId="6" fillId="0" borderId="5" xfId="0" applyFont="1" applyBorder="1" applyAlignment="1" applyProtection="1">
      <alignment vertical="top"/>
      <protection hidden="1"/>
    </xf>
    <xf numFmtId="0" fontId="6" fillId="0" borderId="11" xfId="0" applyFont="1" applyBorder="1" applyAlignment="1" applyProtection="1">
      <alignment vertical="top"/>
      <protection hidden="1"/>
    </xf>
    <xf numFmtId="16" fontId="8" fillId="0" borderId="0" xfId="0" quotePrefix="1" applyNumberFormat="1" applyFont="1" applyAlignment="1" applyProtection="1">
      <alignment vertical="top"/>
      <protection hidden="1"/>
    </xf>
    <xf numFmtId="0" fontId="8" fillId="0" borderId="2" xfId="0" applyFont="1" applyBorder="1" applyAlignment="1" applyProtection="1">
      <alignment vertical="top"/>
      <protection hidden="1"/>
    </xf>
    <xf numFmtId="0" fontId="0" fillId="0" borderId="3" xfId="0" applyBorder="1" applyAlignment="1" applyProtection="1">
      <alignment vertical="top"/>
      <protection hidden="1"/>
    </xf>
    <xf numFmtId="0" fontId="0" fillId="0" borderId="6" xfId="0" applyBorder="1" applyAlignment="1" applyProtection="1">
      <alignment vertical="top"/>
      <protection hidden="1"/>
    </xf>
    <xf numFmtId="0" fontId="0" fillId="0" borderId="0" xfId="0" applyAlignment="1" applyProtection="1">
      <alignment vertical="top" wrapText="1"/>
      <protection hidden="1"/>
    </xf>
    <xf numFmtId="0" fontId="0" fillId="0" borderId="0" xfId="0" applyAlignment="1" applyProtection="1">
      <alignment horizontal="center" vertical="top" wrapText="1"/>
      <protection hidden="1"/>
    </xf>
    <xf numFmtId="0" fontId="0" fillId="0" borderId="11" xfId="0" applyBorder="1" applyAlignment="1" applyProtection="1">
      <alignment vertical="top"/>
      <protection hidden="1"/>
    </xf>
    <xf numFmtId="0" fontId="10" fillId="0" borderId="0" xfId="0" applyFont="1" applyAlignment="1" applyProtection="1">
      <alignment horizontal="center" vertical="top"/>
      <protection hidden="1"/>
    </xf>
    <xf numFmtId="16" fontId="6" fillId="0" borderId="0" xfId="0" quotePrefix="1" applyNumberFormat="1" applyFont="1" applyAlignment="1" applyProtection="1">
      <alignment horizontal="center" vertical="top"/>
      <protection hidden="1"/>
    </xf>
    <xf numFmtId="0" fontId="6" fillId="0" borderId="0" xfId="0" applyFont="1" applyAlignment="1" applyProtection="1">
      <alignment vertical="top"/>
      <protection hidden="1"/>
    </xf>
    <xf numFmtId="0" fontId="13" fillId="0" borderId="0" xfId="0" applyFont="1" applyAlignment="1" applyProtection="1">
      <alignment vertical="top"/>
      <protection hidden="1"/>
    </xf>
    <xf numFmtId="0" fontId="16" fillId="0" borderId="0" xfId="0" applyFont="1" applyAlignment="1" applyProtection="1">
      <alignment horizontal="center" vertical="top"/>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13" xfId="0" applyBorder="1" applyAlignment="1" applyProtection="1">
      <alignment vertical="top"/>
      <protection hidden="1"/>
    </xf>
    <xf numFmtId="0" fontId="0" fillId="0" borderId="10" xfId="0" applyBorder="1" applyAlignment="1" applyProtection="1">
      <alignment vertical="top"/>
      <protection hidden="1"/>
    </xf>
    <xf numFmtId="0" fontId="0" fillId="0" borderId="4" xfId="0" applyBorder="1" applyAlignment="1" applyProtection="1">
      <alignment vertical="top"/>
      <protection hidden="1"/>
    </xf>
    <xf numFmtId="0" fontId="0" fillId="0" borderId="7" xfId="0" applyBorder="1" applyAlignment="1" applyProtection="1">
      <alignment vertical="top"/>
      <protection hidden="1"/>
    </xf>
    <xf numFmtId="4" fontId="8" fillId="0" borderId="3" xfId="0" applyNumberFormat="1" applyFont="1" applyBorder="1" applyAlignment="1" applyProtection="1">
      <alignment vertical="top"/>
      <protection hidden="1"/>
    </xf>
    <xf numFmtId="0" fontId="7" fillId="0" borderId="8" xfId="0" applyFont="1" applyBorder="1" applyAlignment="1" applyProtection="1">
      <alignment horizontal="left" vertical="center"/>
      <protection hidden="1"/>
    </xf>
    <xf numFmtId="0" fontId="24" fillId="0" borderId="9" xfId="0" applyFont="1" applyBorder="1" applyAlignment="1" applyProtection="1">
      <alignment horizontal="left" vertical="center"/>
      <protection hidden="1"/>
    </xf>
    <xf numFmtId="0" fontId="24" fillId="0" borderId="10" xfId="0" applyFont="1" applyBorder="1" applyAlignment="1" applyProtection="1">
      <alignment horizontal="left" vertical="center"/>
      <protection hidden="1"/>
    </xf>
    <xf numFmtId="0" fontId="16" fillId="0" borderId="0" xfId="0" applyFont="1" applyAlignment="1" applyProtection="1">
      <alignment horizontal="left" vertical="top"/>
      <protection hidden="1"/>
    </xf>
    <xf numFmtId="0" fontId="0" fillId="0" borderId="0" xfId="0" applyAlignment="1" applyProtection="1">
      <alignment horizontal="center" vertical="center" wrapText="1"/>
      <protection hidden="1"/>
    </xf>
    <xf numFmtId="0" fontId="11" fillId="0" borderId="9" xfId="1" applyFont="1" applyBorder="1" applyAlignment="1" applyProtection="1">
      <alignment vertical="center"/>
      <protection hidden="1"/>
    </xf>
    <xf numFmtId="0" fontId="6" fillId="0" borderId="15" xfId="0" applyFont="1" applyBorder="1" applyAlignment="1" applyProtection="1">
      <alignment vertical="top"/>
      <protection hidden="1"/>
    </xf>
    <xf numFmtId="0" fontId="18" fillId="0" borderId="0" xfId="0" applyFont="1" applyAlignment="1" applyProtection="1">
      <alignment vertical="center"/>
      <protection hidden="1"/>
    </xf>
    <xf numFmtId="0" fontId="10" fillId="0" borderId="9" xfId="1" applyFont="1" applyBorder="1" applyAlignment="1" applyProtection="1">
      <alignment horizontal="right" vertical="center"/>
      <protection hidden="1"/>
    </xf>
    <xf numFmtId="0" fontId="10" fillId="0" borderId="1" xfId="0" applyFont="1" applyBorder="1" applyAlignment="1" applyProtection="1">
      <alignment horizontal="center" vertical="top" wrapText="1"/>
      <protection hidden="1"/>
    </xf>
    <xf numFmtId="0" fontId="10" fillId="0" borderId="0" xfId="0" applyFont="1" applyAlignment="1" applyProtection="1">
      <alignment vertical="top"/>
      <protection hidden="1"/>
    </xf>
    <xf numFmtId="0" fontId="6" fillId="0" borderId="7" xfId="0" applyFont="1" applyBorder="1" applyAlignment="1" applyProtection="1">
      <alignment vertical="top"/>
      <protection hidden="1"/>
    </xf>
    <xf numFmtId="0" fontId="10" fillId="0" borderId="15" xfId="0" applyFont="1" applyBorder="1" applyAlignment="1" applyProtection="1">
      <alignment horizontal="left" vertical="top"/>
      <protection hidden="1"/>
    </xf>
    <xf numFmtId="0" fontId="6" fillId="0" borderId="12" xfId="0" applyFont="1" applyBorder="1" applyAlignment="1" applyProtection="1">
      <alignment vertical="top"/>
      <protection hidden="1"/>
    </xf>
    <xf numFmtId="0" fontId="10" fillId="0" borderId="15" xfId="0" applyFont="1" applyBorder="1" applyAlignment="1" applyProtection="1">
      <alignment horizontal="center" vertical="top" wrapText="1"/>
      <protection hidden="1"/>
    </xf>
    <xf numFmtId="0" fontId="20" fillId="0" borderId="0" xfId="0" applyFont="1" applyAlignment="1" applyProtection="1">
      <alignment vertical="top"/>
      <protection hidden="1"/>
    </xf>
    <xf numFmtId="0" fontId="26" fillId="0" borderId="6" xfId="0" applyFont="1" applyBorder="1" applyAlignment="1" applyProtection="1">
      <alignment vertical="top"/>
      <protection hidden="1"/>
    </xf>
    <xf numFmtId="0" fontId="10" fillId="0" borderId="14" xfId="0" applyFont="1" applyBorder="1" applyAlignment="1" applyProtection="1">
      <alignment horizontal="left" vertical="top"/>
      <protection hidden="1"/>
    </xf>
    <xf numFmtId="0" fontId="10" fillId="0" borderId="11" xfId="0" applyFont="1" applyBorder="1" applyAlignment="1" applyProtection="1">
      <alignment vertical="top" wrapText="1"/>
      <protection hidden="1"/>
    </xf>
    <xf numFmtId="0" fontId="10" fillId="3" borderId="4" xfId="0" applyFont="1" applyFill="1" applyBorder="1" applyAlignment="1" applyProtection="1">
      <alignment horizontal="center" vertical="top" wrapText="1"/>
      <protection hidden="1"/>
    </xf>
    <xf numFmtId="0" fontId="6" fillId="3" borderId="5" xfId="0" applyFont="1" applyFill="1" applyBorder="1" applyAlignment="1" applyProtection="1">
      <alignment horizontal="left" vertical="center"/>
      <protection hidden="1"/>
    </xf>
    <xf numFmtId="4" fontId="23" fillId="3" borderId="7" xfId="0" applyNumberFormat="1" applyFont="1" applyFill="1" applyBorder="1" applyAlignment="1" applyProtection="1">
      <alignment horizontal="right" vertical="center"/>
      <protection hidden="1"/>
    </xf>
    <xf numFmtId="0" fontId="6" fillId="0" borderId="15" xfId="0" applyFont="1" applyBorder="1" applyAlignment="1" applyProtection="1">
      <alignment horizontal="center" vertical="top" wrapText="1"/>
      <protection hidden="1"/>
    </xf>
    <xf numFmtId="0" fontId="8" fillId="3" borderId="3" xfId="0" applyFont="1" applyFill="1" applyBorder="1" applyAlignment="1" applyProtection="1">
      <alignment vertical="center"/>
      <protection hidden="1"/>
    </xf>
    <xf numFmtId="0" fontId="8" fillId="3" borderId="2" xfId="0" applyFont="1" applyFill="1" applyBorder="1" applyAlignment="1" applyProtection="1">
      <alignment vertical="top"/>
      <protection hidden="1"/>
    </xf>
    <xf numFmtId="4" fontId="0" fillId="4" borderId="1" xfId="0" applyNumberFormat="1" applyFill="1" applyBorder="1" applyAlignment="1" applyProtection="1">
      <alignment vertical="top"/>
      <protection locked="0"/>
    </xf>
    <xf numFmtId="0" fontId="0" fillId="4" borderId="8" xfId="0" applyFill="1" applyBorder="1" applyAlignment="1" applyProtection="1">
      <alignment vertical="top"/>
      <protection hidden="1"/>
    </xf>
    <xf numFmtId="0" fontId="8" fillId="0" borderId="14" xfId="0" applyFont="1" applyBorder="1" applyAlignment="1" applyProtection="1">
      <alignment horizontal="center" vertical="top" wrapText="1"/>
      <protection hidden="1"/>
    </xf>
    <xf numFmtId="0" fontId="9" fillId="0" borderId="10" xfId="1" applyFont="1" applyBorder="1" applyAlignment="1" applyProtection="1">
      <alignment wrapText="1"/>
      <protection hidden="1"/>
    </xf>
    <xf numFmtId="0" fontId="9" fillId="0" borderId="9" xfId="1" applyFont="1" applyBorder="1" applyProtection="1">
      <protection hidden="1"/>
    </xf>
    <xf numFmtId="166" fontId="8" fillId="0" borderId="6" xfId="0" applyNumberFormat="1" applyFont="1" applyBorder="1" applyAlignment="1" applyProtection="1">
      <alignment horizontal="center" vertical="top"/>
      <protection hidden="1"/>
    </xf>
    <xf numFmtId="167" fontId="0" fillId="0" borderId="1" xfId="0" applyNumberFormat="1" applyBorder="1" applyAlignment="1" applyProtection="1">
      <alignment vertical="top"/>
      <protection hidden="1"/>
    </xf>
    <xf numFmtId="167" fontId="0" fillId="0" borderId="1" xfId="0" applyNumberFormat="1" applyBorder="1" applyAlignment="1" applyProtection="1">
      <alignment vertical="center"/>
      <protection hidden="1"/>
    </xf>
    <xf numFmtId="16" fontId="6" fillId="0" borderId="0" xfId="0" quotePrefix="1" applyNumberFormat="1" applyFont="1" applyAlignment="1" applyProtection="1">
      <alignment vertical="top"/>
      <protection hidden="1"/>
    </xf>
    <xf numFmtId="16" fontId="6" fillId="0" borderId="0" xfId="0" quotePrefix="1" applyNumberFormat="1" applyFont="1" applyAlignment="1" applyProtection="1">
      <alignment horizontal="right" vertical="top"/>
      <protection hidden="1"/>
    </xf>
    <xf numFmtId="10" fontId="0" fillId="0" borderId="0" xfId="0" applyNumberFormat="1" applyAlignment="1" applyProtection="1">
      <alignment horizontal="center" vertical="top"/>
      <protection locked="0"/>
    </xf>
    <xf numFmtId="167" fontId="6" fillId="0" borderId="15" xfId="0" applyNumberFormat="1" applyFont="1" applyBorder="1" applyAlignment="1" applyProtection="1">
      <alignment vertical="top"/>
      <protection hidden="1"/>
    </xf>
    <xf numFmtId="167" fontId="6" fillId="0" borderId="12" xfId="0" applyNumberFormat="1" applyFont="1" applyBorder="1" applyAlignment="1" applyProtection="1">
      <alignment vertical="top"/>
      <protection hidden="1"/>
    </xf>
    <xf numFmtId="167" fontId="8" fillId="0" borderId="16" xfId="0" applyNumberFormat="1" applyFont="1" applyBorder="1" applyAlignment="1" applyProtection="1">
      <alignment vertical="top"/>
      <protection hidden="1"/>
    </xf>
    <xf numFmtId="0" fontId="16" fillId="0" borderId="0" xfId="0" applyFont="1" applyAlignment="1" applyProtection="1">
      <alignment vertical="top"/>
      <protection locked="0" hidden="1"/>
    </xf>
    <xf numFmtId="0" fontId="29" fillId="6" borderId="8" xfId="0" applyFont="1" applyFill="1" applyBorder="1" applyAlignment="1" applyProtection="1">
      <alignment vertical="top"/>
      <protection hidden="1"/>
    </xf>
    <xf numFmtId="0" fontId="0" fillId="0" borderId="14" xfId="0" applyBorder="1" applyAlignment="1" applyProtection="1">
      <alignment vertical="top"/>
      <protection hidden="1"/>
    </xf>
    <xf numFmtId="0" fontId="0" fillId="0" borderId="9" xfId="0" applyBorder="1" applyAlignment="1" applyProtection="1">
      <alignment vertical="top"/>
      <protection hidden="1"/>
    </xf>
    <xf numFmtId="0" fontId="8" fillId="0" borderId="9" xfId="0" applyFont="1" applyBorder="1" applyAlignment="1" applyProtection="1">
      <alignment vertical="top"/>
      <protection hidden="1"/>
    </xf>
    <xf numFmtId="10" fontId="0" fillId="4" borderId="1" xfId="0" quotePrefix="1" applyNumberFormat="1" applyFill="1" applyBorder="1" applyAlignment="1" applyProtection="1">
      <alignment horizontal="center" vertical="top"/>
      <protection locked="0"/>
    </xf>
    <xf numFmtId="16" fontId="8" fillId="0" borderId="3" xfId="0" quotePrefix="1" applyNumberFormat="1" applyFont="1" applyBorder="1" applyAlignment="1" applyProtection="1">
      <alignment vertical="top"/>
      <protection hidden="1"/>
    </xf>
    <xf numFmtId="167" fontId="10" fillId="0" borderId="1" xfId="0" applyNumberFormat="1" applyFont="1" applyBorder="1" applyAlignment="1" applyProtection="1">
      <alignment horizontal="center" vertical="top" wrapText="1"/>
      <protection hidden="1"/>
    </xf>
    <xf numFmtId="0" fontId="6" fillId="0" borderId="12" xfId="0" applyFont="1" applyBorder="1" applyAlignment="1" applyProtection="1">
      <alignment horizontal="center" vertical="top" wrapText="1"/>
      <protection hidden="1"/>
    </xf>
    <xf numFmtId="10" fontId="0" fillId="5" borderId="1" xfId="0" applyNumberFormat="1" applyFill="1" applyBorder="1" applyAlignment="1" applyProtection="1">
      <alignment horizontal="center" vertical="top"/>
      <protection locked="0"/>
    </xf>
    <xf numFmtId="0" fontId="0" fillId="0" borderId="0" xfId="0" applyAlignment="1" applyProtection="1">
      <alignment horizontal="center" vertical="top" wrapText="1"/>
      <protection locked="0" hidden="1"/>
    </xf>
    <xf numFmtId="4" fontId="0" fillId="0" borderId="1" xfId="0" applyNumberFormat="1" applyBorder="1" applyAlignment="1" applyProtection="1">
      <alignment vertical="top"/>
      <protection hidden="1"/>
    </xf>
    <xf numFmtId="0" fontId="10" fillId="0" borderId="5" xfId="0" applyFont="1" applyBorder="1" applyAlignment="1" applyProtection="1">
      <alignment vertical="center" wrapText="1"/>
      <protection hidden="1"/>
    </xf>
    <xf numFmtId="4" fontId="0" fillId="4" borderId="12" xfId="0" applyNumberFormat="1" applyFill="1" applyBorder="1" applyAlignment="1" applyProtection="1">
      <alignment vertical="top"/>
      <protection locked="0"/>
    </xf>
    <xf numFmtId="0" fontId="10" fillId="0" borderId="9" xfId="0" applyFont="1" applyBorder="1" applyAlignment="1" applyProtection="1">
      <alignment vertical="top"/>
      <protection hidden="1"/>
    </xf>
    <xf numFmtId="0" fontId="0" fillId="0" borderId="0" xfId="0" applyAlignment="1" applyProtection="1">
      <alignment vertical="top"/>
      <protection locked="0" hidden="1"/>
    </xf>
    <xf numFmtId="0" fontId="14" fillId="0" borderId="0" xfId="1" applyFont="1" applyProtection="1">
      <protection hidden="1"/>
    </xf>
    <xf numFmtId="0" fontId="0" fillId="0" borderId="0" xfId="1" applyFont="1" applyProtection="1">
      <protection hidden="1"/>
    </xf>
    <xf numFmtId="0" fontId="0" fillId="0" borderId="0" xfId="1" applyFont="1" applyAlignment="1" applyProtection="1">
      <alignment vertical="top"/>
      <protection locked="0" hidden="1"/>
    </xf>
    <xf numFmtId="0" fontId="0" fillId="0" borderId="0" xfId="1" applyFont="1" applyAlignment="1" applyProtection="1">
      <alignment wrapText="1"/>
      <protection hidden="1"/>
    </xf>
    <xf numFmtId="0" fontId="0" fillId="0" borderId="0" xfId="1" applyFont="1" applyAlignment="1" applyProtection="1">
      <alignment vertical="top" wrapText="1"/>
      <protection locked="0" hidden="1"/>
    </xf>
    <xf numFmtId="0" fontId="0" fillId="0" borderId="0" xfId="1" applyFont="1" applyAlignment="1" applyProtection="1">
      <alignment vertical="top"/>
      <protection hidden="1"/>
    </xf>
    <xf numFmtId="0" fontId="0" fillId="0" borderId="0" xfId="1" applyFont="1" applyAlignment="1" applyProtection="1">
      <alignment vertical="center"/>
      <protection hidden="1"/>
    </xf>
    <xf numFmtId="0" fontId="0" fillId="0" borderId="0" xfId="1" applyFont="1" applyAlignment="1" applyProtection="1">
      <alignment vertical="center"/>
      <protection locked="0" hidden="1"/>
    </xf>
    <xf numFmtId="0" fontId="22" fillId="0" borderId="0" xfId="1" applyFont="1" applyProtection="1">
      <protection hidden="1"/>
    </xf>
    <xf numFmtId="0" fontId="22" fillId="0" borderId="0" xfId="1" applyFont="1" applyAlignment="1" applyProtection="1">
      <alignment vertical="top"/>
      <protection hidden="1"/>
    </xf>
    <xf numFmtId="0" fontId="22" fillId="4" borderId="1" xfId="1" applyFont="1" applyFill="1" applyBorder="1" applyAlignment="1" applyProtection="1">
      <alignment vertical="top"/>
      <protection hidden="1"/>
    </xf>
    <xf numFmtId="0" fontId="22" fillId="4" borderId="1" xfId="1" applyFont="1" applyFill="1" applyBorder="1" applyAlignment="1" applyProtection="1">
      <alignment vertical="center"/>
      <protection hidden="1"/>
    </xf>
    <xf numFmtId="0" fontId="22" fillId="4" borderId="14" xfId="1" applyFont="1" applyFill="1" applyBorder="1" applyProtection="1">
      <protection hidden="1"/>
    </xf>
    <xf numFmtId="0" fontId="33" fillId="4" borderId="1" xfId="1" applyFont="1" applyFill="1" applyBorder="1" applyAlignment="1" applyProtection="1">
      <alignment vertical="top"/>
      <protection hidden="1"/>
    </xf>
    <xf numFmtId="0" fontId="33" fillId="4" borderId="14" xfId="1" applyFont="1" applyFill="1" applyBorder="1" applyAlignment="1" applyProtection="1">
      <alignment vertical="top"/>
      <protection hidden="1"/>
    </xf>
    <xf numFmtId="0" fontId="33" fillId="4" borderId="14" xfId="1" applyFont="1" applyFill="1" applyBorder="1" applyAlignment="1" applyProtection="1">
      <alignment vertical="center"/>
      <protection hidden="1"/>
    </xf>
    <xf numFmtId="0" fontId="0" fillId="0" borderId="12" xfId="0" applyBorder="1" applyAlignment="1" applyProtection="1">
      <alignment vertical="top"/>
      <protection hidden="1"/>
    </xf>
    <xf numFmtId="0" fontId="0" fillId="0" borderId="15" xfId="0" applyBorder="1" applyAlignment="1" applyProtection="1">
      <alignment vertical="top"/>
      <protection hidden="1"/>
    </xf>
    <xf numFmtId="0" fontId="0" fillId="6" borderId="8" xfId="0" applyFill="1" applyBorder="1" applyAlignment="1" applyProtection="1">
      <alignment vertical="top"/>
      <protection hidden="1"/>
    </xf>
    <xf numFmtId="0" fontId="18" fillId="0" borderId="0" xfId="0" applyFont="1" applyAlignment="1" applyProtection="1">
      <alignment horizontal="left" vertical="center"/>
      <protection hidden="1"/>
    </xf>
    <xf numFmtId="0" fontId="0" fillId="3" borderId="3" xfId="0" applyFill="1" applyBorder="1" applyAlignment="1" applyProtection="1">
      <alignment vertical="top"/>
      <protection hidden="1"/>
    </xf>
    <xf numFmtId="0" fontId="0" fillId="3" borderId="6" xfId="0" applyFill="1" applyBorder="1" applyAlignment="1" applyProtection="1">
      <alignment vertical="top"/>
      <protection hidden="1"/>
    </xf>
    <xf numFmtId="0" fontId="0" fillId="3" borderId="6" xfId="0" applyFill="1" applyBorder="1" applyAlignment="1" applyProtection="1">
      <alignment horizontal="left" vertical="center" wrapText="1"/>
      <protection hidden="1"/>
    </xf>
    <xf numFmtId="0" fontId="0" fillId="0" borderId="12" xfId="0" applyBorder="1" applyAlignment="1" applyProtection="1">
      <alignment vertical="top" wrapText="1"/>
      <protection hidden="1"/>
    </xf>
    <xf numFmtId="0" fontId="0" fillId="0" borderId="5" xfId="0" applyBorder="1" applyAlignment="1" applyProtection="1">
      <alignment vertical="top" wrapText="1"/>
      <protection hidden="1"/>
    </xf>
    <xf numFmtId="0" fontId="0" fillId="0" borderId="0" xfId="0" applyAlignment="1" applyProtection="1">
      <alignment horizontal="left" vertical="center"/>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4" fontId="0" fillId="0" borderId="11" xfId="0" applyNumberFormat="1" applyBorder="1" applyAlignment="1" applyProtection="1">
      <alignment vertical="top"/>
      <protection hidden="1"/>
    </xf>
    <xf numFmtId="167" fontId="0" fillId="0" borderId="11" xfId="0" applyNumberFormat="1" applyBorder="1" applyAlignment="1" applyProtection="1">
      <alignment vertical="top"/>
      <protection hidden="1"/>
    </xf>
    <xf numFmtId="167" fontId="0" fillId="0" borderId="0" xfId="0" applyNumberFormat="1" applyAlignment="1" applyProtection="1">
      <alignment vertical="top"/>
      <protection hidden="1"/>
    </xf>
    <xf numFmtId="4" fontId="0" fillId="0" borderId="5" xfId="0" applyNumberFormat="1" applyBorder="1" applyAlignment="1" applyProtection="1">
      <alignment vertical="top"/>
      <protection hidden="1"/>
    </xf>
    <xf numFmtId="167" fontId="0" fillId="0" borderId="5" xfId="0" applyNumberFormat="1" applyBorder="1" applyAlignment="1" applyProtection="1">
      <alignment vertical="top"/>
      <protection hidden="1"/>
    </xf>
    <xf numFmtId="167" fontId="0" fillId="0" borderId="7" xfId="0" applyNumberFormat="1" applyBorder="1" applyAlignment="1" applyProtection="1">
      <alignment vertical="top"/>
      <protection hidden="1"/>
    </xf>
    <xf numFmtId="167" fontId="0" fillId="0" borderId="12" xfId="0" applyNumberFormat="1" applyBorder="1" applyAlignment="1" applyProtection="1">
      <alignment vertical="top"/>
      <protection hidden="1"/>
    </xf>
    <xf numFmtId="3" fontId="0" fillId="0" borderId="1" xfId="0" applyNumberFormat="1" applyBorder="1" applyAlignment="1" applyProtection="1">
      <alignment horizontal="center" vertical="top" wrapText="1"/>
      <protection hidden="1"/>
    </xf>
    <xf numFmtId="0" fontId="31" fillId="0" borderId="0" xfId="0" applyFont="1" applyAlignment="1" applyProtection="1">
      <alignment vertical="top"/>
      <protection hidden="1"/>
    </xf>
    <xf numFmtId="0" fontId="31" fillId="0" borderId="0" xfId="1" applyFont="1" applyProtection="1">
      <protection hidden="1"/>
    </xf>
    <xf numFmtId="0" fontId="31" fillId="0" borderId="0" xfId="1" applyFont="1" applyAlignment="1" applyProtection="1">
      <alignment horizontal="left" vertical="top"/>
      <protection hidden="1"/>
    </xf>
    <xf numFmtId="0" fontId="34" fillId="0" borderId="0" xfId="1" applyFont="1" applyAlignment="1" applyProtection="1">
      <alignment vertical="top"/>
      <protection locked="0" hidden="1"/>
    </xf>
    <xf numFmtId="0" fontId="23" fillId="0" borderId="0" xfId="0" applyFont="1" applyAlignment="1" applyProtection="1">
      <alignment vertical="top"/>
      <protection hidden="1"/>
    </xf>
    <xf numFmtId="0" fontId="23" fillId="0" borderId="0" xfId="0" applyFont="1" applyAlignment="1" applyProtection="1">
      <alignment vertical="top"/>
      <protection locked="0" hidden="1"/>
    </xf>
    <xf numFmtId="0" fontId="23" fillId="0" borderId="0" xfId="1" applyFont="1" applyAlignment="1" applyProtection="1">
      <alignment vertical="top"/>
      <protection locked="0" hidden="1"/>
    </xf>
    <xf numFmtId="0" fontId="23" fillId="0" borderId="0" xfId="1" applyFont="1" applyProtection="1">
      <protection hidden="1"/>
    </xf>
    <xf numFmtId="0" fontId="23" fillId="0" borderId="0" xfId="1" applyFont="1" applyAlignment="1" applyProtection="1">
      <alignment horizontal="left" vertical="top"/>
      <protection locked="0" hidden="1"/>
    </xf>
    <xf numFmtId="0" fontId="23" fillId="0" borderId="0" xfId="1" applyFont="1" applyAlignment="1" applyProtection="1">
      <alignment horizontal="left" vertical="top"/>
      <protection hidden="1"/>
    </xf>
    <xf numFmtId="0" fontId="0" fillId="0" borderId="8" xfId="0" applyBorder="1" applyAlignment="1" applyProtection="1">
      <alignment horizontal="center" vertical="top" wrapText="1"/>
      <protection hidden="1"/>
    </xf>
    <xf numFmtId="0" fontId="0" fillId="0" borderId="10" xfId="0" applyBorder="1" applyAlignment="1" applyProtection="1">
      <alignment horizontal="center" vertical="top" wrapText="1"/>
      <protection hidden="1"/>
    </xf>
    <xf numFmtId="3" fontId="22" fillId="0" borderId="1" xfId="0" applyNumberFormat="1" applyFont="1" applyBorder="1" applyAlignment="1" applyProtection="1">
      <alignment horizontal="center" vertical="top" wrapText="1"/>
      <protection hidden="1"/>
    </xf>
    <xf numFmtId="49" fontId="9" fillId="0" borderId="9" xfId="1" applyNumberFormat="1" applyFont="1" applyBorder="1" applyAlignment="1" applyProtection="1">
      <alignment vertical="center"/>
      <protection hidden="1"/>
    </xf>
    <xf numFmtId="0" fontId="11" fillId="0" borderId="9" xfId="1" applyFont="1" applyBorder="1" applyAlignment="1" applyProtection="1">
      <alignment horizontal="right" vertical="center"/>
      <protection hidden="1"/>
    </xf>
    <xf numFmtId="49" fontId="9" fillId="0" borderId="3" xfId="1" applyNumberFormat="1" applyFont="1" applyBorder="1" applyAlignment="1" applyProtection="1">
      <alignment vertical="center"/>
      <protection hidden="1"/>
    </xf>
    <xf numFmtId="0" fontId="11" fillId="0" borderId="3" xfId="1" applyFont="1" applyBorder="1" applyAlignment="1" applyProtection="1">
      <alignment vertical="center"/>
      <protection hidden="1"/>
    </xf>
    <xf numFmtId="0" fontId="11" fillId="0" borderId="3" xfId="1" applyFont="1" applyBorder="1" applyAlignment="1" applyProtection="1">
      <alignment horizontal="right" vertical="center"/>
      <protection hidden="1"/>
    </xf>
    <xf numFmtId="0" fontId="10" fillId="0" borderId="3" xfId="0" applyFont="1" applyBorder="1" applyAlignment="1" applyProtection="1">
      <alignment vertical="top"/>
      <protection hidden="1"/>
    </xf>
    <xf numFmtId="1" fontId="30" fillId="3" borderId="6" xfId="0" applyNumberFormat="1" applyFont="1" applyFill="1" applyBorder="1" applyAlignment="1" applyProtection="1">
      <alignment vertical="center"/>
      <protection hidden="1"/>
    </xf>
    <xf numFmtId="0" fontId="8" fillId="0" borderId="0" xfId="0" applyFont="1" applyAlignment="1">
      <alignment vertical="top"/>
    </xf>
    <xf numFmtId="4" fontId="0" fillId="0" borderId="15" xfId="0" applyNumberFormat="1" applyBorder="1" applyAlignment="1" applyProtection="1">
      <alignment horizontal="right" vertical="top"/>
      <protection hidden="1"/>
    </xf>
    <xf numFmtId="4" fontId="0" fillId="0" borderId="1" xfId="0" applyNumberFormat="1" applyBorder="1" applyAlignment="1" applyProtection="1">
      <alignment horizontal="right" vertical="top"/>
      <protection locked="0"/>
    </xf>
    <xf numFmtId="0" fontId="8" fillId="0" borderId="9" xfId="0" applyFont="1" applyBorder="1" applyAlignment="1" applyProtection="1">
      <alignment horizontal="left" vertical="center"/>
      <protection hidden="1"/>
    </xf>
    <xf numFmtId="0" fontId="20" fillId="0" borderId="0" xfId="0" applyFont="1" applyAlignment="1" applyProtection="1">
      <alignment horizontal="center" vertical="top"/>
      <protection locked="0" hidden="1"/>
    </xf>
    <xf numFmtId="4" fontId="0" fillId="5" borderId="1" xfId="0" applyNumberFormat="1" applyFill="1" applyBorder="1" applyAlignment="1" applyProtection="1">
      <alignment horizontal="center" vertical="top"/>
      <protection locked="0"/>
    </xf>
    <xf numFmtId="16" fontId="10" fillId="0" borderId="3" xfId="0" quotePrefix="1" applyNumberFormat="1" applyFont="1" applyBorder="1" applyAlignment="1" applyProtection="1">
      <alignment vertical="top"/>
      <protection hidden="1"/>
    </xf>
    <xf numFmtId="16" fontId="26" fillId="0" borderId="3" xfId="0" quotePrefix="1" applyNumberFormat="1" applyFont="1" applyBorder="1" applyAlignment="1" applyProtection="1">
      <alignment vertical="top"/>
      <protection hidden="1"/>
    </xf>
    <xf numFmtId="0" fontId="0" fillId="0" borderId="0" xfId="0" applyAlignment="1" applyProtection="1">
      <alignment vertical="center"/>
      <protection locked="0" hidden="1"/>
    </xf>
    <xf numFmtId="2" fontId="0" fillId="0" borderId="0" xfId="0" applyNumberFormat="1" applyAlignment="1" applyProtection="1">
      <alignment vertical="top"/>
      <protection locked="0" hidden="1"/>
    </xf>
    <xf numFmtId="0" fontId="0" fillId="0" borderId="0" xfId="0" applyProtection="1">
      <protection locked="0"/>
    </xf>
    <xf numFmtId="164" fontId="0" fillId="0" borderId="0" xfId="0" applyNumberFormat="1" applyAlignment="1" applyProtection="1">
      <alignment vertical="top"/>
      <protection locked="0" hidden="1"/>
    </xf>
    <xf numFmtId="0" fontId="20" fillId="0" borderId="0" xfId="0" applyFont="1" applyAlignment="1" applyProtection="1">
      <alignment vertical="top"/>
      <protection locked="0" hidden="1"/>
    </xf>
    <xf numFmtId="0" fontId="6" fillId="0" borderId="1" xfId="0" applyFont="1" applyBorder="1" applyAlignment="1" applyProtection="1">
      <alignment horizontal="center" vertical="top" wrapText="1"/>
      <protection locked="0"/>
    </xf>
    <xf numFmtId="10" fontId="6" fillId="0" borderId="1" xfId="0" applyNumberFormat="1" applyFont="1" applyBorder="1" applyAlignment="1" applyProtection="1">
      <alignment horizontal="center" vertical="top"/>
      <protection locked="0"/>
    </xf>
    <xf numFmtId="0" fontId="6" fillId="0" borderId="1" xfId="0" applyFont="1" applyBorder="1" applyAlignment="1" applyProtection="1">
      <alignment vertical="top"/>
      <protection locked="0"/>
    </xf>
    <xf numFmtId="0" fontId="6" fillId="0" borderId="1" xfId="0" applyFont="1" applyBorder="1" applyAlignment="1" applyProtection="1">
      <alignment horizontal="center" vertical="top"/>
      <protection locked="0"/>
    </xf>
    <xf numFmtId="0" fontId="32" fillId="0" borderId="0" xfId="0" applyFont="1" applyAlignment="1" applyProtection="1">
      <alignment vertical="top"/>
      <protection hidden="1"/>
    </xf>
    <xf numFmtId="0" fontId="32" fillId="0" borderId="0" xfId="1" applyFont="1" applyProtection="1">
      <protection hidden="1"/>
    </xf>
    <xf numFmtId="0" fontId="32" fillId="0" borderId="0" xfId="1" applyFont="1" applyAlignment="1" applyProtection="1">
      <alignment vertical="top"/>
      <protection hidden="1"/>
    </xf>
    <xf numFmtId="0" fontId="32" fillId="0" borderId="0" xfId="1" quotePrefix="1" applyFont="1" applyProtection="1">
      <protection hidden="1"/>
    </xf>
    <xf numFmtId="0" fontId="32" fillId="0" borderId="0" xfId="1" applyFont="1" applyAlignment="1" applyProtection="1">
      <alignment wrapText="1"/>
      <protection hidden="1"/>
    </xf>
    <xf numFmtId="0" fontId="32" fillId="0" borderId="0" xfId="1" applyFont="1" applyAlignment="1" applyProtection="1">
      <alignment vertical="center"/>
      <protection hidden="1"/>
    </xf>
    <xf numFmtId="0" fontId="5" fillId="0" borderId="0" xfId="0" quotePrefix="1" applyFont="1" applyAlignment="1" applyProtection="1">
      <alignment horizontal="left" vertical="top"/>
      <protection hidden="1"/>
    </xf>
    <xf numFmtId="16" fontId="6" fillId="0" borderId="9" xfId="0" quotePrefix="1" applyNumberFormat="1" applyFont="1" applyBorder="1" applyAlignment="1" applyProtection="1">
      <alignment horizontal="right" vertical="top"/>
      <protection hidden="1"/>
    </xf>
    <xf numFmtId="167" fontId="0" fillId="0" borderId="9" xfId="0" applyNumberFormat="1" applyBorder="1" applyAlignment="1" applyProtection="1">
      <alignment vertical="top"/>
      <protection hidden="1"/>
    </xf>
    <xf numFmtId="4" fontId="8" fillId="0" borderId="0" xfId="1" applyNumberFormat="1" applyFont="1" applyAlignment="1" applyProtection="1">
      <alignment horizontal="center" vertical="center"/>
      <protection hidden="1"/>
    </xf>
    <xf numFmtId="0" fontId="8" fillId="0" borderId="9" xfId="1" applyFont="1" applyBorder="1" applyAlignment="1" applyProtection="1">
      <alignment horizontal="left" vertical="top" wrapText="1"/>
      <protection hidden="1"/>
    </xf>
    <xf numFmtId="0" fontId="6" fillId="0" borderId="9" xfId="0" applyFont="1" applyBorder="1" applyAlignment="1" applyProtection="1">
      <alignment vertical="center"/>
      <protection hidden="1"/>
    </xf>
    <xf numFmtId="0" fontId="10" fillId="0" borderId="9" xfId="1" applyFont="1" applyBorder="1" applyAlignment="1" applyProtection="1">
      <alignment horizontal="left" vertical="top" wrapText="1"/>
      <protection hidden="1"/>
    </xf>
    <xf numFmtId="0" fontId="10" fillId="2" borderId="9" xfId="1" applyFont="1" applyFill="1" applyBorder="1" applyAlignment="1" applyProtection="1">
      <alignment horizontal="center" vertical="top" wrapText="1"/>
      <protection hidden="1"/>
    </xf>
    <xf numFmtId="0" fontId="11" fillId="0" borderId="6" xfId="1" applyFont="1" applyBorder="1" applyAlignment="1" applyProtection="1">
      <alignment vertical="center"/>
      <protection hidden="1"/>
    </xf>
    <xf numFmtId="4" fontId="8" fillId="0" borderId="0" xfId="0" applyNumberFormat="1" applyFont="1" applyAlignment="1" applyProtection="1">
      <alignment horizontal="right" vertical="center"/>
      <protection hidden="1"/>
    </xf>
    <xf numFmtId="0" fontId="10" fillId="0" borderId="3" xfId="1" applyFont="1" applyBorder="1" applyAlignment="1" applyProtection="1">
      <alignment horizontal="right" vertical="center"/>
      <protection hidden="1"/>
    </xf>
    <xf numFmtId="49" fontId="9" fillId="0" borderId="6" xfId="1" applyNumberFormat="1" applyFont="1" applyBorder="1" applyAlignment="1" applyProtection="1">
      <alignment vertical="center"/>
      <protection hidden="1"/>
    </xf>
    <xf numFmtId="0" fontId="11" fillId="0" borderId="6" xfId="1" applyFont="1" applyBorder="1" applyAlignment="1" applyProtection="1">
      <alignment horizontal="right" vertical="center"/>
      <protection hidden="1"/>
    </xf>
    <xf numFmtId="0" fontId="10" fillId="0" borderId="6" xfId="1" applyFont="1" applyBorder="1" applyAlignment="1" applyProtection="1">
      <alignment horizontal="right" vertical="center"/>
      <protection hidden="1"/>
    </xf>
    <xf numFmtId="4" fontId="8" fillId="0" borderId="20" xfId="0" applyNumberFormat="1" applyFont="1" applyBorder="1" applyAlignment="1" applyProtection="1">
      <alignment horizontal="right" vertical="center"/>
      <protection hidden="1"/>
    </xf>
    <xf numFmtId="0" fontId="22" fillId="0" borderId="2" xfId="1" applyFont="1" applyBorder="1" applyAlignment="1" applyProtection="1">
      <alignment vertical="top"/>
      <protection hidden="1"/>
    </xf>
    <xf numFmtId="0" fontId="22" fillId="4" borderId="14" xfId="1" applyFont="1" applyFill="1" applyBorder="1" applyAlignment="1" applyProtection="1">
      <alignment vertical="top"/>
      <protection hidden="1"/>
    </xf>
    <xf numFmtId="0" fontId="8" fillId="0" borderId="9" xfId="1" applyFont="1" applyBorder="1" applyAlignment="1" applyProtection="1">
      <alignment vertical="center"/>
      <protection hidden="1"/>
    </xf>
    <xf numFmtId="0" fontId="22" fillId="0" borderId="6" xfId="1" applyFont="1" applyBorder="1" applyAlignment="1" applyProtection="1">
      <alignment vertical="center"/>
      <protection hidden="1"/>
    </xf>
    <xf numFmtId="0" fontId="8" fillId="0" borderId="9" xfId="1" applyFont="1" applyBorder="1" applyAlignment="1" applyProtection="1">
      <alignment horizontal="right" vertical="center"/>
      <protection hidden="1"/>
    </xf>
    <xf numFmtId="0" fontId="23" fillId="0" borderId="9" xfId="0" applyFont="1" applyBorder="1" applyAlignment="1" applyProtection="1">
      <alignment horizontal="left" vertical="top" wrapText="1"/>
      <protection hidden="1"/>
    </xf>
    <xf numFmtId="0" fontId="25" fillId="0" borderId="11" xfId="1" applyFont="1" applyBorder="1" applyAlignment="1" applyProtection="1">
      <alignment horizontal="left" vertical="top"/>
      <protection hidden="1"/>
    </xf>
    <xf numFmtId="0" fontId="8" fillId="0" borderId="9" xfId="0" applyFont="1" applyBorder="1" applyAlignment="1" applyProtection="1">
      <alignment horizontal="left" vertical="center" wrapText="1"/>
      <protection hidden="1"/>
    </xf>
    <xf numFmtId="0" fontId="16" fillId="0" borderId="0" xfId="0" applyFont="1" applyAlignment="1" applyProtection="1">
      <alignment vertical="top"/>
      <protection hidden="1"/>
    </xf>
    <xf numFmtId="0" fontId="8" fillId="3" borderId="2" xfId="0" applyFont="1" applyFill="1" applyBorder="1" applyAlignment="1" applyProtection="1">
      <alignment horizontal="left" vertical="center"/>
      <protection hidden="1"/>
    </xf>
    <xf numFmtId="1" fontId="28" fillId="3" borderId="3" xfId="0" applyNumberFormat="1" applyFont="1" applyFill="1" applyBorder="1" applyAlignment="1" applyProtection="1">
      <alignment vertical="center"/>
      <protection hidden="1"/>
    </xf>
    <xf numFmtId="0" fontId="0" fillId="0" borderId="0" xfId="0" applyAlignment="1" applyProtection="1">
      <alignment vertical="top" wrapText="1"/>
      <protection locked="0" hidden="1"/>
    </xf>
    <xf numFmtId="0" fontId="0" fillId="0" borderId="0" xfId="0" quotePrefix="1" applyAlignment="1" applyProtection="1">
      <alignment vertical="top"/>
      <protection hidden="1"/>
    </xf>
    <xf numFmtId="0" fontId="6" fillId="0" borderId="9" xfId="0" applyFont="1" applyBorder="1" applyAlignment="1" applyProtection="1">
      <alignment vertical="top"/>
      <protection hidden="1"/>
    </xf>
    <xf numFmtId="0" fontId="6"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protection locked="0"/>
    </xf>
    <xf numFmtId="0" fontId="22" fillId="0" borderId="8" xfId="1" applyFont="1" applyBorder="1" applyAlignment="1" applyProtection="1">
      <alignment vertical="top"/>
      <protection hidden="1"/>
    </xf>
    <xf numFmtId="0" fontId="36" fillId="0" borderId="0" xfId="1" quotePrefix="1" applyFont="1" applyAlignment="1" applyProtection="1">
      <alignment vertical="top" wrapText="1"/>
      <protection hidden="1"/>
    </xf>
    <xf numFmtId="0" fontId="22" fillId="0" borderId="0" xfId="1" applyFont="1" applyAlignment="1" applyProtection="1">
      <alignment horizontal="center" vertical="top"/>
      <protection hidden="1"/>
    </xf>
    <xf numFmtId="0" fontId="22" fillId="0" borderId="11" xfId="1" applyFont="1" applyBorder="1" applyAlignment="1" applyProtection="1">
      <alignment vertical="top"/>
      <protection hidden="1"/>
    </xf>
    <xf numFmtId="0" fontId="22" fillId="0" borderId="0" xfId="1" applyFont="1" applyAlignment="1" applyProtection="1">
      <alignment vertical="top" wrapText="1"/>
      <protection hidden="1"/>
    </xf>
    <xf numFmtId="0" fontId="33" fillId="0" borderId="11" xfId="1" applyFont="1" applyBorder="1" applyAlignment="1" applyProtection="1">
      <alignment vertical="center"/>
      <protection hidden="1"/>
    </xf>
    <xf numFmtId="0" fontId="34" fillId="0" borderId="0" xfId="0" applyFont="1" applyAlignment="1" applyProtection="1">
      <alignment vertical="top"/>
      <protection hidden="1"/>
    </xf>
    <xf numFmtId="0" fontId="0" fillId="0" borderId="0" xfId="2" applyFont="1" applyProtection="1">
      <protection hidden="1"/>
    </xf>
    <xf numFmtId="0" fontId="0" fillId="0" borderId="0" xfId="2" applyFont="1" applyAlignment="1" applyProtection="1">
      <alignment vertical="top"/>
      <protection locked="0" hidden="1"/>
    </xf>
    <xf numFmtId="0" fontId="0" fillId="0" borderId="0" xfId="2" applyFont="1" applyAlignment="1" applyProtection="1">
      <alignment wrapText="1"/>
      <protection hidden="1"/>
    </xf>
    <xf numFmtId="0" fontId="0" fillId="0" borderId="0" xfId="2" applyFont="1" applyAlignment="1" applyProtection="1">
      <alignment vertical="top" wrapText="1"/>
      <protection locked="0" hidden="1"/>
    </xf>
    <xf numFmtId="0" fontId="0" fillId="4" borderId="14" xfId="2" applyFont="1" applyFill="1" applyBorder="1" applyAlignment="1" applyProtection="1">
      <alignment horizontal="center" vertical="top"/>
      <protection hidden="1"/>
    </xf>
    <xf numFmtId="0" fontId="0" fillId="4" borderId="14" xfId="2" applyFont="1" applyFill="1" applyBorder="1" applyAlignment="1" applyProtection="1">
      <alignment vertical="top"/>
      <protection hidden="1"/>
    </xf>
    <xf numFmtId="4" fontId="0" fillId="0" borderId="13" xfId="2" applyNumberFormat="1" applyFont="1" applyBorder="1" applyAlignment="1" applyProtection="1">
      <alignment horizontal="center" vertical="top"/>
      <protection hidden="1"/>
    </xf>
    <xf numFmtId="0" fontId="0" fillId="0" borderId="0" xfId="2" applyFont="1" applyAlignment="1" applyProtection="1">
      <alignment vertical="top"/>
      <protection hidden="1"/>
    </xf>
    <xf numFmtId="0" fontId="14" fillId="0" borderId="0" xfId="2" applyFont="1" applyProtection="1">
      <protection hidden="1"/>
    </xf>
    <xf numFmtId="0" fontId="11" fillId="0" borderId="9" xfId="2" applyFont="1" applyBorder="1" applyAlignment="1" applyProtection="1">
      <alignment vertical="center"/>
      <protection hidden="1"/>
    </xf>
    <xf numFmtId="0" fontId="0" fillId="4" borderId="15" xfId="2" applyFont="1" applyFill="1" applyBorder="1" applyAlignment="1" applyProtection="1">
      <alignment vertical="top"/>
      <protection hidden="1"/>
    </xf>
    <xf numFmtId="0" fontId="0" fillId="0" borderId="0" xfId="2" applyFont="1" applyAlignment="1" applyProtection="1">
      <alignment vertical="center"/>
      <protection hidden="1"/>
    </xf>
    <xf numFmtId="0" fontId="0" fillId="0" borderId="0" xfId="2" applyFont="1" applyAlignment="1" applyProtection="1">
      <alignment vertical="center"/>
      <protection locked="0" hidden="1"/>
    </xf>
    <xf numFmtId="0" fontId="0" fillId="0" borderId="14" xfId="2" applyFont="1" applyBorder="1" applyAlignment="1" applyProtection="1">
      <alignment vertical="top"/>
      <protection hidden="1"/>
    </xf>
    <xf numFmtId="0" fontId="10" fillId="0" borderId="9" xfId="2" applyFont="1" applyBorder="1" applyAlignment="1" applyProtection="1">
      <alignment horizontal="right" vertical="center"/>
      <protection hidden="1"/>
    </xf>
    <xf numFmtId="0" fontId="34" fillId="0" borderId="0" xfId="2" applyFont="1" applyAlignment="1" applyProtection="1">
      <alignment vertical="top"/>
      <protection locked="0" hidden="1"/>
    </xf>
    <xf numFmtId="0" fontId="31" fillId="0" borderId="0" xfId="2" applyFont="1" applyProtection="1">
      <protection hidden="1"/>
    </xf>
    <xf numFmtId="0" fontId="23" fillId="0" borderId="0" xfId="2" applyFont="1" applyAlignment="1" applyProtection="1">
      <alignment vertical="top"/>
      <protection locked="0" hidden="1"/>
    </xf>
    <xf numFmtId="0" fontId="23" fillId="0" borderId="0" xfId="2" applyFont="1" applyProtection="1">
      <protection hidden="1"/>
    </xf>
    <xf numFmtId="0" fontId="22" fillId="4" borderId="1" xfId="2" applyFont="1" applyFill="1" applyBorder="1" applyAlignment="1" applyProtection="1">
      <alignment vertical="top"/>
      <protection hidden="1"/>
    </xf>
    <xf numFmtId="0" fontId="33" fillId="4" borderId="1" xfId="2" applyFont="1" applyFill="1" applyBorder="1" applyAlignment="1" applyProtection="1">
      <alignment vertical="top"/>
      <protection hidden="1"/>
    </xf>
    <xf numFmtId="49" fontId="9" fillId="0" borderId="9" xfId="2" applyNumberFormat="1" applyFont="1" applyBorder="1" applyAlignment="1" applyProtection="1">
      <alignment vertical="center"/>
      <protection hidden="1"/>
    </xf>
    <xf numFmtId="0" fontId="11" fillId="0" borderId="9" xfId="2" applyFont="1" applyBorder="1" applyAlignment="1" applyProtection="1">
      <alignment horizontal="right" vertical="center"/>
      <protection hidden="1"/>
    </xf>
    <xf numFmtId="0" fontId="22" fillId="4" borderId="14" xfId="2" applyFont="1" applyFill="1" applyBorder="1" applyAlignment="1" applyProtection="1">
      <alignment vertical="top"/>
      <protection hidden="1"/>
    </xf>
    <xf numFmtId="0" fontId="33" fillId="4" borderId="14" xfId="2" applyFont="1" applyFill="1" applyBorder="1" applyAlignment="1" applyProtection="1">
      <alignment vertical="top"/>
      <protection hidden="1"/>
    </xf>
    <xf numFmtId="0" fontId="22" fillId="4" borderId="1" xfId="2" applyFont="1" applyFill="1" applyBorder="1" applyAlignment="1" applyProtection="1">
      <alignment vertical="center"/>
      <protection hidden="1"/>
    </xf>
    <xf numFmtId="0" fontId="22" fillId="4" borderId="14" xfId="2" applyFont="1" applyFill="1" applyBorder="1" applyAlignment="1" applyProtection="1">
      <alignment vertical="center"/>
      <protection hidden="1"/>
    </xf>
    <xf numFmtId="0" fontId="33" fillId="4" borderId="14" xfId="2" applyFont="1" applyFill="1" applyBorder="1" applyAlignment="1" applyProtection="1">
      <alignment vertical="center"/>
      <protection hidden="1"/>
    </xf>
    <xf numFmtId="0" fontId="25" fillId="4" borderId="1" xfId="2" applyFont="1" applyFill="1" applyBorder="1" applyAlignment="1" applyProtection="1">
      <alignment vertical="top"/>
      <protection hidden="1"/>
    </xf>
    <xf numFmtId="49" fontId="9" fillId="0" borderId="3" xfId="2" applyNumberFormat="1" applyFont="1" applyBorder="1" applyAlignment="1" applyProtection="1">
      <alignment vertical="center"/>
      <protection hidden="1"/>
    </xf>
    <xf numFmtId="0" fontId="11" fillId="0" borderId="3" xfId="2" applyFont="1" applyBorder="1" applyAlignment="1" applyProtection="1">
      <alignment vertical="center"/>
      <protection hidden="1"/>
    </xf>
    <xf numFmtId="0" fontId="11" fillId="0" borderId="3" xfId="2" applyFont="1" applyBorder="1" applyAlignment="1" applyProtection="1">
      <alignment horizontal="right" vertical="center"/>
      <protection hidden="1"/>
    </xf>
    <xf numFmtId="0" fontId="22" fillId="4" borderId="14" xfId="2" applyFont="1" applyFill="1" applyBorder="1" applyProtection="1">
      <protection hidden="1"/>
    </xf>
    <xf numFmtId="0" fontId="22" fillId="0" borderId="0" xfId="2" applyFont="1" applyProtection="1">
      <protection hidden="1"/>
    </xf>
    <xf numFmtId="0" fontId="22" fillId="0" borderId="0" xfId="2" applyFont="1" applyAlignment="1" applyProtection="1">
      <alignment vertical="top"/>
      <protection hidden="1"/>
    </xf>
    <xf numFmtId="0" fontId="33" fillId="4" borderId="14" xfId="2" applyFont="1" applyFill="1" applyBorder="1" applyProtection="1">
      <protection hidden="1"/>
    </xf>
    <xf numFmtId="0" fontId="31" fillId="0" borderId="11" xfId="2" applyFont="1" applyBorder="1" applyProtection="1">
      <protection hidden="1"/>
    </xf>
    <xf numFmtId="0" fontId="17" fillId="0" borderId="0" xfId="0" applyFont="1" applyAlignment="1" applyProtection="1">
      <alignment vertical="top"/>
      <protection hidden="1"/>
    </xf>
    <xf numFmtId="0" fontId="22" fillId="0" borderId="9" xfId="1" applyFont="1" applyBorder="1" applyAlignment="1" applyProtection="1">
      <alignment vertical="top"/>
      <protection hidden="1"/>
    </xf>
    <xf numFmtId="0" fontId="8" fillId="4" borderId="1" xfId="1" applyFont="1" applyFill="1" applyBorder="1" applyAlignment="1" applyProtection="1">
      <alignment horizontal="left" vertical="top" wrapText="1"/>
      <protection hidden="1"/>
    </xf>
    <xf numFmtId="0" fontId="22" fillId="0" borderId="9" xfId="2" applyFont="1" applyBorder="1" applyAlignment="1" applyProtection="1">
      <alignment vertical="top"/>
      <protection hidden="1"/>
    </xf>
    <xf numFmtId="4" fontId="8" fillId="0" borderId="9" xfId="0" applyNumberFormat="1" applyFont="1" applyBorder="1" applyAlignment="1" applyProtection="1">
      <alignment horizontal="right" vertical="center"/>
      <protection hidden="1"/>
    </xf>
    <xf numFmtId="4" fontId="8" fillId="0" borderId="3" xfId="0" applyNumberFormat="1" applyFont="1" applyBorder="1" applyAlignment="1" applyProtection="1">
      <alignment horizontal="right" vertical="center"/>
      <protection hidden="1"/>
    </xf>
    <xf numFmtId="0" fontId="18" fillId="0" borderId="0" xfId="0" applyFont="1" applyAlignment="1" applyProtection="1">
      <alignment vertical="top"/>
      <protection hidden="1"/>
    </xf>
    <xf numFmtId="16" fontId="18" fillId="0" borderId="3" xfId="0" quotePrefix="1" applyNumberFormat="1" applyFont="1" applyBorder="1" applyAlignment="1" applyProtection="1">
      <alignment vertical="top"/>
      <protection hidden="1"/>
    </xf>
    <xf numFmtId="16" fontId="0" fillId="0" borderId="0" xfId="0" quotePrefix="1" applyNumberFormat="1" applyAlignment="1" applyProtection="1">
      <alignment vertical="top"/>
      <protection hidden="1"/>
    </xf>
    <xf numFmtId="0" fontId="8" fillId="0" borderId="0" xfId="0" applyFont="1" applyAlignment="1" applyProtection="1">
      <alignment vertical="top"/>
      <protection hidden="1"/>
    </xf>
    <xf numFmtId="0" fontId="0" fillId="0" borderId="8" xfId="0" applyBorder="1" applyAlignment="1" applyProtection="1">
      <alignment vertical="top"/>
      <protection hidden="1"/>
    </xf>
    <xf numFmtId="0" fontId="0" fillId="0" borderId="11" xfId="0" applyBorder="1" applyAlignment="1" applyProtection="1">
      <alignment horizontal="left" vertical="top"/>
      <protection hidden="1"/>
    </xf>
    <xf numFmtId="0" fontId="8" fillId="0" borderId="6" xfId="0" applyFont="1" applyBorder="1" applyAlignment="1" applyProtection="1">
      <alignment vertical="top"/>
      <protection hidden="1"/>
    </xf>
    <xf numFmtId="16" fontId="0" fillId="0" borderId="8" xfId="0" quotePrefix="1" applyNumberFormat="1" applyBorder="1" applyAlignment="1" applyProtection="1">
      <alignment vertical="top"/>
      <protection hidden="1"/>
    </xf>
    <xf numFmtId="16" fontId="0" fillId="0" borderId="9" xfId="0" quotePrefix="1" applyNumberFormat="1" applyBorder="1" applyAlignment="1" applyProtection="1">
      <alignment vertical="top"/>
      <protection hidden="1"/>
    </xf>
    <xf numFmtId="16" fontId="8" fillId="0" borderId="8" xfId="0" quotePrefix="1" applyNumberFormat="1" applyFont="1" applyBorder="1" applyAlignment="1" applyProtection="1">
      <alignment vertical="top"/>
      <protection hidden="1"/>
    </xf>
    <xf numFmtId="0" fontId="8" fillId="0" borderId="5" xfId="0" applyFont="1" applyBorder="1" applyAlignment="1" applyProtection="1">
      <alignment vertical="top"/>
      <protection hidden="1"/>
    </xf>
    <xf numFmtId="0" fontId="8" fillId="0" borderId="13" xfId="0" applyFont="1" applyBorder="1" applyAlignment="1" applyProtection="1">
      <alignment vertical="top"/>
      <protection hidden="1"/>
    </xf>
    <xf numFmtId="165" fontId="0" fillId="0" borderId="10" xfId="0" quotePrefix="1" applyNumberFormat="1" applyBorder="1" applyAlignment="1" applyProtection="1">
      <alignment horizontal="right" vertical="top"/>
      <protection hidden="1"/>
    </xf>
    <xf numFmtId="0" fontId="0" fillId="5" borderId="1" xfId="0" applyFill="1" applyBorder="1" applyAlignment="1" applyProtection="1">
      <alignment vertical="top"/>
      <protection hidden="1"/>
    </xf>
    <xf numFmtId="0" fontId="0" fillId="0" borderId="0" xfId="0" quotePrefix="1" applyAlignment="1" applyProtection="1">
      <alignment vertical="top"/>
      <protection locked="0" hidden="1"/>
    </xf>
    <xf numFmtId="0" fontId="0" fillId="0" borderId="2" xfId="2" applyFont="1" applyBorder="1" applyAlignment="1" applyProtection="1">
      <alignment vertical="top"/>
      <protection hidden="1"/>
    </xf>
    <xf numFmtId="0" fontId="22" fillId="0" borderId="8" xfId="2" applyFont="1" applyBorder="1" applyAlignment="1" applyProtection="1">
      <alignment vertical="top"/>
      <protection hidden="1"/>
    </xf>
    <xf numFmtId="0" fontId="0" fillId="4" borderId="1" xfId="0" applyFill="1" applyBorder="1" applyAlignment="1" applyProtection="1">
      <alignment vertical="top"/>
      <protection hidden="1"/>
    </xf>
    <xf numFmtId="0" fontId="0" fillId="4" borderId="1" xfId="0" applyFill="1" applyBorder="1" applyAlignment="1" applyProtection="1">
      <alignment horizontal="left" vertical="top" wrapText="1"/>
      <protection hidden="1"/>
    </xf>
    <xf numFmtId="0" fontId="8" fillId="0" borderId="3" xfId="0" applyFont="1" applyBorder="1" applyAlignment="1" applyProtection="1">
      <alignment horizontal="left" vertical="top"/>
      <protection hidden="1"/>
    </xf>
    <xf numFmtId="4" fontId="0" fillId="0" borderId="13" xfId="1" applyNumberFormat="1" applyFont="1" applyBorder="1" applyAlignment="1" applyProtection="1">
      <alignment horizontal="center" vertical="top"/>
      <protection hidden="1"/>
    </xf>
    <xf numFmtId="0" fontId="25" fillId="0" borderId="8" xfId="1" applyFont="1" applyBorder="1" applyAlignment="1" applyProtection="1">
      <alignment horizontal="left" vertical="top"/>
      <protection hidden="1"/>
    </xf>
    <xf numFmtId="0" fontId="25" fillId="0" borderId="2" xfId="1" applyFont="1" applyBorder="1" applyAlignment="1" applyProtection="1">
      <alignment horizontal="left" vertical="top"/>
      <protection hidden="1"/>
    </xf>
    <xf numFmtId="0" fontId="22" fillId="0" borderId="6" xfId="1" applyFont="1" applyBorder="1" applyAlignment="1" applyProtection="1">
      <alignment vertical="top"/>
      <protection hidden="1"/>
    </xf>
    <xf numFmtId="2" fontId="8" fillId="0" borderId="9" xfId="1" applyNumberFormat="1" applyFont="1" applyBorder="1" applyAlignment="1" applyProtection="1">
      <alignment horizontal="center" vertical="center" wrapText="1"/>
      <protection hidden="1"/>
    </xf>
    <xf numFmtId="0" fontId="9" fillId="0" borderId="9" xfId="1" applyFont="1" applyBorder="1" applyAlignment="1" applyProtection="1">
      <alignment wrapText="1"/>
      <protection hidden="1"/>
    </xf>
    <xf numFmtId="0" fontId="6" fillId="0" borderId="0" xfId="1" applyFont="1" applyAlignment="1" applyProtection="1">
      <alignment vertical="center"/>
      <protection hidden="1"/>
    </xf>
    <xf numFmtId="0" fontId="0" fillId="0" borderId="5" xfId="2" applyFont="1" applyBorder="1" applyAlignment="1" applyProtection="1">
      <alignment horizontal="center" vertical="top"/>
      <protection hidden="1"/>
    </xf>
    <xf numFmtId="0" fontId="0" fillId="0" borderId="11" xfId="2" applyFont="1" applyBorder="1" applyAlignment="1" applyProtection="1">
      <alignment vertical="top"/>
      <protection hidden="1"/>
    </xf>
    <xf numFmtId="0" fontId="0" fillId="0" borderId="5" xfId="2" applyFont="1" applyBorder="1" applyAlignment="1" applyProtection="1">
      <alignment vertical="top"/>
      <protection hidden="1"/>
    </xf>
    <xf numFmtId="0" fontId="0" fillId="0" borderId="11" xfId="2" applyFont="1" applyBorder="1" applyAlignment="1" applyProtection="1">
      <alignment horizontal="center" vertical="top"/>
      <protection hidden="1"/>
    </xf>
    <xf numFmtId="0" fontId="22" fillId="0" borderId="0" xfId="2" applyFont="1" applyAlignment="1" applyProtection="1">
      <alignment horizontal="center" vertical="top"/>
      <protection hidden="1"/>
    </xf>
    <xf numFmtId="0" fontId="0" fillId="0" borderId="0" xfId="2" applyFont="1" applyAlignment="1" applyProtection="1">
      <alignment horizontal="center" vertical="top"/>
      <protection hidden="1"/>
    </xf>
    <xf numFmtId="4" fontId="0" fillId="0" borderId="13" xfId="2" applyNumberFormat="1" applyFont="1" applyBorder="1" applyAlignment="1" applyProtection="1">
      <alignment vertical="top"/>
      <protection hidden="1"/>
    </xf>
    <xf numFmtId="4" fontId="0" fillId="4" borderId="35" xfId="1" applyNumberFormat="1" applyFont="1" applyFill="1" applyBorder="1" applyAlignment="1" applyProtection="1">
      <alignment horizontal="center" vertical="top"/>
      <protection locked="0"/>
    </xf>
    <xf numFmtId="0" fontId="10" fillId="4" borderId="1" xfId="0" applyFont="1" applyFill="1" applyBorder="1" applyAlignment="1" applyProtection="1">
      <alignment vertical="top"/>
      <protection hidden="1"/>
    </xf>
    <xf numFmtId="16" fontId="0" fillId="0" borderId="44" xfId="0" quotePrefix="1" applyNumberFormat="1" applyBorder="1" applyAlignment="1" applyProtection="1">
      <alignment vertical="top"/>
      <protection hidden="1"/>
    </xf>
    <xf numFmtId="16" fontId="0" fillId="0" borderId="45" xfId="0" quotePrefix="1" applyNumberFormat="1" applyBorder="1" applyAlignment="1" applyProtection="1">
      <alignment vertical="top"/>
      <protection hidden="1"/>
    </xf>
    <xf numFmtId="0" fontId="0" fillId="0" borderId="46" xfId="0" applyBorder="1" applyAlignment="1" applyProtection="1">
      <alignment horizontal="center" vertical="top"/>
      <protection hidden="1"/>
    </xf>
    <xf numFmtId="0" fontId="0" fillId="0" borderId="48" xfId="0" applyBorder="1" applyAlignment="1" applyProtection="1">
      <alignment horizontal="center" vertical="top"/>
      <protection hidden="1"/>
    </xf>
    <xf numFmtId="0" fontId="20" fillId="0" borderId="7" xfId="0" applyFont="1" applyBorder="1" applyAlignment="1" applyProtection="1">
      <alignment horizontal="right" vertical="center"/>
      <protection hidden="1"/>
    </xf>
    <xf numFmtId="0" fontId="0" fillId="0" borderId="23" xfId="0" applyBorder="1" applyAlignment="1" applyProtection="1">
      <alignment vertical="top"/>
      <protection hidden="1"/>
    </xf>
    <xf numFmtId="0" fontId="0" fillId="0" borderId="24" xfId="0" applyBorder="1" applyAlignment="1" applyProtection="1">
      <alignment vertical="top"/>
      <protection hidden="1"/>
    </xf>
    <xf numFmtId="0" fontId="20" fillId="0" borderId="25" xfId="0" applyFont="1" applyBorder="1" applyAlignment="1" applyProtection="1">
      <alignment horizontal="right" vertical="center"/>
      <protection hidden="1"/>
    </xf>
    <xf numFmtId="169" fontId="0" fillId="0" borderId="3" xfId="0" applyNumberFormat="1" applyBorder="1" applyAlignment="1" applyProtection="1">
      <alignment horizontal="center" vertical="top"/>
      <protection locked="0"/>
    </xf>
    <xf numFmtId="0" fontId="0" fillId="0" borderId="45" xfId="0" applyBorder="1" applyAlignment="1" applyProtection="1">
      <alignment vertical="top"/>
      <protection hidden="1"/>
    </xf>
    <xf numFmtId="0" fontId="0" fillId="0" borderId="50" xfId="0" applyBorder="1" applyAlignment="1" applyProtection="1">
      <alignment vertical="top"/>
      <protection hidden="1"/>
    </xf>
    <xf numFmtId="16" fontId="0" fillId="0" borderId="50" xfId="0" quotePrefix="1" applyNumberFormat="1" applyBorder="1" applyAlignment="1" applyProtection="1">
      <alignment vertical="top"/>
      <protection hidden="1"/>
    </xf>
    <xf numFmtId="16" fontId="6" fillId="0" borderId="50" xfId="0" quotePrefix="1" applyNumberFormat="1" applyFont="1" applyBorder="1" applyAlignment="1" applyProtection="1">
      <alignment vertical="top"/>
      <protection hidden="1"/>
    </xf>
    <xf numFmtId="16" fontId="6" fillId="0" borderId="50" xfId="0" quotePrefix="1" applyNumberFormat="1" applyFont="1" applyBorder="1" applyAlignment="1" applyProtection="1">
      <alignment horizontal="right" vertical="top"/>
      <protection hidden="1"/>
    </xf>
    <xf numFmtId="0" fontId="20" fillId="0" borderId="6" xfId="0" quotePrefix="1" applyFont="1" applyBorder="1" applyAlignment="1" applyProtection="1">
      <alignment vertical="top"/>
      <protection hidden="1"/>
    </xf>
    <xf numFmtId="0" fontId="0" fillId="4" borderId="1" xfId="0" applyFill="1" applyBorder="1" applyAlignment="1">
      <alignment vertical="top"/>
    </xf>
    <xf numFmtId="0" fontId="6" fillId="0" borderId="12" xfId="0" quotePrefix="1" applyFont="1" applyBorder="1" applyAlignment="1" applyProtection="1">
      <alignment horizontal="right" vertical="top"/>
      <protection hidden="1"/>
    </xf>
    <xf numFmtId="16" fontId="6" fillId="0" borderId="47" xfId="0" quotePrefix="1" applyNumberFormat="1" applyFont="1" applyBorder="1" applyAlignment="1" applyProtection="1">
      <alignment horizontal="right" vertical="top"/>
      <protection hidden="1"/>
    </xf>
    <xf numFmtId="0" fontId="6" fillId="0" borderId="47" xfId="0" quotePrefix="1" applyFont="1" applyBorder="1" applyAlignment="1" applyProtection="1">
      <alignment horizontal="right" vertical="top"/>
      <protection hidden="1"/>
    </xf>
    <xf numFmtId="0" fontId="0" fillId="0" borderId="46" xfId="0" applyBorder="1" applyAlignment="1" applyProtection="1">
      <alignment vertical="top"/>
      <protection hidden="1"/>
    </xf>
    <xf numFmtId="0" fontId="6" fillId="0" borderId="7" xfId="0" applyFont="1" applyBorder="1" applyAlignment="1" applyProtection="1">
      <alignment horizontal="right" vertical="top"/>
      <protection hidden="1"/>
    </xf>
    <xf numFmtId="16" fontId="8" fillId="0" borderId="23" xfId="0" quotePrefix="1" applyNumberFormat="1" applyFont="1" applyBorder="1" applyAlignment="1" applyProtection="1">
      <alignment horizontal="left" vertical="center"/>
      <protection hidden="1"/>
    </xf>
    <xf numFmtId="0" fontId="8" fillId="0" borderId="24" xfId="0" applyFont="1" applyBorder="1" applyAlignment="1" applyProtection="1">
      <alignment vertical="center"/>
      <protection hidden="1"/>
    </xf>
    <xf numFmtId="0" fontId="0" fillId="0" borderId="25" xfId="0" applyBorder="1" applyAlignment="1" applyProtection="1">
      <alignment vertical="center"/>
      <protection hidden="1"/>
    </xf>
    <xf numFmtId="0" fontId="6" fillId="0" borderId="44" xfId="0" applyFont="1" applyBorder="1" applyAlignment="1" applyProtection="1">
      <alignment vertical="top"/>
      <protection hidden="1"/>
    </xf>
    <xf numFmtId="0" fontId="6" fillId="0" borderId="46" xfId="0" applyFont="1" applyBorder="1" applyAlignment="1" applyProtection="1">
      <alignment horizontal="right" vertical="top"/>
      <protection hidden="1"/>
    </xf>
    <xf numFmtId="0" fontId="10" fillId="0" borderId="49" xfId="0" applyFont="1" applyBorder="1" applyAlignment="1" applyProtection="1">
      <alignment vertical="top"/>
      <protection hidden="1"/>
    </xf>
    <xf numFmtId="0" fontId="6" fillId="0" borderId="49" xfId="0" applyFont="1" applyBorder="1" applyAlignment="1" applyProtection="1">
      <alignment vertical="top"/>
      <protection hidden="1"/>
    </xf>
    <xf numFmtId="167" fontId="0" fillId="0" borderId="49" xfId="0" applyNumberFormat="1" applyBorder="1" applyAlignment="1" applyProtection="1">
      <alignment horizontal="right" vertical="top"/>
      <protection hidden="1"/>
    </xf>
    <xf numFmtId="167" fontId="8" fillId="0" borderId="49" xfId="0" applyNumberFormat="1" applyFont="1" applyBorder="1" applyAlignment="1" applyProtection="1">
      <alignment horizontal="right" vertical="top"/>
      <protection hidden="1"/>
    </xf>
    <xf numFmtId="0" fontId="10" fillId="0" borderId="47" xfId="0" applyFont="1" applyBorder="1" applyAlignment="1" applyProtection="1">
      <alignment vertical="top"/>
      <protection hidden="1"/>
    </xf>
    <xf numFmtId="0" fontId="6" fillId="0" borderId="47" xfId="0" applyFont="1" applyBorder="1" applyAlignment="1" applyProtection="1">
      <alignment vertical="top"/>
      <protection hidden="1"/>
    </xf>
    <xf numFmtId="167" fontId="0" fillId="0" borderId="47" xfId="0" applyNumberFormat="1" applyBorder="1" applyAlignment="1" applyProtection="1">
      <alignment horizontal="right" vertical="top"/>
      <protection hidden="1"/>
    </xf>
    <xf numFmtId="167" fontId="8" fillId="0" borderId="47" xfId="0" applyNumberFormat="1" applyFont="1" applyBorder="1" applyAlignment="1" applyProtection="1">
      <alignment horizontal="right" vertical="top"/>
      <protection hidden="1"/>
    </xf>
    <xf numFmtId="0" fontId="10" fillId="0" borderId="43" xfId="0" applyFont="1" applyBorder="1" applyAlignment="1" applyProtection="1">
      <alignment vertical="top"/>
      <protection hidden="1"/>
    </xf>
    <xf numFmtId="0" fontId="6" fillId="0" borderId="43" xfId="0" applyFont="1" applyBorder="1" applyAlignment="1" applyProtection="1">
      <alignment vertical="top"/>
      <protection hidden="1"/>
    </xf>
    <xf numFmtId="167" fontId="0" fillId="0" borderId="43" xfId="0" applyNumberFormat="1" applyBorder="1" applyAlignment="1" applyProtection="1">
      <alignment horizontal="right" vertical="top"/>
      <protection hidden="1"/>
    </xf>
    <xf numFmtId="0" fontId="0" fillId="0" borderId="6" xfId="0" applyBorder="1"/>
    <xf numFmtId="0" fontId="22" fillId="0" borderId="8" xfId="1" applyFont="1" applyBorder="1" applyProtection="1">
      <protection hidden="1"/>
    </xf>
    <xf numFmtId="0" fontId="22" fillId="0" borderId="2" xfId="1" applyFont="1" applyBorder="1" applyProtection="1">
      <protection hidden="1"/>
    </xf>
    <xf numFmtId="0" fontId="22" fillId="4" borderId="14" xfId="1" applyFont="1" applyFill="1" applyBorder="1" applyAlignment="1" applyProtection="1">
      <alignment vertical="center"/>
      <protection hidden="1"/>
    </xf>
    <xf numFmtId="0" fontId="33" fillId="0" borderId="8" xfId="1" applyFont="1" applyBorder="1" applyAlignment="1" applyProtection="1">
      <alignment vertical="center"/>
      <protection hidden="1"/>
    </xf>
    <xf numFmtId="4" fontId="8" fillId="0" borderId="6" xfId="0" applyNumberFormat="1" applyFont="1" applyBorder="1" applyAlignment="1" applyProtection="1">
      <alignment horizontal="right" vertical="center"/>
      <protection hidden="1"/>
    </xf>
    <xf numFmtId="0" fontId="8" fillId="0" borderId="3" xfId="0" applyFont="1" applyBorder="1" applyAlignment="1" applyProtection="1">
      <alignment vertical="top"/>
      <protection hidden="1"/>
    </xf>
    <xf numFmtId="0" fontId="22" fillId="0" borderId="2" xfId="2" applyFont="1" applyBorder="1" applyProtection="1">
      <protection hidden="1"/>
    </xf>
    <xf numFmtId="0" fontId="0" fillId="0" borderId="0" xfId="0" applyAlignment="1" applyProtection="1">
      <alignment horizontal="left" vertical="top" wrapText="1"/>
      <protection hidden="1"/>
    </xf>
    <xf numFmtId="167" fontId="8" fillId="0" borderId="9" xfId="0" applyNumberFormat="1" applyFont="1" applyBorder="1" applyAlignment="1" applyProtection="1">
      <alignment vertical="top"/>
      <protection hidden="1"/>
    </xf>
    <xf numFmtId="0" fontId="6" fillId="4" borderId="1" xfId="0" applyFont="1" applyFill="1" applyBorder="1" applyAlignment="1" applyProtection="1">
      <alignment vertical="top"/>
      <protection hidden="1"/>
    </xf>
    <xf numFmtId="0" fontId="6" fillId="6" borderId="1" xfId="0" applyFont="1" applyFill="1" applyBorder="1" applyAlignment="1" applyProtection="1">
      <alignment vertical="top"/>
      <protection hidden="1"/>
    </xf>
    <xf numFmtId="0" fontId="6" fillId="0" borderId="3" xfId="0" applyFont="1" applyBorder="1" applyAlignment="1" applyProtection="1">
      <alignment vertical="center"/>
      <protection hidden="1"/>
    </xf>
    <xf numFmtId="3" fontId="8" fillId="4" borderId="1" xfId="0" applyNumberFormat="1" applyFont="1" applyFill="1" applyBorder="1" applyAlignment="1" applyProtection="1">
      <alignment horizontal="center" vertical="top"/>
      <protection locked="0"/>
    </xf>
    <xf numFmtId="0" fontId="10" fillId="4" borderId="1" xfId="0" applyFont="1" applyFill="1" applyBorder="1" applyAlignment="1" applyProtection="1">
      <alignment vertical="top" wrapText="1"/>
      <protection hidden="1"/>
    </xf>
    <xf numFmtId="0" fontId="8" fillId="0" borderId="11" xfId="0" applyFont="1" applyBorder="1" applyAlignment="1" applyProtection="1">
      <alignment vertical="top" wrapText="1"/>
      <protection hidden="1"/>
    </xf>
    <xf numFmtId="0" fontId="8" fillId="0" borderId="0" xfId="0" applyFont="1" applyAlignment="1" applyProtection="1">
      <alignment vertical="top" wrapText="1"/>
      <protection hidden="1"/>
    </xf>
    <xf numFmtId="2" fontId="0" fillId="0" borderId="1" xfId="0" applyNumberFormat="1" applyBorder="1" applyAlignment="1" applyProtection="1">
      <alignment horizontal="center" vertical="center"/>
      <protection hidden="1"/>
    </xf>
    <xf numFmtId="0" fontId="0" fillId="0" borderId="0" xfId="0" applyAlignment="1" applyProtection="1">
      <alignment horizontal="right" vertical="top"/>
      <protection hidden="1"/>
    </xf>
    <xf numFmtId="166" fontId="0" fillId="0" borderId="1" xfId="0" applyNumberFormat="1" applyBorder="1" applyAlignment="1" applyProtection="1">
      <alignment horizontal="center" vertical="center"/>
      <protection hidden="1"/>
    </xf>
    <xf numFmtId="2" fontId="0" fillId="5" borderId="1" xfId="0" applyNumberFormat="1" applyFill="1" applyBorder="1" applyAlignment="1" applyProtection="1">
      <alignment horizontal="center" vertical="top" wrapText="1"/>
      <protection locked="0"/>
    </xf>
    <xf numFmtId="2" fontId="0" fillId="5" borderId="1" xfId="0" applyNumberFormat="1" applyFill="1" applyBorder="1" applyAlignment="1" applyProtection="1">
      <alignment horizontal="center" vertical="top"/>
      <protection locked="0" hidden="1"/>
    </xf>
    <xf numFmtId="16" fontId="6" fillId="6" borderId="1" xfId="0" quotePrefix="1" applyNumberFormat="1" applyFont="1" applyFill="1" applyBorder="1" applyAlignment="1" applyProtection="1">
      <alignment horizontal="left" vertical="top"/>
      <protection hidden="1"/>
    </xf>
    <xf numFmtId="16" fontId="10" fillId="6" borderId="1" xfId="0" quotePrefix="1" applyNumberFormat="1" applyFont="1" applyFill="1" applyBorder="1" applyAlignment="1" applyProtection="1">
      <alignment vertical="top"/>
      <protection hidden="1"/>
    </xf>
    <xf numFmtId="167" fontId="0" fillId="0" borderId="12" xfId="0" applyNumberFormat="1" applyBorder="1" applyAlignment="1" applyProtection="1">
      <alignment vertical="center"/>
      <protection hidden="1"/>
    </xf>
    <xf numFmtId="0" fontId="32" fillId="0" borderId="0" xfId="0" quotePrefix="1" applyFont="1" applyAlignment="1" applyProtection="1">
      <alignment vertical="top"/>
      <protection locked="0" hidden="1"/>
    </xf>
    <xf numFmtId="4" fontId="0" fillId="0" borderId="0" xfId="1" applyNumberFormat="1" applyFont="1" applyAlignment="1" applyProtection="1">
      <alignment vertical="top"/>
      <protection hidden="1"/>
    </xf>
    <xf numFmtId="4" fontId="22" fillId="0" borderId="0" xfId="1" applyNumberFormat="1" applyFont="1" applyAlignment="1" applyProtection="1">
      <alignment vertical="top"/>
      <protection hidden="1"/>
    </xf>
    <xf numFmtId="0" fontId="22" fillId="0" borderId="2" xfId="2" applyFont="1" applyBorder="1" applyAlignment="1" applyProtection="1">
      <alignment vertical="top"/>
      <protection hidden="1"/>
    </xf>
    <xf numFmtId="0" fontId="25" fillId="0" borderId="2" xfId="2" applyFont="1" applyBorder="1" applyProtection="1">
      <protection hidden="1"/>
    </xf>
    <xf numFmtId="0" fontId="0" fillId="0" borderId="3" xfId="0" applyBorder="1" applyAlignment="1" applyProtection="1">
      <alignment horizontal="left" vertical="top"/>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2" xfId="0" applyFont="1" applyBorder="1" applyAlignment="1" applyProtection="1">
      <alignment horizontal="left" vertical="center"/>
      <protection hidden="1"/>
    </xf>
    <xf numFmtId="0" fontId="8" fillId="0" borderId="3" xfId="0" applyFont="1" applyBorder="1" applyAlignment="1" applyProtection="1">
      <alignment vertical="center"/>
      <protection hidden="1"/>
    </xf>
    <xf numFmtId="167" fontId="8" fillId="0" borderId="3" xfId="0" applyNumberFormat="1" applyFont="1" applyBorder="1" applyAlignment="1" applyProtection="1">
      <alignment vertical="top"/>
      <protection hidden="1"/>
    </xf>
    <xf numFmtId="16" fontId="6" fillId="4" borderId="1" xfId="0" quotePrefix="1" applyNumberFormat="1" applyFont="1" applyFill="1" applyBorder="1" applyAlignment="1" applyProtection="1">
      <alignment vertical="top"/>
      <protection hidden="1"/>
    </xf>
    <xf numFmtId="167" fontId="0" fillId="0" borderId="14" xfId="0" applyNumberFormat="1" applyBorder="1" applyAlignment="1" applyProtection="1">
      <alignment vertical="center"/>
      <protection hidden="1"/>
    </xf>
    <xf numFmtId="4" fontId="0" fillId="0" borderId="0" xfId="0" applyNumberFormat="1" applyAlignment="1" applyProtection="1">
      <alignment vertical="top"/>
      <protection hidden="1"/>
    </xf>
    <xf numFmtId="4" fontId="0" fillId="0" borderId="0" xfId="0" applyNumberFormat="1" applyAlignment="1" applyProtection="1">
      <alignment vertical="top"/>
      <protection locked="0" hidden="1"/>
    </xf>
    <xf numFmtId="4" fontId="0" fillId="0" borderId="0" xfId="1" applyNumberFormat="1" applyFont="1" applyAlignment="1" applyProtection="1">
      <alignment vertical="top"/>
      <protection locked="0" hidden="1"/>
    </xf>
    <xf numFmtId="0" fontId="22" fillId="0" borderId="0" xfId="2" applyFont="1" applyAlignment="1" applyProtection="1">
      <alignment vertical="top" wrapText="1"/>
      <protection hidden="1"/>
    </xf>
    <xf numFmtId="0" fontId="0" fillId="0" borderId="0" xfId="2" applyFont="1" applyAlignment="1" applyProtection="1">
      <alignment vertical="top" wrapText="1"/>
      <protection hidden="1"/>
    </xf>
    <xf numFmtId="0" fontId="8" fillId="0" borderId="0" xfId="2" applyFont="1" applyProtection="1">
      <protection hidden="1"/>
    </xf>
    <xf numFmtId="0" fontId="0" fillId="0" borderId="45"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167" fontId="0" fillId="0" borderId="0" xfId="0" applyNumberFormat="1" applyAlignment="1" applyProtection="1">
      <alignment vertical="top"/>
      <protection locked="0" hidden="1"/>
    </xf>
    <xf numFmtId="0" fontId="34" fillId="0" borderId="0" xfId="0" applyFont="1" applyAlignment="1" applyProtection="1">
      <alignment vertical="top"/>
      <protection locked="0" hidden="1"/>
    </xf>
    <xf numFmtId="0" fontId="28" fillId="0" borderId="0" xfId="3" applyFont="1" applyFill="1" applyBorder="1" applyAlignment="1" applyProtection="1">
      <alignment horizontal="center" vertical="center"/>
      <protection hidden="1"/>
    </xf>
    <xf numFmtId="0" fontId="8" fillId="0" borderId="24" xfId="0" applyFont="1" applyBorder="1" applyAlignment="1" applyProtection="1">
      <alignment horizontal="left" vertical="center"/>
      <protection hidden="1"/>
    </xf>
    <xf numFmtId="0" fontId="20" fillId="0" borderId="0" xfId="0" applyFont="1" applyAlignment="1" applyProtection="1">
      <alignment vertical="top" wrapText="1"/>
      <protection hidden="1"/>
    </xf>
    <xf numFmtId="0" fontId="8" fillId="4" borderId="51" xfId="0" applyFont="1" applyFill="1" applyBorder="1" applyAlignment="1" applyProtection="1">
      <alignment horizontal="left" vertical="center"/>
      <protection locked="0"/>
    </xf>
    <xf numFmtId="0" fontId="0" fillId="0" borderId="9" xfId="0" applyBorder="1" applyAlignment="1" applyProtection="1">
      <alignment horizontal="left" vertical="center"/>
      <protection hidden="1"/>
    </xf>
    <xf numFmtId="0" fontId="8" fillId="0" borderId="0" xfId="0" applyFont="1" applyAlignment="1" applyProtection="1">
      <alignment horizontal="left" vertical="center"/>
      <protection hidden="1"/>
    </xf>
    <xf numFmtId="0" fontId="7" fillId="0" borderId="0" xfId="0" applyFont="1" applyAlignment="1" applyProtection="1">
      <alignment horizontal="center" vertical="center" wrapText="1"/>
      <protection hidden="1"/>
    </xf>
    <xf numFmtId="0" fontId="8" fillId="0" borderId="6" xfId="0" applyFont="1" applyBorder="1" applyAlignment="1" applyProtection="1">
      <alignment horizontal="left" vertical="center"/>
      <protection hidden="1"/>
    </xf>
    <xf numFmtId="0" fontId="8" fillId="0" borderId="6" xfId="0" applyFont="1" applyBorder="1" applyAlignment="1" applyProtection="1">
      <alignment horizontal="center" vertical="center" wrapText="1"/>
      <protection hidden="1"/>
    </xf>
    <xf numFmtId="0" fontId="8" fillId="0" borderId="3" xfId="0" applyFont="1" applyBorder="1" applyAlignment="1" applyProtection="1">
      <alignment horizontal="left" vertical="center"/>
      <protection hidden="1"/>
    </xf>
    <xf numFmtId="0" fontId="8" fillId="0" borderId="25" xfId="0" applyFont="1" applyBorder="1" applyAlignment="1" applyProtection="1">
      <alignment horizontal="right" vertical="center"/>
      <protection hidden="1"/>
    </xf>
    <xf numFmtId="0" fontId="8" fillId="0" borderId="23" xfId="0" applyFont="1" applyBorder="1" applyAlignment="1" applyProtection="1">
      <alignment vertical="center"/>
      <protection hidden="1"/>
    </xf>
    <xf numFmtId="0" fontId="8" fillId="0" borderId="48" xfId="0" applyFont="1" applyBorder="1" applyAlignment="1">
      <alignment horizontal="left" vertical="center"/>
    </xf>
    <xf numFmtId="0" fontId="8" fillId="0" borderId="6" xfId="0" applyFont="1" applyBorder="1" applyAlignment="1" applyProtection="1">
      <alignment vertical="center"/>
      <protection hidden="1"/>
    </xf>
    <xf numFmtId="0" fontId="0" fillId="0" borderId="24" xfId="0" applyBorder="1" applyAlignment="1" applyProtection="1">
      <alignment horizontal="left" vertical="center"/>
      <protection hidden="1"/>
    </xf>
    <xf numFmtId="0" fontId="8" fillId="0" borderId="25" xfId="0" applyFont="1" applyBorder="1" applyAlignment="1">
      <alignment horizontal="left" vertical="center"/>
    </xf>
    <xf numFmtId="0" fontId="8" fillId="4" borderId="25" xfId="0" applyFont="1" applyFill="1" applyBorder="1" applyAlignment="1" applyProtection="1">
      <alignment horizontal="left" vertical="center"/>
      <protection locked="0"/>
    </xf>
    <xf numFmtId="0" fontId="7" fillId="0" borderId="6" xfId="0" applyFont="1" applyBorder="1" applyAlignment="1" applyProtection="1">
      <alignment vertical="center" wrapText="1"/>
      <protection hidden="1"/>
    </xf>
    <xf numFmtId="0" fontId="8" fillId="0" borderId="22"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27" fillId="0" borderId="6" xfId="0" applyFont="1" applyBorder="1" applyAlignment="1" applyProtection="1">
      <alignment vertical="top"/>
      <protection hidden="1"/>
    </xf>
    <xf numFmtId="4" fontId="0" fillId="0" borderId="4" xfId="0" applyNumberFormat="1" applyBorder="1" applyAlignment="1" applyProtection="1">
      <alignment vertical="top"/>
      <protection hidden="1"/>
    </xf>
    <xf numFmtId="0" fontId="6" fillId="0" borderId="6" xfId="0" applyFont="1" applyBorder="1" applyAlignment="1" applyProtection="1">
      <alignment horizontal="center" vertical="center"/>
      <protection hidden="1"/>
    </xf>
    <xf numFmtId="0" fontId="0" fillId="0" borderId="6" xfId="0" applyBorder="1" applyAlignment="1" applyProtection="1">
      <alignment horizontal="center" vertical="center" textRotation="90"/>
      <protection hidden="1"/>
    </xf>
    <xf numFmtId="16" fontId="6" fillId="0" borderId="43" xfId="0" quotePrefix="1" applyNumberFormat="1" applyFont="1" applyBorder="1" applyAlignment="1" applyProtection="1">
      <alignment horizontal="right" vertical="top"/>
      <protection hidden="1"/>
    </xf>
    <xf numFmtId="0" fontId="40" fillId="0" borderId="6" xfId="0" applyFont="1" applyBorder="1" applyAlignment="1" applyProtection="1">
      <alignment horizontal="center" vertical="center" wrapText="1"/>
      <protection hidden="1"/>
    </xf>
    <xf numFmtId="0" fontId="8" fillId="2" borderId="24" xfId="0" applyFont="1" applyFill="1" applyBorder="1" applyAlignment="1" applyProtection="1">
      <alignment horizontal="left" vertical="center"/>
      <protection hidden="1"/>
    </xf>
    <xf numFmtId="0" fontId="8" fillId="0" borderId="6" xfId="0" applyFont="1" applyBorder="1" applyAlignment="1" applyProtection="1">
      <alignment vertical="center" wrapText="1"/>
      <protection hidden="1"/>
    </xf>
    <xf numFmtId="0" fontId="8" fillId="0" borderId="22" xfId="0" applyFont="1" applyBorder="1" applyAlignment="1" applyProtection="1">
      <alignment vertical="center"/>
      <protection hidden="1"/>
    </xf>
    <xf numFmtId="0" fontId="8" fillId="0" borderId="48" xfId="0" applyFont="1" applyBorder="1" applyAlignment="1" applyProtection="1">
      <alignment vertical="center"/>
      <protection hidden="1"/>
    </xf>
    <xf numFmtId="0" fontId="8" fillId="0" borderId="25" xfId="0" applyFont="1" applyBorder="1" applyAlignment="1" applyProtection="1">
      <alignment vertical="center"/>
      <protection hidden="1"/>
    </xf>
    <xf numFmtId="0" fontId="7" fillId="0" borderId="22" xfId="0" applyFont="1" applyBorder="1" applyAlignment="1" applyProtection="1">
      <alignment vertical="center" wrapText="1"/>
      <protection hidden="1"/>
    </xf>
    <xf numFmtId="0" fontId="0" fillId="0" borderId="24" xfId="0" applyBorder="1" applyAlignment="1" applyProtection="1">
      <alignment horizontal="left" vertical="top"/>
      <protection hidden="1"/>
    </xf>
    <xf numFmtId="167" fontId="0" fillId="0" borderId="3" xfId="0" applyNumberFormat="1" applyBorder="1" applyAlignment="1" applyProtection="1">
      <alignment vertical="top"/>
      <protection hidden="1"/>
    </xf>
    <xf numFmtId="0" fontId="36" fillId="0" borderId="50" xfId="1" quotePrefix="1" applyFont="1" applyBorder="1" applyAlignment="1" applyProtection="1">
      <alignment vertical="top" wrapText="1"/>
      <protection hidden="1"/>
    </xf>
    <xf numFmtId="0" fontId="9" fillId="0" borderId="13" xfId="1" applyFont="1" applyBorder="1" applyProtection="1">
      <protection hidden="1"/>
    </xf>
    <xf numFmtId="0" fontId="22" fillId="0" borderId="50" xfId="1" applyFont="1" applyBorder="1" applyAlignment="1" applyProtection="1">
      <alignment horizontal="center" vertical="top"/>
      <protection hidden="1"/>
    </xf>
    <xf numFmtId="0" fontId="22" fillId="0" borderId="3" xfId="1" applyFont="1" applyBorder="1" applyAlignment="1" applyProtection="1">
      <alignment vertical="top" wrapText="1"/>
      <protection hidden="1"/>
    </xf>
    <xf numFmtId="0" fontId="22" fillId="0" borderId="53" xfId="1" applyFont="1" applyBorder="1" applyAlignment="1" applyProtection="1">
      <alignment vertical="top" wrapText="1"/>
      <protection hidden="1"/>
    </xf>
    <xf numFmtId="0" fontId="22" fillId="0" borderId="53" xfId="2" applyFont="1" applyBorder="1" applyAlignment="1" applyProtection="1">
      <alignment vertical="top" wrapText="1"/>
      <protection hidden="1"/>
    </xf>
    <xf numFmtId="4" fontId="0" fillId="3" borderId="51" xfId="2" applyNumberFormat="1" applyFont="1" applyFill="1" applyBorder="1" applyAlignment="1" applyProtection="1">
      <alignment horizontal="center" vertical="top"/>
      <protection hidden="1"/>
    </xf>
    <xf numFmtId="0" fontId="22" fillId="0" borderId="50" xfId="2" applyFont="1" applyBorder="1" applyAlignment="1" applyProtection="1">
      <alignment horizontal="center" vertical="top"/>
      <protection hidden="1"/>
    </xf>
    <xf numFmtId="0" fontId="22" fillId="0" borderId="50" xfId="2" applyFont="1" applyBorder="1" applyAlignment="1" applyProtection="1">
      <alignment vertical="top"/>
      <protection hidden="1"/>
    </xf>
    <xf numFmtId="0" fontId="9" fillId="0" borderId="57" xfId="1" applyFont="1" applyBorder="1" applyProtection="1">
      <protection hidden="1"/>
    </xf>
    <xf numFmtId="4" fontId="0" fillId="3" borderId="51" xfId="1" applyNumberFormat="1" applyFont="1" applyFill="1" applyBorder="1" applyAlignment="1" applyProtection="1">
      <alignment horizontal="center" vertical="center"/>
      <protection hidden="1"/>
    </xf>
    <xf numFmtId="0" fontId="22" fillId="0" borderId="1" xfId="1" applyFont="1" applyBorder="1" applyAlignment="1" applyProtection="1">
      <alignment vertical="top"/>
      <protection hidden="1"/>
    </xf>
    <xf numFmtId="4" fontId="0" fillId="3" borderId="4" xfId="1" applyNumberFormat="1" applyFont="1" applyFill="1" applyBorder="1" applyAlignment="1" applyProtection="1">
      <alignment horizontal="center" vertical="top"/>
      <protection hidden="1"/>
    </xf>
    <xf numFmtId="4" fontId="0" fillId="0" borderId="57" xfId="1" applyNumberFormat="1" applyFont="1" applyBorder="1" applyAlignment="1" applyProtection="1">
      <alignment horizontal="center" vertical="top"/>
      <protection hidden="1"/>
    </xf>
    <xf numFmtId="4" fontId="0" fillId="3" borderId="51" xfId="1" applyNumberFormat="1" applyFont="1" applyFill="1" applyBorder="1" applyAlignment="1" applyProtection="1">
      <alignment horizontal="center" vertical="top"/>
      <protection hidden="1"/>
    </xf>
    <xf numFmtId="4" fontId="0" fillId="3" borderId="13" xfId="1" applyNumberFormat="1" applyFont="1" applyFill="1" applyBorder="1" applyAlignment="1" applyProtection="1">
      <alignment horizontal="center" vertical="top"/>
      <protection hidden="1"/>
    </xf>
    <xf numFmtId="0" fontId="45" fillId="0" borderId="9" xfId="1" applyFont="1" applyBorder="1" applyAlignment="1" applyProtection="1">
      <alignment vertical="center"/>
      <protection hidden="1"/>
    </xf>
    <xf numFmtId="0" fontId="22" fillId="0" borderId="3" xfId="2" applyFont="1" applyBorder="1" applyAlignment="1" applyProtection="1">
      <alignment vertical="top" wrapText="1"/>
      <protection hidden="1"/>
    </xf>
    <xf numFmtId="4" fontId="0" fillId="0" borderId="57" xfId="2" applyNumberFormat="1" applyFont="1" applyBorder="1" applyAlignment="1" applyProtection="1">
      <alignment vertical="top"/>
      <protection hidden="1"/>
    </xf>
    <xf numFmtId="0" fontId="0" fillId="0" borderId="56" xfId="2" applyFont="1" applyBorder="1" applyAlignment="1" applyProtection="1">
      <alignment vertical="top"/>
      <protection hidden="1"/>
    </xf>
    <xf numFmtId="4" fontId="0" fillId="0" borderId="57" xfId="2" applyNumberFormat="1" applyFont="1" applyBorder="1" applyAlignment="1" applyProtection="1">
      <alignment horizontal="center" vertical="top"/>
      <protection hidden="1"/>
    </xf>
    <xf numFmtId="0" fontId="40" fillId="0" borderId="2" xfId="1" applyFont="1" applyBorder="1" applyAlignment="1" applyProtection="1">
      <alignment horizontal="left" vertical="top" wrapText="1"/>
      <protection hidden="1"/>
    </xf>
    <xf numFmtId="0" fontId="11" fillId="3" borderId="9" xfId="1" applyFont="1" applyFill="1" applyBorder="1" applyAlignment="1" applyProtection="1">
      <alignment vertical="center"/>
      <protection hidden="1"/>
    </xf>
    <xf numFmtId="0" fontId="49" fillId="0" borderId="0" xfId="1" applyFont="1" applyAlignment="1" applyProtection="1">
      <alignment horizontal="center"/>
      <protection hidden="1"/>
    </xf>
    <xf numFmtId="0" fontId="50" fillId="0" borderId="0" xfId="1" applyFont="1" applyProtection="1">
      <protection hidden="1"/>
    </xf>
    <xf numFmtId="0" fontId="11" fillId="3" borderId="9" xfId="2" applyFont="1" applyFill="1" applyBorder="1" applyAlignment="1" applyProtection="1">
      <alignment vertical="center"/>
      <protection hidden="1"/>
    </xf>
    <xf numFmtId="0" fontId="6" fillId="0" borderId="0" xfId="2" applyFont="1" applyAlignment="1" applyProtection="1">
      <alignment vertical="top"/>
      <protection hidden="1"/>
    </xf>
    <xf numFmtId="0" fontId="36" fillId="0" borderId="50" xfId="1" quotePrefix="1" applyFont="1" applyBorder="1" applyAlignment="1" applyProtection="1">
      <alignment horizontal="center" vertical="top"/>
      <protection hidden="1"/>
    </xf>
    <xf numFmtId="4" fontId="8" fillId="0" borderId="57" xfId="0" applyNumberFormat="1" applyFont="1" applyBorder="1" applyAlignment="1" applyProtection="1">
      <alignment horizontal="right" vertical="center"/>
      <protection hidden="1"/>
    </xf>
    <xf numFmtId="0" fontId="11" fillId="0" borderId="50" xfId="2" applyFont="1" applyBorder="1" applyAlignment="1" applyProtection="1">
      <alignment vertical="center"/>
      <protection hidden="1"/>
    </xf>
    <xf numFmtId="0" fontId="6" fillId="0" borderId="53" xfId="2" applyFont="1" applyBorder="1" applyAlignment="1" applyProtection="1">
      <alignment vertical="top"/>
      <protection hidden="1"/>
    </xf>
    <xf numFmtId="0" fontId="23" fillId="4" borderId="50" xfId="1" applyFont="1" applyFill="1" applyBorder="1" applyAlignment="1" applyProtection="1">
      <alignment vertical="top" wrapText="1"/>
      <protection locked="0"/>
    </xf>
    <xf numFmtId="3" fontId="0" fillId="4" borderId="52" xfId="2" applyNumberFormat="1" applyFont="1" applyFill="1" applyBorder="1" applyAlignment="1" applyProtection="1">
      <alignment horizontal="center" vertical="top"/>
      <protection locked="0"/>
    </xf>
    <xf numFmtId="4" fontId="0" fillId="3" borderId="51" xfId="0" applyNumberFormat="1" applyFill="1" applyBorder="1" applyAlignment="1" applyProtection="1">
      <alignment horizontal="right" vertical="top"/>
      <protection hidden="1"/>
    </xf>
    <xf numFmtId="4" fontId="0" fillId="3" borderId="4" xfId="0" applyNumberFormat="1" applyFill="1" applyBorder="1" applyAlignment="1" applyProtection="1">
      <alignment horizontal="right" vertical="top"/>
      <protection hidden="1"/>
    </xf>
    <xf numFmtId="0" fontId="23" fillId="3" borderId="50" xfId="1" applyFont="1" applyFill="1" applyBorder="1" applyAlignment="1" applyProtection="1">
      <alignment vertical="top" wrapText="1"/>
      <protection hidden="1"/>
    </xf>
    <xf numFmtId="4" fontId="0" fillId="3" borderId="13" xfId="0" applyNumberFormat="1" applyFill="1" applyBorder="1" applyAlignment="1" applyProtection="1">
      <alignment horizontal="right" vertical="top"/>
      <protection hidden="1"/>
    </xf>
    <xf numFmtId="0" fontId="36" fillId="0" borderId="0" xfId="1" quotePrefix="1" applyFont="1" applyAlignment="1" applyProtection="1">
      <alignment horizontal="center" vertical="top"/>
      <protection hidden="1"/>
    </xf>
    <xf numFmtId="0" fontId="23" fillId="3" borderId="0" xfId="1" applyFont="1" applyFill="1" applyAlignment="1" applyProtection="1">
      <alignment vertical="top" wrapText="1"/>
      <protection hidden="1"/>
    </xf>
    <xf numFmtId="0" fontId="11" fillId="0" borderId="0" xfId="2" applyFont="1" applyAlignment="1" applyProtection="1">
      <alignment vertical="center"/>
      <protection hidden="1"/>
    </xf>
    <xf numFmtId="4" fontId="8" fillId="0" borderId="13" xfId="0" applyNumberFormat="1" applyFont="1" applyBorder="1" applyAlignment="1" applyProtection="1">
      <alignment horizontal="right" vertical="center"/>
      <protection hidden="1"/>
    </xf>
    <xf numFmtId="4" fontId="0" fillId="4" borderId="38" xfId="1" applyNumberFormat="1" applyFont="1" applyFill="1" applyBorder="1" applyAlignment="1" applyProtection="1">
      <alignment horizontal="center" vertical="top"/>
      <protection locked="0"/>
    </xf>
    <xf numFmtId="4" fontId="0" fillId="0" borderId="57" xfId="0" applyNumberFormat="1" applyBorder="1" applyAlignment="1" applyProtection="1">
      <alignment horizontal="left" vertical="top"/>
      <protection hidden="1"/>
    </xf>
    <xf numFmtId="4" fontId="0" fillId="0" borderId="13" xfId="0" applyNumberFormat="1" applyBorder="1" applyAlignment="1" applyProtection="1">
      <alignment horizontal="left" vertical="top"/>
      <protection hidden="1"/>
    </xf>
    <xf numFmtId="4" fontId="0" fillId="4" borderId="54" xfId="1" applyNumberFormat="1" applyFont="1" applyFill="1" applyBorder="1" applyAlignment="1" applyProtection="1">
      <alignment horizontal="center" vertical="top"/>
      <protection locked="0"/>
    </xf>
    <xf numFmtId="0" fontId="22" fillId="0" borderId="50" xfId="1" applyFont="1" applyBorder="1" applyAlignment="1" applyProtection="1">
      <alignment vertical="top" wrapText="1"/>
      <protection hidden="1"/>
    </xf>
    <xf numFmtId="16" fontId="6" fillId="0" borderId="55" xfId="0" quotePrefix="1" applyNumberFormat="1" applyFont="1" applyBorder="1" applyAlignment="1" applyProtection="1">
      <alignment horizontal="right" vertical="top"/>
      <protection hidden="1"/>
    </xf>
    <xf numFmtId="16" fontId="6" fillId="0" borderId="62" xfId="0" quotePrefix="1" applyNumberFormat="1" applyFont="1" applyBorder="1" applyAlignment="1" applyProtection="1">
      <alignment horizontal="right" vertical="top"/>
      <protection hidden="1"/>
    </xf>
    <xf numFmtId="167" fontId="8" fillId="0" borderId="43" xfId="0" applyNumberFormat="1" applyFont="1" applyBorder="1" applyAlignment="1" applyProtection="1">
      <alignment horizontal="right" vertical="top"/>
      <protection hidden="1"/>
    </xf>
    <xf numFmtId="167" fontId="0" fillId="0" borderId="14" xfId="0" applyNumberFormat="1" applyBorder="1" applyAlignment="1">
      <alignment vertical="center"/>
    </xf>
    <xf numFmtId="0" fontId="6" fillId="0" borderId="44" xfId="0" applyFont="1" applyBorder="1" applyAlignment="1">
      <alignment vertical="center"/>
    </xf>
    <xf numFmtId="0" fontId="0" fillId="0" borderId="46" xfId="0" applyBorder="1"/>
    <xf numFmtId="168" fontId="8" fillId="4" borderId="47" xfId="0" applyNumberFormat="1" applyFont="1" applyFill="1" applyBorder="1" applyAlignment="1" applyProtection="1">
      <alignment horizontal="center" vertical="center"/>
      <protection locked="0"/>
    </xf>
    <xf numFmtId="0" fontId="8" fillId="0" borderId="2" xfId="0" applyFont="1" applyBorder="1" applyAlignment="1" applyProtection="1">
      <alignment vertical="center"/>
      <protection hidden="1"/>
    </xf>
    <xf numFmtId="4" fontId="40" fillId="8" borderId="16" xfId="0" applyNumberFormat="1" applyFont="1" applyFill="1" applyBorder="1" applyAlignment="1" applyProtection="1">
      <alignment horizontal="right" vertical="center"/>
      <protection hidden="1"/>
    </xf>
    <xf numFmtId="0" fontId="6" fillId="0" borderId="3" xfId="0" applyFont="1" applyBorder="1" applyAlignment="1" applyProtection="1">
      <alignment horizontal="right" vertical="center"/>
      <protection hidden="1"/>
    </xf>
    <xf numFmtId="0" fontId="10" fillId="0" borderId="8" xfId="0" applyFont="1" applyBorder="1" applyAlignment="1" applyProtection="1">
      <alignment vertical="top"/>
      <protection hidden="1"/>
    </xf>
    <xf numFmtId="0" fontId="32" fillId="0" borderId="0" xfId="0" applyFont="1" applyAlignment="1" applyProtection="1">
      <alignment vertical="top"/>
      <protection locked="0" hidden="1"/>
    </xf>
    <xf numFmtId="0" fontId="10" fillId="0" borderId="11" xfId="0" applyFont="1" applyBorder="1" applyAlignment="1" applyProtection="1">
      <alignment vertical="top"/>
      <protection hidden="1"/>
    </xf>
    <xf numFmtId="16" fontId="10" fillId="6" borderId="14" xfId="0" quotePrefix="1" applyNumberFormat="1" applyFont="1" applyFill="1" applyBorder="1" applyAlignment="1" applyProtection="1">
      <alignment vertical="top"/>
      <protection hidden="1"/>
    </xf>
    <xf numFmtId="167" fontId="23" fillId="0" borderId="1" xfId="0" quotePrefix="1" applyNumberFormat="1" applyFont="1" applyBorder="1" applyAlignment="1" applyProtection="1">
      <alignment vertical="top"/>
      <protection hidden="1"/>
    </xf>
    <xf numFmtId="2" fontId="0" fillId="0" borderId="0" xfId="0" quotePrefix="1" applyNumberFormat="1" applyAlignment="1" applyProtection="1">
      <alignment vertical="top"/>
      <protection locked="0" hidden="1"/>
    </xf>
    <xf numFmtId="0" fontId="33" fillId="0" borderId="0" xfId="0" applyFont="1" applyAlignment="1" applyProtection="1">
      <alignment vertical="top"/>
      <protection hidden="1"/>
    </xf>
    <xf numFmtId="0" fontId="52" fillId="0" borderId="0" xfId="0" applyFont="1" applyAlignment="1" applyProtection="1">
      <alignment vertical="top"/>
      <protection hidden="1"/>
    </xf>
    <xf numFmtId="0" fontId="33" fillId="0" borderId="0" xfId="0" applyFont="1" applyAlignment="1" applyProtection="1">
      <alignment vertical="center"/>
      <protection hidden="1"/>
    </xf>
    <xf numFmtId="0" fontId="33" fillId="0" borderId="0" xfId="0" applyFont="1"/>
    <xf numFmtId="0" fontId="6" fillId="0" borderId="46" xfId="0" applyFont="1" applyBorder="1" applyAlignment="1" applyProtection="1">
      <alignment horizontal="left" vertical="center"/>
      <protection hidden="1"/>
    </xf>
    <xf numFmtId="0" fontId="7" fillId="0" borderId="24" xfId="0" applyFont="1" applyBorder="1" applyAlignment="1" applyProtection="1">
      <alignment vertical="center" wrapText="1"/>
      <protection hidden="1"/>
    </xf>
    <xf numFmtId="0" fontId="8" fillId="0" borderId="25" xfId="0" applyFont="1" applyBorder="1" applyAlignment="1" applyProtection="1">
      <alignment horizontal="left" vertical="center"/>
      <protection hidden="1"/>
    </xf>
    <xf numFmtId="0" fontId="10" fillId="0" borderId="49" xfId="0" applyFont="1" applyBorder="1" applyAlignment="1" applyProtection="1">
      <alignment horizontal="left" vertical="top"/>
      <protection hidden="1"/>
    </xf>
    <xf numFmtId="16" fontId="27" fillId="0" borderId="14" xfId="0" quotePrefix="1" applyNumberFormat="1" applyFont="1" applyBorder="1" applyAlignment="1" applyProtection="1">
      <alignment horizontal="left" vertical="top"/>
      <protection hidden="1"/>
    </xf>
    <xf numFmtId="0" fontId="0" fillId="0" borderId="21" xfId="0" applyBorder="1" applyAlignment="1" applyProtection="1">
      <alignment vertical="top"/>
      <protection hidden="1"/>
    </xf>
    <xf numFmtId="0" fontId="0" fillId="0" borderId="45" xfId="0" applyBorder="1" applyAlignment="1" applyProtection="1">
      <alignment horizontal="left" vertical="top"/>
      <protection hidden="1"/>
    </xf>
    <xf numFmtId="0" fontId="0" fillId="0" borderId="53" xfId="0" applyBorder="1" applyAlignment="1" applyProtection="1">
      <alignment horizontal="left" vertical="top" wrapText="1"/>
      <protection hidden="1"/>
    </xf>
    <xf numFmtId="0" fontId="0" fillId="0" borderId="22" xfId="0" applyBorder="1" applyAlignment="1" applyProtection="1">
      <alignment horizontal="left" vertical="center"/>
      <protection hidden="1"/>
    </xf>
    <xf numFmtId="16" fontId="10" fillId="8" borderId="0" xfId="0" quotePrefix="1" applyNumberFormat="1" applyFont="1" applyFill="1" applyAlignment="1" applyProtection="1">
      <alignment horizontal="left" vertical="center"/>
      <protection hidden="1"/>
    </xf>
    <xf numFmtId="4" fontId="8" fillId="8" borderId="0" xfId="0" applyNumberFormat="1" applyFont="1" applyFill="1" applyAlignment="1" applyProtection="1">
      <alignment vertical="center"/>
      <protection hidden="1"/>
    </xf>
    <xf numFmtId="0" fontId="0" fillId="4" borderId="43" xfId="0" applyFill="1" applyBorder="1" applyAlignment="1" applyProtection="1">
      <alignment vertical="top"/>
      <protection hidden="1"/>
    </xf>
    <xf numFmtId="16" fontId="6" fillId="0" borderId="3" xfId="0" quotePrefix="1" applyNumberFormat="1" applyFont="1" applyBorder="1" applyAlignment="1" applyProtection="1">
      <alignment horizontal="right" vertical="top"/>
      <protection hidden="1"/>
    </xf>
    <xf numFmtId="0" fontId="23" fillId="0" borderId="3" xfId="0" applyFont="1" applyBorder="1" applyAlignment="1" applyProtection="1">
      <alignment horizontal="left" vertical="top" wrapText="1"/>
      <protection hidden="1"/>
    </xf>
    <xf numFmtId="0" fontId="0" fillId="0" borderId="59" xfId="0" applyBorder="1" applyAlignment="1" applyProtection="1">
      <alignment vertical="top"/>
      <protection hidden="1"/>
    </xf>
    <xf numFmtId="0" fontId="6" fillId="0" borderId="60" xfId="0" applyFont="1" applyBorder="1" applyAlignment="1" applyProtection="1">
      <alignment horizontal="center" vertical="center"/>
      <protection hidden="1"/>
    </xf>
    <xf numFmtId="0" fontId="0" fillId="0" borderId="37" xfId="0" applyBorder="1" applyAlignment="1" applyProtection="1">
      <alignment vertical="top"/>
      <protection hidden="1"/>
    </xf>
    <xf numFmtId="0" fontId="0" fillId="0" borderId="60" xfId="0" applyBorder="1" applyAlignment="1" applyProtection="1">
      <alignment vertical="top"/>
      <protection hidden="1"/>
    </xf>
    <xf numFmtId="167" fontId="0" fillId="3" borderId="1" xfId="0" applyNumberFormat="1" applyFill="1" applyBorder="1" applyAlignment="1" applyProtection="1">
      <alignment vertical="top"/>
      <protection hidden="1"/>
    </xf>
    <xf numFmtId="0" fontId="53" fillId="0" borderId="0" xfId="0" applyFont="1" applyAlignment="1" applyProtection="1">
      <alignment horizontal="right" vertical="top"/>
      <protection hidden="1"/>
    </xf>
    <xf numFmtId="0" fontId="40" fillId="8" borderId="0" xfId="0" applyFont="1" applyFill="1" applyAlignment="1" applyProtection="1">
      <alignment vertical="center"/>
      <protection hidden="1"/>
    </xf>
    <xf numFmtId="0" fontId="8" fillId="8" borderId="0" xfId="0" applyFont="1" applyFill="1" applyAlignment="1" applyProtection="1">
      <alignment vertical="center"/>
      <protection hidden="1"/>
    </xf>
    <xf numFmtId="0" fontId="53" fillId="8" borderId="0" xfId="0" applyFont="1" applyFill="1" applyAlignment="1" applyProtection="1">
      <alignment vertical="center"/>
      <protection hidden="1"/>
    </xf>
    <xf numFmtId="16" fontId="10" fillId="0" borderId="6" xfId="0" quotePrefix="1" applyNumberFormat="1" applyFont="1" applyBorder="1" applyAlignment="1" applyProtection="1">
      <alignment horizontal="left" vertical="center"/>
      <protection hidden="1"/>
    </xf>
    <xf numFmtId="0" fontId="8" fillId="0" borderId="3" xfId="0" applyFont="1" applyBorder="1" applyAlignment="1" applyProtection="1">
      <alignment horizontal="center" vertical="center" wrapText="1"/>
      <protection hidden="1"/>
    </xf>
    <xf numFmtId="0" fontId="0" fillId="0" borderId="3" xfId="0" applyBorder="1" applyAlignment="1" applyProtection="1">
      <alignment horizontal="right" vertical="center"/>
      <protection hidden="1"/>
    </xf>
    <xf numFmtId="0" fontId="8" fillId="3" borderId="21" xfId="0" applyFont="1" applyFill="1" applyBorder="1" applyAlignment="1" applyProtection="1">
      <alignment horizontal="left" vertical="center"/>
      <protection hidden="1"/>
    </xf>
    <xf numFmtId="0" fontId="8" fillId="3" borderId="22" xfId="0" applyFont="1" applyFill="1" applyBorder="1" applyAlignment="1" applyProtection="1">
      <alignment horizontal="center" vertical="center" wrapText="1"/>
      <protection hidden="1"/>
    </xf>
    <xf numFmtId="0" fontId="0" fillId="3" borderId="68" xfId="0" applyFill="1" applyBorder="1" applyAlignment="1" applyProtection="1">
      <alignment horizontal="right" vertical="center"/>
      <protection hidden="1"/>
    </xf>
    <xf numFmtId="4" fontId="10" fillId="8" borderId="50" xfId="0" applyNumberFormat="1" applyFont="1" applyFill="1" applyBorder="1" applyAlignment="1" applyProtection="1">
      <alignment horizontal="center" vertical="top"/>
      <protection hidden="1"/>
    </xf>
    <xf numFmtId="16" fontId="44" fillId="0" borderId="45" xfId="0" quotePrefix="1" applyNumberFormat="1" applyFont="1" applyBorder="1" applyAlignment="1" applyProtection="1">
      <alignment vertical="center"/>
      <protection hidden="1"/>
    </xf>
    <xf numFmtId="166" fontId="8" fillId="0" borderId="45" xfId="0" applyNumberFormat="1" applyFont="1" applyBorder="1" applyAlignment="1" applyProtection="1">
      <alignment vertical="center" wrapText="1"/>
      <protection hidden="1"/>
    </xf>
    <xf numFmtId="0" fontId="8" fillId="0" borderId="45" xfId="0" applyFont="1" applyBorder="1" applyAlignment="1" applyProtection="1">
      <alignment horizontal="center" vertical="center" wrapText="1"/>
      <protection hidden="1"/>
    </xf>
    <xf numFmtId="1" fontId="10" fillId="0" borderId="67" xfId="0" applyNumberFormat="1" applyFont="1" applyBorder="1" applyAlignment="1" applyProtection="1">
      <alignment horizontal="center" vertical="center" wrapText="1"/>
      <protection hidden="1"/>
    </xf>
    <xf numFmtId="0" fontId="0" fillId="0" borderId="67" xfId="0" applyBorder="1" applyAlignment="1" applyProtection="1">
      <alignment vertical="center" wrapText="1"/>
      <protection hidden="1"/>
    </xf>
    <xf numFmtId="0" fontId="0" fillId="0" borderId="45" xfId="0" applyBorder="1" applyAlignment="1" applyProtection="1">
      <alignment horizontal="left" vertical="top" wrapText="1"/>
      <protection hidden="1"/>
    </xf>
    <xf numFmtId="0" fontId="33" fillId="0" borderId="0" xfId="2" applyFont="1" applyProtection="1">
      <protection hidden="1"/>
    </xf>
    <xf numFmtId="0" fontId="33" fillId="0" borderId="0" xfId="1" applyFont="1" applyProtection="1">
      <protection hidden="1"/>
    </xf>
    <xf numFmtId="0" fontId="33" fillId="0" borderId="0" xfId="2" applyFont="1" applyAlignment="1" applyProtection="1">
      <alignment wrapText="1"/>
      <protection hidden="1"/>
    </xf>
    <xf numFmtId="0" fontId="33" fillId="0" borderId="0" xfId="2" applyFont="1" applyAlignment="1" applyProtection="1">
      <alignment vertical="center"/>
      <protection hidden="1"/>
    </xf>
    <xf numFmtId="0" fontId="0" fillId="3" borderId="8" xfId="2" applyFont="1" applyFill="1" applyBorder="1" applyAlignment="1" applyProtection="1">
      <alignment vertical="top"/>
      <protection hidden="1"/>
    </xf>
    <xf numFmtId="0" fontId="10" fillId="3" borderId="9" xfId="2" applyFont="1" applyFill="1" applyBorder="1" applyAlignment="1" applyProtection="1">
      <alignment vertical="center"/>
      <protection hidden="1"/>
    </xf>
    <xf numFmtId="2" fontId="8" fillId="3" borderId="40" xfId="2" applyNumberFormat="1" applyFont="1" applyFill="1" applyBorder="1" applyAlignment="1" applyProtection="1">
      <alignment horizontal="center" vertical="center" wrapText="1"/>
      <protection hidden="1"/>
    </xf>
    <xf numFmtId="4" fontId="8" fillId="3" borderId="16" xfId="2" applyNumberFormat="1" applyFont="1" applyFill="1" applyBorder="1" applyAlignment="1" applyProtection="1">
      <alignment horizontal="center" vertical="center"/>
      <protection hidden="1"/>
    </xf>
    <xf numFmtId="2" fontId="8" fillId="3" borderId="32" xfId="2" applyNumberFormat="1" applyFont="1" applyFill="1" applyBorder="1" applyAlignment="1" applyProtection="1">
      <alignment horizontal="center" vertical="center" wrapText="1"/>
      <protection hidden="1"/>
    </xf>
    <xf numFmtId="0" fontId="8" fillId="0" borderId="8" xfId="2" applyFont="1" applyBorder="1" applyAlignment="1" applyProtection="1">
      <alignment vertical="center"/>
      <protection hidden="1"/>
    </xf>
    <xf numFmtId="0" fontId="8" fillId="0" borderId="9" xfId="2" applyFont="1" applyBorder="1" applyAlignment="1" applyProtection="1">
      <alignment vertical="center"/>
      <protection hidden="1"/>
    </xf>
    <xf numFmtId="0" fontId="8" fillId="0" borderId="9" xfId="2" applyFont="1" applyBorder="1" applyAlignment="1" applyProtection="1">
      <alignment horizontal="center" vertical="top" wrapText="1"/>
      <protection hidden="1"/>
    </xf>
    <xf numFmtId="0" fontId="9" fillId="0" borderId="9" xfId="2" applyFont="1" applyBorder="1" applyAlignment="1" applyProtection="1">
      <alignment wrapText="1"/>
      <protection hidden="1"/>
    </xf>
    <xf numFmtId="0" fontId="9" fillId="0" borderId="10" xfId="2" applyFont="1" applyBorder="1" applyAlignment="1" applyProtection="1">
      <alignment wrapText="1"/>
      <protection hidden="1"/>
    </xf>
    <xf numFmtId="0" fontId="11" fillId="0" borderId="9" xfId="2" applyFont="1" applyBorder="1" applyAlignment="1" applyProtection="1">
      <alignment horizontal="center" vertical="top" wrapText="1"/>
      <protection hidden="1"/>
    </xf>
    <xf numFmtId="0" fontId="11" fillId="0" borderId="10" xfId="2" applyFont="1" applyBorder="1" applyAlignment="1" applyProtection="1">
      <alignment horizontal="center" vertical="top" wrapText="1"/>
      <protection hidden="1"/>
    </xf>
    <xf numFmtId="0" fontId="9" fillId="0" borderId="9" xfId="2" applyFont="1" applyBorder="1" applyProtection="1">
      <protection hidden="1"/>
    </xf>
    <xf numFmtId="0" fontId="8" fillId="0" borderId="10" xfId="2" applyFont="1" applyBorder="1" applyAlignment="1" applyProtection="1">
      <alignment horizontal="center" vertical="top" wrapText="1"/>
      <protection hidden="1"/>
    </xf>
    <xf numFmtId="0" fontId="9" fillId="0" borderId="9" xfId="2" applyFont="1" applyBorder="1" applyAlignment="1" applyProtection="1">
      <alignment vertical="center"/>
      <protection hidden="1"/>
    </xf>
    <xf numFmtId="0" fontId="11" fillId="0" borderId="9" xfId="2" applyFont="1" applyBorder="1" applyAlignment="1" applyProtection="1">
      <alignment horizontal="center" vertical="center" wrapText="1"/>
      <protection hidden="1"/>
    </xf>
    <xf numFmtId="0" fontId="11" fillId="0" borderId="10" xfId="2" applyFont="1" applyBorder="1" applyAlignment="1" applyProtection="1">
      <alignment horizontal="center" vertical="center" wrapText="1"/>
      <protection hidden="1"/>
    </xf>
    <xf numFmtId="0" fontId="33" fillId="0" borderId="0" xfId="1" applyFont="1" applyAlignment="1" applyProtection="1">
      <alignment wrapText="1"/>
      <protection hidden="1"/>
    </xf>
    <xf numFmtId="0" fontId="52" fillId="0" borderId="0" xfId="1" applyFont="1" applyProtection="1">
      <protection hidden="1"/>
    </xf>
    <xf numFmtId="0" fontId="33" fillId="0" borderId="0" xfId="1" applyFont="1" applyAlignment="1" applyProtection="1">
      <alignment vertical="center"/>
      <protection hidden="1"/>
    </xf>
    <xf numFmtId="0" fontId="11" fillId="0" borderId="9" xfId="1" applyFont="1" applyBorder="1" applyAlignment="1" applyProtection="1">
      <alignment horizontal="center" vertical="top" wrapText="1"/>
      <protection hidden="1"/>
    </xf>
    <xf numFmtId="0" fontId="11" fillId="0" borderId="10" xfId="1" applyFont="1" applyBorder="1" applyAlignment="1" applyProtection="1">
      <alignment horizontal="center" vertical="top" wrapText="1"/>
      <protection hidden="1"/>
    </xf>
    <xf numFmtId="0" fontId="22" fillId="3" borderId="8" xfId="1" applyFont="1" applyFill="1" applyBorder="1" applyAlignment="1" applyProtection="1">
      <alignment vertical="top"/>
      <protection hidden="1"/>
    </xf>
    <xf numFmtId="2" fontId="8" fillId="3" borderId="40" xfId="1" applyNumberFormat="1" applyFont="1" applyFill="1" applyBorder="1" applyAlignment="1" applyProtection="1">
      <alignment horizontal="center" vertical="center" wrapText="1"/>
      <protection hidden="1"/>
    </xf>
    <xf numFmtId="4" fontId="8" fillId="3" borderId="16" xfId="1" applyNumberFormat="1" applyFont="1" applyFill="1" applyBorder="1" applyAlignment="1" applyProtection="1">
      <alignment horizontal="center" vertical="center"/>
      <protection hidden="1"/>
    </xf>
    <xf numFmtId="0" fontId="10" fillId="3" borderId="9" xfId="1" applyFont="1" applyFill="1" applyBorder="1" applyAlignment="1" applyProtection="1">
      <alignment vertical="center"/>
      <protection hidden="1"/>
    </xf>
    <xf numFmtId="0" fontId="8" fillId="0" borderId="9" xfId="1" applyFont="1" applyBorder="1" applyAlignment="1" applyProtection="1">
      <alignment horizontal="center" vertical="top" wrapText="1"/>
      <protection hidden="1"/>
    </xf>
    <xf numFmtId="0" fontId="8" fillId="0" borderId="10" xfId="1" applyFont="1" applyBorder="1" applyAlignment="1" applyProtection="1">
      <alignment horizontal="center" vertical="top" wrapText="1"/>
      <protection hidden="1"/>
    </xf>
    <xf numFmtId="0" fontId="11" fillId="0" borderId="9" xfId="1" applyFont="1" applyBorder="1" applyAlignment="1" applyProtection="1">
      <alignment horizontal="center" vertical="center" wrapText="1"/>
      <protection hidden="1"/>
    </xf>
    <xf numFmtId="0" fontId="11" fillId="0" borderId="10" xfId="1" applyFont="1" applyBorder="1" applyAlignment="1" applyProtection="1">
      <alignment horizontal="center" vertical="center" wrapText="1"/>
      <protection hidden="1"/>
    </xf>
    <xf numFmtId="2" fontId="8" fillId="3" borderId="16" xfId="1" applyNumberFormat="1" applyFont="1" applyFill="1" applyBorder="1" applyAlignment="1" applyProtection="1">
      <alignment horizontal="center" vertical="center"/>
      <protection hidden="1"/>
    </xf>
    <xf numFmtId="0" fontId="52" fillId="0" borderId="0" xfId="2" applyFont="1" applyProtection="1">
      <protection hidden="1"/>
    </xf>
    <xf numFmtId="0" fontId="11" fillId="0" borderId="9" xfId="2" applyFont="1" applyBorder="1" applyAlignment="1" applyProtection="1">
      <alignment horizontal="right" vertical="center" wrapText="1"/>
      <protection hidden="1"/>
    </xf>
    <xf numFmtId="0" fontId="11" fillId="0" borderId="10" xfId="2" applyFont="1" applyBorder="1" applyAlignment="1" applyProtection="1">
      <alignment horizontal="right" vertical="center" wrapText="1"/>
      <protection hidden="1"/>
    </xf>
    <xf numFmtId="0" fontId="22" fillId="3" borderId="8" xfId="2" applyFont="1" applyFill="1" applyBorder="1" applyAlignment="1" applyProtection="1">
      <alignment vertical="top"/>
      <protection hidden="1"/>
    </xf>
    <xf numFmtId="49" fontId="25" fillId="3" borderId="9" xfId="2" applyNumberFormat="1" applyFont="1" applyFill="1" applyBorder="1" applyAlignment="1" applyProtection="1">
      <alignment vertical="center"/>
      <protection hidden="1"/>
    </xf>
    <xf numFmtId="49" fontId="9" fillId="3" borderId="9" xfId="2" applyNumberFormat="1" applyFont="1" applyFill="1" applyBorder="1" applyAlignment="1" applyProtection="1">
      <alignment vertical="center"/>
      <protection hidden="1"/>
    </xf>
    <xf numFmtId="0" fontId="11" fillId="3" borderId="9" xfId="2" applyFont="1" applyFill="1" applyBorder="1" applyAlignment="1" applyProtection="1">
      <alignment horizontal="right" vertical="center"/>
      <protection hidden="1"/>
    </xf>
    <xf numFmtId="0" fontId="8" fillId="3" borderId="18" xfId="2" applyFont="1" applyFill="1" applyBorder="1" applyAlignment="1" applyProtection="1">
      <alignment horizontal="right" vertical="center"/>
      <protection hidden="1"/>
    </xf>
    <xf numFmtId="4" fontId="8" fillId="3" borderId="16" xfId="0" applyNumberFormat="1" applyFont="1" applyFill="1" applyBorder="1" applyAlignment="1" applyProtection="1">
      <alignment horizontal="right" vertical="center"/>
      <protection hidden="1"/>
    </xf>
    <xf numFmtId="0" fontId="11" fillId="0" borderId="8" xfId="2" applyFont="1" applyBorder="1" applyAlignment="1" applyProtection="1">
      <alignment vertical="center"/>
      <protection hidden="1"/>
    </xf>
    <xf numFmtId="4" fontId="8" fillId="0" borderId="10" xfId="2" applyNumberFormat="1" applyFont="1" applyBorder="1" applyAlignment="1" applyProtection="1">
      <alignment horizontal="right" vertical="center" wrapText="1"/>
      <protection hidden="1"/>
    </xf>
    <xf numFmtId="49" fontId="6" fillId="3" borderId="9" xfId="2" applyNumberFormat="1" applyFont="1" applyFill="1" applyBorder="1" applyAlignment="1" applyProtection="1">
      <alignment vertical="center"/>
      <protection hidden="1"/>
    </xf>
    <xf numFmtId="0" fontId="10" fillId="3" borderId="9" xfId="2" applyFont="1" applyFill="1" applyBorder="1" applyAlignment="1" applyProtection="1">
      <alignment horizontal="right" vertical="center"/>
      <protection hidden="1"/>
    </xf>
    <xf numFmtId="2" fontId="8" fillId="3" borderId="16" xfId="0" applyNumberFormat="1" applyFont="1" applyFill="1" applyBorder="1" applyAlignment="1" applyProtection="1">
      <alignment horizontal="right" vertical="center"/>
      <protection hidden="1"/>
    </xf>
    <xf numFmtId="49" fontId="9" fillId="3" borderId="3" xfId="2" applyNumberFormat="1" applyFont="1" applyFill="1" applyBorder="1" applyAlignment="1" applyProtection="1">
      <alignment vertical="center"/>
      <protection hidden="1"/>
    </xf>
    <xf numFmtId="0" fontId="11" fillId="3" borderId="3" xfId="2" applyFont="1" applyFill="1" applyBorder="1" applyAlignment="1" applyProtection="1">
      <alignment vertical="center"/>
      <protection hidden="1"/>
    </xf>
    <xf numFmtId="0" fontId="11" fillId="3" borderId="3" xfId="2" applyFont="1" applyFill="1" applyBorder="1" applyAlignment="1" applyProtection="1">
      <alignment horizontal="right" vertical="center"/>
      <protection hidden="1"/>
    </xf>
    <xf numFmtId="0" fontId="8" fillId="3" borderId="19" xfId="2" applyFont="1" applyFill="1" applyBorder="1" applyAlignment="1" applyProtection="1">
      <alignment horizontal="right" vertical="center"/>
      <protection hidden="1"/>
    </xf>
    <xf numFmtId="0" fontId="9" fillId="3" borderId="8" xfId="2" applyFont="1" applyFill="1" applyBorder="1" applyAlignment="1" applyProtection="1">
      <alignment vertical="top"/>
      <protection hidden="1"/>
    </xf>
    <xf numFmtId="0" fontId="8" fillId="0" borderId="9" xfId="2" applyFont="1" applyBorder="1" applyAlignment="1" applyProtection="1">
      <alignment vertical="top"/>
      <protection hidden="1"/>
    </xf>
    <xf numFmtId="0" fontId="11" fillId="0" borderId="5" xfId="2" applyFont="1" applyBorder="1" applyAlignment="1" applyProtection="1">
      <alignment vertical="center"/>
      <protection hidden="1"/>
    </xf>
    <xf numFmtId="0" fontId="11" fillId="0" borderId="6" xfId="2" applyFont="1" applyBorder="1" applyAlignment="1" applyProtection="1">
      <alignment vertical="center"/>
      <protection hidden="1"/>
    </xf>
    <xf numFmtId="0" fontId="8" fillId="0" borderId="10" xfId="2" applyFont="1" applyBorder="1" applyAlignment="1" applyProtection="1">
      <alignment horizontal="right" vertical="center" wrapText="1"/>
      <protection hidden="1"/>
    </xf>
    <xf numFmtId="0" fontId="37" fillId="12" borderId="0" xfId="2" applyFont="1" applyFill="1" applyAlignment="1" applyProtection="1">
      <alignment vertical="center" wrapText="1"/>
      <protection hidden="1"/>
    </xf>
    <xf numFmtId="0" fontId="37" fillId="12" borderId="0" xfId="2" applyFont="1" applyFill="1" applyAlignment="1" applyProtection="1">
      <alignment horizontal="right"/>
      <protection hidden="1"/>
    </xf>
    <xf numFmtId="0" fontId="8" fillId="2" borderId="3" xfId="0" applyFont="1" applyFill="1" applyBorder="1" applyAlignment="1" applyProtection="1">
      <alignment horizontal="left" vertical="center"/>
      <protection hidden="1"/>
    </xf>
    <xf numFmtId="0" fontId="0" fillId="2" borderId="3" xfId="0" applyFill="1" applyBorder="1" applyAlignment="1" applyProtection="1">
      <alignment horizontal="left" vertical="center"/>
      <protection hidden="1"/>
    </xf>
    <xf numFmtId="0" fontId="22" fillId="0" borderId="3" xfId="2" applyFont="1" applyBorder="1" applyAlignment="1" applyProtection="1">
      <alignment vertical="top"/>
      <protection hidden="1"/>
    </xf>
    <xf numFmtId="0" fontId="10" fillId="0" borderId="3" xfId="2" applyFont="1" applyBorder="1" applyAlignment="1" applyProtection="1">
      <alignment horizontal="right" vertical="center"/>
      <protection hidden="1"/>
    </xf>
    <xf numFmtId="0" fontId="22" fillId="0" borderId="6" xfId="2" applyFont="1" applyBorder="1" applyAlignment="1" applyProtection="1">
      <alignment vertical="top"/>
      <protection hidden="1"/>
    </xf>
    <xf numFmtId="49" fontId="9" fillId="0" borderId="6" xfId="2" applyNumberFormat="1" applyFont="1" applyBorder="1" applyAlignment="1" applyProtection="1">
      <alignment vertical="center"/>
      <protection hidden="1"/>
    </xf>
    <xf numFmtId="0" fontId="11" fillId="0" borderId="6" xfId="2" applyFont="1" applyBorder="1" applyAlignment="1" applyProtection="1">
      <alignment horizontal="right" vertical="center"/>
      <protection hidden="1"/>
    </xf>
    <xf numFmtId="0" fontId="10" fillId="0" borderId="6" xfId="2" applyFont="1" applyBorder="1" applyAlignment="1" applyProtection="1">
      <alignment horizontal="right" vertical="center"/>
      <protection hidden="1"/>
    </xf>
    <xf numFmtId="0" fontId="37" fillId="9" borderId="0" xfId="0" applyFont="1" applyFill="1" applyAlignment="1" applyProtection="1">
      <alignment vertical="center" wrapText="1"/>
      <protection hidden="1"/>
    </xf>
    <xf numFmtId="0" fontId="42" fillId="9" borderId="0" xfId="0" applyFont="1" applyFill="1" applyAlignment="1" applyProtection="1">
      <alignment vertical="top"/>
      <protection hidden="1"/>
    </xf>
    <xf numFmtId="0" fontId="8" fillId="9" borderId="0" xfId="0" applyFont="1" applyFill="1" applyAlignment="1" applyProtection="1">
      <alignment vertical="top" wrapText="1"/>
      <protection hidden="1"/>
    </xf>
    <xf numFmtId="0" fontId="53" fillId="9" borderId="0" xfId="0" applyFont="1" applyFill="1" applyAlignment="1" applyProtection="1">
      <alignment horizontal="right"/>
      <protection hidden="1"/>
    </xf>
    <xf numFmtId="0" fontId="10" fillId="9" borderId="0" xfId="2" applyFont="1" applyFill="1" applyAlignment="1" applyProtection="1">
      <alignment horizontal="center" vertical="top" wrapText="1"/>
      <protection hidden="1"/>
    </xf>
    <xf numFmtId="4" fontId="10" fillId="9" borderId="38" xfId="0" applyNumberFormat="1" applyFont="1" applyFill="1" applyBorder="1" applyAlignment="1" applyProtection="1">
      <alignment horizontal="center" vertical="top"/>
      <protection hidden="1"/>
    </xf>
    <xf numFmtId="0" fontId="10" fillId="9" borderId="38" xfId="2" applyFont="1" applyFill="1" applyBorder="1" applyAlignment="1" applyProtection="1">
      <alignment horizontal="center" vertical="top" wrapText="1"/>
      <protection hidden="1"/>
    </xf>
    <xf numFmtId="0" fontId="52" fillId="0" borderId="0" xfId="1" applyFont="1" applyAlignment="1" applyProtection="1">
      <alignment horizontal="left" vertical="top"/>
      <protection hidden="1"/>
    </xf>
    <xf numFmtId="0" fontId="8" fillId="0" borderId="8" xfId="1" applyFont="1" applyBorder="1" applyAlignment="1" applyProtection="1">
      <alignment vertical="center"/>
      <protection hidden="1"/>
    </xf>
    <xf numFmtId="0" fontId="11" fillId="0" borderId="9" xfId="1" applyFont="1" applyBorder="1" applyAlignment="1" applyProtection="1">
      <alignment horizontal="right" vertical="center" wrapText="1"/>
      <protection hidden="1"/>
    </xf>
    <xf numFmtId="0" fontId="11" fillId="0" borderId="10" xfId="1" applyFont="1" applyBorder="1" applyAlignment="1" applyProtection="1">
      <alignment horizontal="right" vertical="center" wrapText="1"/>
      <protection hidden="1"/>
    </xf>
    <xf numFmtId="4" fontId="8" fillId="0" borderId="10" xfId="1" applyNumberFormat="1" applyFont="1" applyBorder="1" applyAlignment="1" applyProtection="1">
      <alignment horizontal="right" vertical="center" wrapText="1"/>
      <protection hidden="1"/>
    </xf>
    <xf numFmtId="0" fontId="8" fillId="0" borderId="9" xfId="1" applyFont="1" applyBorder="1" applyAlignment="1" applyProtection="1">
      <alignment vertical="top"/>
      <protection hidden="1"/>
    </xf>
    <xf numFmtId="0" fontId="11" fillId="0" borderId="8" xfId="1" applyFont="1" applyBorder="1" applyAlignment="1" applyProtection="1">
      <alignment vertical="center"/>
      <protection hidden="1"/>
    </xf>
    <xf numFmtId="0" fontId="11" fillId="0" borderId="5" xfId="1" applyFont="1" applyBorder="1" applyAlignment="1" applyProtection="1">
      <alignment vertical="center"/>
      <protection hidden="1"/>
    </xf>
    <xf numFmtId="49" fontId="25" fillId="3" borderId="9" xfId="1" applyNumberFormat="1" applyFont="1" applyFill="1" applyBorder="1" applyAlignment="1" applyProtection="1">
      <alignment vertical="center"/>
      <protection hidden="1"/>
    </xf>
    <xf numFmtId="49" fontId="6" fillId="3" borderId="9" xfId="1" applyNumberFormat="1" applyFont="1" applyFill="1" applyBorder="1" applyAlignment="1" applyProtection="1">
      <alignment vertical="center"/>
      <protection hidden="1"/>
    </xf>
    <xf numFmtId="49" fontId="9" fillId="3" borderId="9" xfId="1" applyNumberFormat="1" applyFont="1" applyFill="1" applyBorder="1" applyAlignment="1" applyProtection="1">
      <alignment vertical="center"/>
      <protection hidden="1"/>
    </xf>
    <xf numFmtId="0" fontId="22" fillId="3" borderId="2" xfId="1" applyFont="1" applyFill="1" applyBorder="1" applyAlignment="1" applyProtection="1">
      <alignment vertical="top"/>
      <protection hidden="1"/>
    </xf>
    <xf numFmtId="49" fontId="9" fillId="3" borderId="3" xfId="1" applyNumberFormat="1" applyFont="1" applyFill="1" applyBorder="1" applyAlignment="1" applyProtection="1">
      <alignment vertical="center"/>
      <protection hidden="1"/>
    </xf>
    <xf numFmtId="0" fontId="11" fillId="3" borderId="3" xfId="1" applyFont="1" applyFill="1" applyBorder="1" applyAlignment="1" applyProtection="1">
      <alignment vertical="center"/>
      <protection hidden="1"/>
    </xf>
    <xf numFmtId="0" fontId="9" fillId="3" borderId="8" xfId="1" applyFont="1" applyFill="1" applyBorder="1" applyAlignment="1" applyProtection="1">
      <alignment vertical="top"/>
      <protection hidden="1"/>
    </xf>
    <xf numFmtId="0" fontId="6" fillId="10" borderId="0" xfId="1" applyFont="1" applyFill="1" applyAlignment="1" applyProtection="1">
      <alignment horizontal="center" vertical="top" wrapText="1"/>
      <protection hidden="1"/>
    </xf>
    <xf numFmtId="0" fontId="10" fillId="10" borderId="0" xfId="1" applyFont="1" applyFill="1" applyAlignment="1" applyProtection="1">
      <alignment horizontal="center" vertical="top" wrapText="1"/>
      <protection hidden="1"/>
    </xf>
    <xf numFmtId="0" fontId="10" fillId="10" borderId="38" xfId="1" applyFont="1" applyFill="1" applyBorder="1" applyAlignment="1" applyProtection="1">
      <alignment horizontal="center" vertical="top" wrapText="1"/>
      <protection hidden="1"/>
    </xf>
    <xf numFmtId="4" fontId="6" fillId="10" borderId="38" xfId="0" applyNumberFormat="1" applyFont="1" applyFill="1" applyBorder="1" applyAlignment="1" applyProtection="1">
      <alignment horizontal="center" vertical="top"/>
      <protection hidden="1"/>
    </xf>
    <xf numFmtId="0" fontId="6" fillId="10" borderId="38" xfId="1" applyFont="1" applyFill="1" applyBorder="1" applyAlignment="1" applyProtection="1">
      <alignment horizontal="center" vertical="top" wrapText="1"/>
      <protection hidden="1"/>
    </xf>
    <xf numFmtId="0" fontId="6" fillId="11" borderId="0" xfId="1" applyFont="1" applyFill="1" applyAlignment="1" applyProtection="1">
      <alignment horizontal="center" vertical="top" wrapText="1"/>
      <protection hidden="1"/>
    </xf>
    <xf numFmtId="4" fontId="6" fillId="11" borderId="38" xfId="0" applyNumberFormat="1" applyFont="1" applyFill="1" applyBorder="1" applyAlignment="1" applyProtection="1">
      <alignment horizontal="center" vertical="top"/>
      <protection hidden="1"/>
    </xf>
    <xf numFmtId="0" fontId="6" fillId="11" borderId="38" xfId="1" applyFont="1" applyFill="1" applyBorder="1" applyAlignment="1" applyProtection="1">
      <alignment horizontal="center" vertical="top" wrapText="1"/>
      <protection hidden="1"/>
    </xf>
    <xf numFmtId="0" fontId="10" fillId="3" borderId="9" xfId="1" applyFont="1" applyFill="1" applyBorder="1" applyAlignment="1" applyProtection="1">
      <alignment horizontal="right" vertical="center"/>
      <protection hidden="1"/>
    </xf>
    <xf numFmtId="0" fontId="11" fillId="3" borderId="9" xfId="1" applyFont="1" applyFill="1" applyBorder="1" applyAlignment="1" applyProtection="1">
      <alignment horizontal="right" vertical="center"/>
      <protection hidden="1"/>
    </xf>
    <xf numFmtId="167" fontId="40" fillId="8" borderId="16" xfId="0" applyNumberFormat="1" applyFont="1" applyFill="1" applyBorder="1" applyAlignment="1" applyProtection="1">
      <alignment vertical="center"/>
      <protection hidden="1"/>
    </xf>
    <xf numFmtId="0" fontId="22" fillId="8" borderId="0" xfId="2" applyFont="1" applyFill="1" applyAlignment="1" applyProtection="1">
      <alignment vertical="top"/>
      <protection hidden="1"/>
    </xf>
    <xf numFmtId="49" fontId="6" fillId="8" borderId="0" xfId="2" applyNumberFormat="1" applyFont="1" applyFill="1" applyAlignment="1" applyProtection="1">
      <alignment vertical="center"/>
      <protection hidden="1"/>
    </xf>
    <xf numFmtId="0" fontId="10" fillId="8" borderId="0" xfId="2" applyFont="1" applyFill="1" applyAlignment="1" applyProtection="1">
      <alignment vertical="center"/>
      <protection hidden="1"/>
    </xf>
    <xf numFmtId="0" fontId="10" fillId="8" borderId="0" xfId="2" applyFont="1" applyFill="1" applyAlignment="1" applyProtection="1">
      <alignment horizontal="right" vertical="center"/>
      <protection hidden="1"/>
    </xf>
    <xf numFmtId="0" fontId="40" fillId="8" borderId="66" xfId="2" applyFont="1" applyFill="1" applyBorder="1" applyAlignment="1" applyProtection="1">
      <alignment horizontal="right" vertical="center"/>
      <protection hidden="1"/>
    </xf>
    <xf numFmtId="0" fontId="22" fillId="8" borderId="0" xfId="1" applyFont="1" applyFill="1" applyAlignment="1" applyProtection="1">
      <alignment vertical="top"/>
      <protection hidden="1"/>
    </xf>
    <xf numFmtId="0" fontId="0" fillId="0" borderId="71" xfId="0" applyBorder="1" applyAlignment="1" applyProtection="1">
      <alignment vertical="top"/>
      <protection hidden="1"/>
    </xf>
    <xf numFmtId="16" fontId="40" fillId="8" borderId="0" xfId="0" quotePrefix="1" applyNumberFormat="1" applyFont="1" applyFill="1" applyAlignment="1" applyProtection="1">
      <alignment vertical="center"/>
      <protection hidden="1"/>
    </xf>
    <xf numFmtId="0" fontId="16" fillId="0" borderId="3" xfId="0" applyFont="1" applyBorder="1" applyAlignment="1" applyProtection="1">
      <alignment vertical="top"/>
      <protection hidden="1"/>
    </xf>
    <xf numFmtId="0" fontId="0" fillId="0" borderId="0" xfId="0" applyAlignment="1" applyProtection="1">
      <alignment horizontal="left" vertical="top"/>
      <protection hidden="1"/>
    </xf>
    <xf numFmtId="0" fontId="8" fillId="0" borderId="44" xfId="0" applyFont="1" applyBorder="1" applyAlignment="1" applyProtection="1">
      <alignment vertical="top"/>
      <protection hidden="1"/>
    </xf>
    <xf numFmtId="0" fontId="8" fillId="0" borderId="45" xfId="0" applyFont="1" applyBorder="1" applyAlignment="1" applyProtection="1">
      <alignment horizontal="left" vertical="top"/>
      <protection hidden="1"/>
    </xf>
    <xf numFmtId="0" fontId="6" fillId="0" borderId="45" xfId="0" applyFont="1" applyBorder="1" applyAlignment="1" applyProtection="1">
      <alignment horizontal="left" vertical="center"/>
      <protection hidden="1"/>
    </xf>
    <xf numFmtId="0" fontId="6" fillId="0" borderId="46" xfId="0" applyFont="1" applyBorder="1" applyAlignment="1" applyProtection="1">
      <alignment horizontal="right" vertical="center"/>
      <protection hidden="1"/>
    </xf>
    <xf numFmtId="0" fontId="8" fillId="0" borderId="53" xfId="0" applyFont="1" applyBorder="1" applyAlignment="1" applyProtection="1">
      <alignment vertical="top"/>
      <protection hidden="1"/>
    </xf>
    <xf numFmtId="0" fontId="8" fillId="0" borderId="58" xfId="0" applyFont="1" applyBorder="1" applyAlignment="1" applyProtection="1">
      <alignment horizontal="left" vertical="top"/>
      <protection hidden="1"/>
    </xf>
    <xf numFmtId="0" fontId="0" fillId="0" borderId="53" xfId="0" applyBorder="1" applyAlignment="1" applyProtection="1">
      <alignment horizontal="left" vertical="top"/>
      <protection hidden="1"/>
    </xf>
    <xf numFmtId="0" fontId="6" fillId="6" borderId="0" xfId="0" applyFont="1" applyFill="1" applyAlignment="1" applyProtection="1">
      <alignment vertical="top"/>
      <protection locked="0"/>
    </xf>
    <xf numFmtId="167" fontId="8" fillId="3" borderId="1" xfId="0" applyNumberFormat="1" applyFont="1" applyFill="1" applyBorder="1" applyAlignment="1" applyProtection="1">
      <alignment vertical="center"/>
      <protection hidden="1"/>
    </xf>
    <xf numFmtId="0" fontId="23" fillId="0" borderId="53" xfId="0" applyFont="1" applyBorder="1" applyAlignment="1" applyProtection="1">
      <alignment horizontal="center" vertical="center"/>
      <protection hidden="1"/>
    </xf>
    <xf numFmtId="167" fontId="0" fillId="0" borderId="41" xfId="0" applyNumberFormat="1" applyBorder="1" applyAlignment="1" applyProtection="1">
      <alignment vertical="top"/>
      <protection hidden="1"/>
    </xf>
    <xf numFmtId="0" fontId="30" fillId="0" borderId="3"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10" fontId="0" fillId="0" borderId="3" xfId="0" applyNumberFormat="1" applyBorder="1" applyAlignment="1" applyProtection="1">
      <alignment horizontal="center" vertical="center"/>
      <protection hidden="1"/>
    </xf>
    <xf numFmtId="0" fontId="0" fillId="3" borderId="8" xfId="0" applyFill="1" applyBorder="1" applyAlignment="1" applyProtection="1">
      <alignment horizontal="left" vertical="top"/>
      <protection hidden="1"/>
    </xf>
    <xf numFmtId="0" fontId="8" fillId="3" borderId="9" xfId="0" applyFont="1" applyFill="1" applyBorder="1" applyAlignment="1" applyProtection="1">
      <alignment vertical="top" wrapText="1"/>
      <protection hidden="1"/>
    </xf>
    <xf numFmtId="4" fontId="40" fillId="3" borderId="9" xfId="0" applyNumberFormat="1" applyFont="1" applyFill="1" applyBorder="1" applyAlignment="1" applyProtection="1">
      <alignment horizontal="center" vertical="center"/>
      <protection hidden="1"/>
    </xf>
    <xf numFmtId="16" fontId="0" fillId="0" borderId="11" xfId="0" quotePrefix="1" applyNumberFormat="1"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3" borderId="8" xfId="0" applyFill="1" applyBorder="1" applyAlignment="1" applyProtection="1">
      <alignment vertical="top"/>
      <protection hidden="1"/>
    </xf>
    <xf numFmtId="0" fontId="0" fillId="3" borderId="9" xfId="0" applyFill="1" applyBorder="1" applyAlignment="1" applyProtection="1">
      <alignment vertical="top"/>
      <protection hidden="1"/>
    </xf>
    <xf numFmtId="4" fontId="6" fillId="3" borderId="10" xfId="0" applyNumberFormat="1" applyFont="1" applyFill="1" applyBorder="1" applyAlignment="1" applyProtection="1">
      <alignment horizontal="center" vertical="center"/>
      <protection hidden="1"/>
    </xf>
    <xf numFmtId="0" fontId="0" fillId="0" borderId="58" xfId="0" applyBorder="1" applyAlignment="1" applyProtection="1">
      <alignment horizontal="left" vertical="top"/>
      <protection hidden="1"/>
    </xf>
    <xf numFmtId="4" fontId="0" fillId="0" borderId="4" xfId="0" applyNumberFormat="1" applyBorder="1" applyAlignment="1" applyProtection="1">
      <alignment horizontal="center" vertical="center"/>
      <protection hidden="1"/>
    </xf>
    <xf numFmtId="0" fontId="0" fillId="3" borderId="9" xfId="0" applyFill="1" applyBorder="1" applyAlignment="1" applyProtection="1">
      <alignment horizontal="left" vertical="top" wrapText="1"/>
      <protection hidden="1"/>
    </xf>
    <xf numFmtId="4" fontId="0" fillId="3" borderId="10" xfId="0" applyNumberFormat="1" applyFill="1" applyBorder="1" applyAlignment="1" applyProtection="1">
      <alignment horizontal="center" vertical="center"/>
      <protection hidden="1"/>
    </xf>
    <xf numFmtId="4" fontId="8" fillId="3" borderId="3" xfId="0" applyNumberFormat="1" applyFont="1" applyFill="1" applyBorder="1" applyAlignment="1" applyProtection="1">
      <alignment horizontal="center" vertical="center"/>
      <protection hidden="1"/>
    </xf>
    <xf numFmtId="4" fontId="8" fillId="3" borderId="9" xfId="0" applyNumberFormat="1" applyFont="1" applyFill="1" applyBorder="1" applyAlignment="1" applyProtection="1">
      <alignment horizontal="center" vertical="center"/>
      <protection hidden="1"/>
    </xf>
    <xf numFmtId="0" fontId="10" fillId="0" borderId="44" xfId="0" applyFont="1" applyBorder="1" applyAlignment="1" applyProtection="1">
      <alignment vertical="top"/>
      <protection hidden="1"/>
    </xf>
    <xf numFmtId="10" fontId="0" fillId="0" borderId="0" xfId="0" applyNumberFormat="1" applyAlignment="1" applyProtection="1">
      <alignment horizontal="center" vertical="top"/>
      <protection hidden="1"/>
    </xf>
    <xf numFmtId="0" fontId="8" fillId="0" borderId="22" xfId="0" applyFont="1" applyBorder="1" applyAlignment="1" applyProtection="1">
      <alignment vertical="top"/>
      <protection hidden="1"/>
    </xf>
    <xf numFmtId="10" fontId="31" fillId="0" borderId="48" xfId="0" applyNumberFormat="1" applyFont="1" applyBorder="1" applyAlignment="1" applyProtection="1">
      <alignment horizontal="center" vertical="top"/>
      <protection hidden="1"/>
    </xf>
    <xf numFmtId="0" fontId="8" fillId="0" borderId="24" xfId="0" applyFont="1" applyBorder="1" applyAlignment="1" applyProtection="1">
      <alignment vertical="top"/>
      <protection hidden="1"/>
    </xf>
    <xf numFmtId="0" fontId="8" fillId="0" borderId="24" xfId="0" applyFont="1" applyBorder="1" applyAlignment="1" applyProtection="1">
      <alignment vertical="top" wrapText="1"/>
      <protection hidden="1"/>
    </xf>
    <xf numFmtId="0" fontId="6" fillId="0" borderId="24" xfId="0" applyFont="1" applyBorder="1" applyAlignment="1" applyProtection="1">
      <alignment vertical="top" wrapText="1"/>
      <protection hidden="1"/>
    </xf>
    <xf numFmtId="0" fontId="6" fillId="0" borderId="24" xfId="0" applyFont="1" applyBorder="1" applyAlignment="1" applyProtection="1">
      <alignment horizontal="right" vertical="center" wrapText="1"/>
      <protection hidden="1"/>
    </xf>
    <xf numFmtId="16" fontId="6" fillId="0" borderId="45" xfId="0" quotePrefix="1" applyNumberFormat="1" applyFont="1" applyBorder="1" applyAlignment="1" applyProtection="1">
      <alignment vertical="top"/>
      <protection hidden="1"/>
    </xf>
    <xf numFmtId="16" fontId="6" fillId="0" borderId="46" xfId="0" quotePrefix="1" applyNumberFormat="1" applyFont="1" applyBorder="1" applyAlignment="1" applyProtection="1">
      <alignment horizontal="right" vertical="top"/>
      <protection hidden="1"/>
    </xf>
    <xf numFmtId="169" fontId="0" fillId="0" borderId="9" xfId="0" applyNumberFormat="1" applyBorder="1" applyAlignment="1" applyProtection="1">
      <alignment horizontal="center" vertical="top"/>
      <protection hidden="1"/>
    </xf>
    <xf numFmtId="4" fontId="0" fillId="5" borderId="1" xfId="0" applyNumberFormat="1" applyFill="1" applyBorder="1" applyAlignment="1" applyProtection="1">
      <alignment horizontal="right" vertical="top"/>
      <protection locked="0"/>
    </xf>
    <xf numFmtId="4" fontId="0" fillId="5" borderId="15" xfId="0" applyNumberFormat="1" applyFill="1" applyBorder="1" applyAlignment="1" applyProtection="1">
      <alignment horizontal="right" vertical="top"/>
      <protection locked="0"/>
    </xf>
    <xf numFmtId="4" fontId="8" fillId="0" borderId="55" xfId="0" applyNumberFormat="1" applyFont="1" applyBorder="1" applyAlignment="1" applyProtection="1">
      <alignment vertical="top"/>
      <protection hidden="1"/>
    </xf>
    <xf numFmtId="0" fontId="0" fillId="0" borderId="53" xfId="0" applyBorder="1" applyAlignment="1" applyProtection="1">
      <alignment vertical="top"/>
      <protection hidden="1"/>
    </xf>
    <xf numFmtId="0" fontId="8" fillId="3" borderId="9" xfId="0" applyFont="1" applyFill="1" applyBorder="1" applyAlignment="1" applyProtection="1">
      <alignment vertical="top"/>
      <protection hidden="1"/>
    </xf>
    <xf numFmtId="0" fontId="0" fillId="3" borderId="10" xfId="0" applyFill="1" applyBorder="1" applyAlignment="1" applyProtection="1">
      <alignment vertical="top"/>
      <protection hidden="1"/>
    </xf>
    <xf numFmtId="10" fontId="6" fillId="0" borderId="0" xfId="0" applyNumberFormat="1" applyFont="1" applyAlignment="1" applyProtection="1">
      <alignment horizontal="center" vertical="top"/>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top"/>
      <protection locked="0"/>
    </xf>
    <xf numFmtId="16" fontId="40" fillId="0" borderId="6" xfId="0" quotePrefix="1" applyNumberFormat="1" applyFont="1" applyBorder="1" applyAlignment="1" applyProtection="1">
      <alignment horizontal="left" vertical="center"/>
      <protection hidden="1"/>
    </xf>
    <xf numFmtId="16" fontId="40" fillId="14" borderId="0" xfId="0" quotePrefix="1" applyNumberFormat="1" applyFont="1" applyFill="1" applyAlignment="1" applyProtection="1">
      <alignment horizontal="left" vertical="center"/>
      <protection hidden="1"/>
    </xf>
    <xf numFmtId="16" fontId="10" fillId="14" borderId="0" xfId="0" quotePrefix="1" applyNumberFormat="1" applyFont="1" applyFill="1" applyAlignment="1" applyProtection="1">
      <alignment horizontal="left" vertical="center"/>
      <protection hidden="1"/>
    </xf>
    <xf numFmtId="4" fontId="40" fillId="3" borderId="16" xfId="0" applyNumberFormat="1" applyFont="1" applyFill="1" applyBorder="1" applyAlignment="1">
      <alignment vertical="center"/>
    </xf>
    <xf numFmtId="4" fontId="0" fillId="0" borderId="48" xfId="0" applyNumberFormat="1" applyBorder="1" applyAlignment="1" applyProtection="1">
      <alignment vertical="top"/>
      <protection locked="0" hidden="1"/>
    </xf>
    <xf numFmtId="0" fontId="8" fillId="3" borderId="18" xfId="1" applyFont="1" applyFill="1" applyBorder="1" applyAlignment="1" applyProtection="1">
      <alignment horizontal="right" vertical="center"/>
      <protection hidden="1"/>
    </xf>
    <xf numFmtId="4" fontId="25" fillId="0" borderId="25" xfId="0" applyNumberFormat="1" applyFont="1" applyBorder="1" applyAlignment="1" applyProtection="1">
      <alignment horizontal="center" vertical="center"/>
      <protection hidden="1"/>
    </xf>
    <xf numFmtId="4" fontId="0" fillId="0" borderId="38" xfId="1" applyNumberFormat="1" applyFont="1" applyBorder="1" applyAlignment="1" applyProtection="1">
      <alignment horizontal="left" vertical="top"/>
      <protection locked="0"/>
    </xf>
    <xf numFmtId="4" fontId="0" fillId="0" borderId="72" xfId="1" applyNumberFormat="1" applyFont="1" applyBorder="1" applyAlignment="1" applyProtection="1">
      <alignment horizontal="left" vertical="top"/>
      <protection locked="0"/>
    </xf>
    <xf numFmtId="4" fontId="0" fillId="0" borderId="39" xfId="1" applyNumberFormat="1" applyFont="1" applyBorder="1" applyAlignment="1" applyProtection="1">
      <alignment horizontal="left" vertical="top"/>
      <protection locked="0"/>
    </xf>
    <xf numFmtId="0" fontId="48" fillId="0" borderId="36" xfId="1" quotePrefix="1" applyFont="1" applyBorder="1" applyAlignment="1" applyProtection="1">
      <alignment horizontal="center" vertical="top"/>
      <protection hidden="1"/>
    </xf>
    <xf numFmtId="0" fontId="48" fillId="0" borderId="61" xfId="1" quotePrefix="1" applyFont="1" applyBorder="1" applyAlignment="1" applyProtection="1">
      <alignment horizontal="center" vertical="top"/>
      <protection hidden="1"/>
    </xf>
    <xf numFmtId="0" fontId="48" fillId="0" borderId="73" xfId="1" quotePrefix="1" applyFont="1" applyBorder="1" applyAlignment="1" applyProtection="1">
      <alignment horizontal="center" vertical="top"/>
      <protection hidden="1"/>
    </xf>
    <xf numFmtId="0" fontId="36" fillId="0" borderId="6" xfId="1" quotePrefix="1" applyFont="1" applyBorder="1" applyAlignment="1" applyProtection="1">
      <alignment horizontal="center" vertical="top"/>
      <protection hidden="1"/>
    </xf>
    <xf numFmtId="0" fontId="0" fillId="3" borderId="50" xfId="1" applyFont="1" applyFill="1" applyBorder="1" applyAlignment="1" applyProtection="1">
      <alignment horizontal="left" vertical="top" wrapText="1"/>
      <protection hidden="1"/>
    </xf>
    <xf numFmtId="0" fontId="25" fillId="0" borderId="61" xfId="1" applyFont="1" applyBorder="1" applyAlignment="1" applyProtection="1">
      <alignment vertical="top"/>
      <protection hidden="1"/>
    </xf>
    <xf numFmtId="0" fontId="45" fillId="0" borderId="36" xfId="1" quotePrefix="1" applyFont="1" applyBorder="1" applyAlignment="1" applyProtection="1">
      <alignment vertical="top" wrapText="1"/>
      <protection hidden="1"/>
    </xf>
    <xf numFmtId="0" fontId="45" fillId="0" borderId="61" xfId="1" quotePrefix="1" applyFont="1" applyBorder="1" applyAlignment="1" applyProtection="1">
      <alignment vertical="top" wrapText="1"/>
      <protection hidden="1"/>
    </xf>
    <xf numFmtId="0" fontId="34" fillId="0" borderId="73" xfId="1" quotePrefix="1" applyFont="1" applyBorder="1" applyAlignment="1" applyProtection="1">
      <alignment vertical="top" wrapText="1"/>
      <protection hidden="1"/>
    </xf>
    <xf numFmtId="49" fontId="25" fillId="8" borderId="0" xfId="1" applyNumberFormat="1" applyFont="1" applyFill="1" applyAlignment="1" applyProtection="1">
      <alignment vertical="center"/>
      <protection hidden="1"/>
    </xf>
    <xf numFmtId="0" fontId="40" fillId="8" borderId="0" xfId="1" applyFont="1" applyFill="1" applyAlignment="1" applyProtection="1">
      <alignment vertical="center"/>
      <protection hidden="1"/>
    </xf>
    <xf numFmtId="0" fontId="25" fillId="8" borderId="0" xfId="1" applyFont="1" applyFill="1" applyAlignment="1" applyProtection="1">
      <alignment vertical="top"/>
      <protection hidden="1"/>
    </xf>
    <xf numFmtId="0" fontId="40" fillId="8" borderId="0" xfId="1" applyFont="1" applyFill="1" applyAlignment="1" applyProtection="1">
      <alignment horizontal="right" vertical="center"/>
      <protection hidden="1"/>
    </xf>
    <xf numFmtId="0" fontId="40" fillId="8" borderId="66" xfId="1" applyFont="1" applyFill="1" applyBorder="1" applyAlignment="1" applyProtection="1">
      <alignment horizontal="right" vertical="center"/>
      <protection hidden="1"/>
    </xf>
    <xf numFmtId="168" fontId="0" fillId="0" borderId="49" xfId="0" applyNumberFormat="1" applyBorder="1" applyAlignment="1" applyProtection="1">
      <alignment horizontal="right" vertical="top"/>
      <protection hidden="1"/>
    </xf>
    <xf numFmtId="167" fontId="0" fillId="0" borderId="49" xfId="0" quotePrefix="1" applyNumberFormat="1" applyBorder="1" applyAlignment="1" applyProtection="1">
      <alignment horizontal="right" vertical="top"/>
      <protection hidden="1"/>
    </xf>
    <xf numFmtId="168" fontId="0" fillId="0" borderId="47" xfId="0" applyNumberFormat="1" applyBorder="1" applyAlignment="1" applyProtection="1">
      <alignment horizontal="right" vertical="top"/>
      <protection hidden="1"/>
    </xf>
    <xf numFmtId="167" fontId="0" fillId="0" borderId="47" xfId="0" quotePrefix="1" applyNumberFormat="1" applyBorder="1" applyAlignment="1" applyProtection="1">
      <alignment horizontal="right" vertical="top"/>
      <protection hidden="1"/>
    </xf>
    <xf numFmtId="168" fontId="0" fillId="0" borderId="43" xfId="0" applyNumberFormat="1" applyBorder="1" applyAlignment="1" applyProtection="1">
      <alignment horizontal="right" vertical="top"/>
      <protection hidden="1"/>
    </xf>
    <xf numFmtId="167" fontId="0" fillId="0" borderId="43" xfId="0" quotePrefix="1" applyNumberFormat="1" applyBorder="1" applyAlignment="1" applyProtection="1">
      <alignment horizontal="right" vertical="top"/>
      <protection hidden="1"/>
    </xf>
    <xf numFmtId="0" fontId="10" fillId="0" borderId="11" xfId="0" applyFont="1" applyBorder="1" applyAlignment="1" applyProtection="1">
      <alignment horizontal="center" vertical="top" wrapText="1"/>
      <protection hidden="1"/>
    </xf>
    <xf numFmtId="4" fontId="0" fillId="5" borderId="35" xfId="2" applyNumberFormat="1" applyFont="1" applyFill="1" applyBorder="1" applyAlignment="1" applyProtection="1">
      <alignment horizontal="right" vertical="top"/>
      <protection locked="0"/>
    </xf>
    <xf numFmtId="0" fontId="10" fillId="0" borderId="72" xfId="2" applyFont="1" applyBorder="1" applyAlignment="1" applyProtection="1">
      <alignment horizontal="right" vertical="center"/>
      <protection hidden="1"/>
    </xf>
    <xf numFmtId="4" fontId="0" fillId="5" borderId="54" xfId="2" applyNumberFormat="1" applyFont="1" applyFill="1" applyBorder="1" applyAlignment="1" applyProtection="1">
      <alignment horizontal="right" vertical="top"/>
      <protection locked="0"/>
    </xf>
    <xf numFmtId="0" fontId="10" fillId="0" borderId="39" xfId="2" applyFont="1" applyBorder="1" applyAlignment="1" applyProtection="1">
      <alignment horizontal="right" vertical="center"/>
      <protection hidden="1"/>
    </xf>
    <xf numFmtId="3" fontId="0" fillId="4" borderId="35" xfId="2" applyNumberFormat="1" applyFont="1" applyFill="1" applyBorder="1" applyAlignment="1" applyProtection="1">
      <alignment horizontal="right" vertical="top"/>
      <protection locked="0"/>
    </xf>
    <xf numFmtId="0" fontId="11" fillId="0" borderId="61" xfId="2" applyFont="1" applyBorder="1" applyAlignment="1" applyProtection="1">
      <alignment vertical="center"/>
      <protection hidden="1"/>
    </xf>
    <xf numFmtId="3" fontId="0" fillId="4" borderId="54" xfId="2" applyNumberFormat="1" applyFont="1" applyFill="1" applyBorder="1" applyAlignment="1" applyProtection="1">
      <alignment horizontal="right" vertical="top"/>
      <protection locked="0"/>
    </xf>
    <xf numFmtId="3" fontId="0" fillId="4" borderId="52" xfId="2" applyNumberFormat="1" applyFont="1" applyFill="1" applyBorder="1" applyAlignment="1" applyProtection="1">
      <alignment horizontal="right" vertical="top"/>
      <protection locked="0"/>
    </xf>
    <xf numFmtId="0" fontId="11" fillId="0" borderId="72" xfId="2" applyFont="1" applyBorder="1" applyAlignment="1" applyProtection="1">
      <alignment vertical="center"/>
      <protection hidden="1"/>
    </xf>
    <xf numFmtId="3" fontId="0" fillId="4" borderId="54" xfId="2" applyNumberFormat="1" applyFont="1" applyFill="1" applyBorder="1" applyAlignment="1" applyProtection="1">
      <alignment horizontal="center" vertical="top"/>
      <protection locked="0"/>
    </xf>
    <xf numFmtId="0" fontId="11" fillId="0" borderId="39" xfId="2" applyFont="1" applyBorder="1" applyAlignment="1" applyProtection="1">
      <alignment vertical="center"/>
      <protection hidden="1"/>
    </xf>
    <xf numFmtId="49" fontId="6" fillId="0" borderId="36" xfId="2" applyNumberFormat="1" applyFont="1" applyBorder="1" applyAlignment="1" applyProtection="1">
      <alignment horizontal="center" vertical="top"/>
      <protection hidden="1"/>
    </xf>
    <xf numFmtId="0" fontId="10" fillId="0" borderId="38" xfId="2" applyFont="1" applyBorder="1" applyAlignment="1" applyProtection="1">
      <alignment horizontal="right" vertical="center"/>
      <protection hidden="1"/>
    </xf>
    <xf numFmtId="4" fontId="0" fillId="5" borderId="38" xfId="2" applyNumberFormat="1" applyFont="1" applyFill="1" applyBorder="1" applyAlignment="1" applyProtection="1">
      <alignment horizontal="right" vertical="top"/>
      <protection locked="0"/>
    </xf>
    <xf numFmtId="0" fontId="15" fillId="0" borderId="38" xfId="2" applyFont="1" applyBorder="1" applyAlignment="1" applyProtection="1">
      <alignment vertical="top" wrapText="1"/>
      <protection hidden="1"/>
    </xf>
    <xf numFmtId="3" fontId="0" fillId="4" borderId="53" xfId="2" applyNumberFormat="1" applyFont="1" applyFill="1" applyBorder="1" applyAlignment="1" applyProtection="1">
      <alignment horizontal="center" vertical="top"/>
      <protection locked="0"/>
    </xf>
    <xf numFmtId="0" fontId="11" fillId="0" borderId="38" xfId="2" applyFont="1" applyBorder="1" applyAlignment="1" applyProtection="1">
      <alignment vertical="center"/>
      <protection hidden="1"/>
    </xf>
    <xf numFmtId="0" fontId="23" fillId="4" borderId="0" xfId="1" applyFont="1" applyFill="1" applyAlignment="1" applyProtection="1">
      <alignment vertical="top" wrapText="1"/>
      <protection locked="0"/>
    </xf>
    <xf numFmtId="0" fontId="0" fillId="0" borderId="69" xfId="0" applyBorder="1" applyAlignment="1" applyProtection="1">
      <alignment horizontal="right" vertical="center"/>
      <protection hidden="1"/>
    </xf>
    <xf numFmtId="167" fontId="16" fillId="0" borderId="12" xfId="0" applyNumberFormat="1" applyFont="1" applyBorder="1" applyAlignment="1" applyProtection="1">
      <alignment horizontal="left" vertical="top"/>
      <protection hidden="1"/>
    </xf>
    <xf numFmtId="2" fontId="40" fillId="8" borderId="70" xfId="2" applyNumberFormat="1" applyFont="1" applyFill="1" applyBorder="1" applyAlignment="1" applyProtection="1">
      <alignment horizontal="center" vertical="center" wrapText="1"/>
      <protection hidden="1"/>
    </xf>
    <xf numFmtId="2" fontId="40" fillId="8" borderId="16" xfId="2" applyNumberFormat="1" applyFont="1" applyFill="1" applyBorder="1" applyAlignment="1" applyProtection="1">
      <alignment horizontal="center" vertical="center" wrapText="1"/>
      <protection hidden="1"/>
    </xf>
    <xf numFmtId="2" fontId="0" fillId="3" borderId="35"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protection hidden="1"/>
    </xf>
    <xf numFmtId="2" fontId="0" fillId="3" borderId="54"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wrapText="1"/>
      <protection hidden="1"/>
    </xf>
    <xf numFmtId="0" fontId="45" fillId="0" borderId="36" xfId="2" applyFont="1" applyBorder="1" applyAlignment="1" applyProtection="1">
      <alignment vertical="top" wrapText="1"/>
      <protection hidden="1"/>
    </xf>
    <xf numFmtId="0" fontId="45" fillId="0" borderId="36" xfId="2" applyFont="1" applyBorder="1" applyAlignment="1" applyProtection="1">
      <alignment vertical="top"/>
      <protection hidden="1"/>
    </xf>
    <xf numFmtId="0" fontId="45" fillId="0" borderId="61" xfId="2" applyFont="1" applyBorder="1" applyAlignment="1" applyProtection="1">
      <alignment vertical="top"/>
      <protection hidden="1"/>
    </xf>
    <xf numFmtId="0" fontId="45" fillId="0" borderId="36" xfId="2" quotePrefix="1" applyFont="1" applyBorder="1" applyAlignment="1" applyProtection="1">
      <alignment vertical="top" wrapText="1"/>
      <protection hidden="1"/>
    </xf>
    <xf numFmtId="0" fontId="45" fillId="0" borderId="36" xfId="2" quotePrefix="1" applyFont="1" applyBorder="1" applyAlignment="1" applyProtection="1">
      <alignment horizontal="center" vertical="top"/>
      <protection hidden="1"/>
    </xf>
    <xf numFmtId="0" fontId="46" fillId="0" borderId="36" xfId="2" quotePrefix="1" applyFont="1" applyBorder="1" applyAlignment="1" applyProtection="1">
      <alignment vertical="top"/>
      <protection hidden="1"/>
    </xf>
    <xf numFmtId="0" fontId="46" fillId="0" borderId="36" xfId="2" quotePrefix="1" applyFont="1" applyBorder="1" applyAlignment="1" applyProtection="1">
      <alignment vertical="top" wrapText="1"/>
      <protection hidden="1"/>
    </xf>
    <xf numFmtId="0" fontId="46" fillId="0" borderId="61" xfId="2" quotePrefix="1" applyFont="1" applyBorder="1" applyAlignment="1" applyProtection="1">
      <alignment vertical="top"/>
      <protection hidden="1"/>
    </xf>
    <xf numFmtId="4" fontId="45" fillId="0" borderId="36" xfId="2" applyNumberFormat="1" applyFont="1" applyBorder="1" applyAlignment="1" applyProtection="1">
      <alignment vertical="top" wrapText="1"/>
      <protection hidden="1"/>
    </xf>
    <xf numFmtId="4" fontId="45" fillId="0" borderId="61" xfId="2" applyNumberFormat="1" applyFont="1" applyBorder="1" applyAlignment="1" applyProtection="1">
      <alignment vertical="top"/>
      <protection hidden="1"/>
    </xf>
    <xf numFmtId="2" fontId="0" fillId="0" borderId="38" xfId="2" applyNumberFormat="1" applyFont="1" applyBorder="1" applyAlignment="1" applyProtection="1">
      <alignment vertical="top" wrapText="1"/>
      <protection hidden="1"/>
    </xf>
    <xf numFmtId="2" fontId="0" fillId="0" borderId="72" xfId="2" applyNumberFormat="1" applyFont="1" applyBorder="1" applyAlignment="1" applyProtection="1">
      <alignment vertical="top" wrapText="1"/>
      <protection hidden="1"/>
    </xf>
    <xf numFmtId="2" fontId="0" fillId="3" borderId="38" xfId="2" applyNumberFormat="1" applyFont="1" applyFill="1" applyBorder="1" applyAlignment="1" applyProtection="1">
      <alignment horizontal="center" vertical="top"/>
      <protection hidden="1"/>
    </xf>
    <xf numFmtId="2" fontId="0" fillId="0" borderId="72" xfId="2" applyNumberFormat="1" applyFont="1" applyBorder="1" applyAlignment="1" applyProtection="1">
      <alignment horizontal="center" vertical="top" wrapText="1"/>
      <protection hidden="1"/>
    </xf>
    <xf numFmtId="0" fontId="25" fillId="0" borderId="36" xfId="2" applyFont="1" applyBorder="1" applyAlignment="1" applyProtection="1">
      <alignment vertical="top" wrapText="1"/>
      <protection hidden="1"/>
    </xf>
    <xf numFmtId="2" fontId="0" fillId="0" borderId="38" xfId="2" applyNumberFormat="1" applyFont="1" applyBorder="1" applyAlignment="1" applyProtection="1">
      <alignment vertical="top"/>
      <protection hidden="1"/>
    </xf>
    <xf numFmtId="0" fontId="0" fillId="0" borderId="36" xfId="2" applyFont="1" applyBorder="1" applyAlignment="1" applyProtection="1">
      <alignment vertical="top" wrapText="1"/>
      <protection hidden="1"/>
    </xf>
    <xf numFmtId="2" fontId="40" fillId="8" borderId="70" xfId="1" applyNumberFormat="1" applyFont="1" applyFill="1" applyBorder="1" applyAlignment="1" applyProtection="1">
      <alignment horizontal="center" vertical="center" wrapText="1"/>
      <protection hidden="1"/>
    </xf>
    <xf numFmtId="2" fontId="40" fillId="8" borderId="16" xfId="1" applyNumberFormat="1" applyFont="1" applyFill="1" applyBorder="1" applyAlignment="1" applyProtection="1">
      <alignment horizontal="center" vertical="center" wrapText="1"/>
      <protection hidden="1"/>
    </xf>
    <xf numFmtId="2" fontId="40" fillId="14" borderId="70" xfId="1" applyNumberFormat="1" applyFont="1" applyFill="1" applyBorder="1" applyAlignment="1" applyProtection="1">
      <alignment horizontal="center" vertical="center" wrapText="1"/>
      <protection hidden="1"/>
    </xf>
    <xf numFmtId="2" fontId="40" fillId="14" borderId="16" xfId="1" applyNumberFormat="1" applyFont="1" applyFill="1" applyBorder="1" applyAlignment="1" applyProtection="1">
      <alignment horizontal="center" vertical="center" wrapText="1"/>
      <protection hidden="1"/>
    </xf>
    <xf numFmtId="0" fontId="40" fillId="4" borderId="16" xfId="0" applyFont="1" applyFill="1" applyBorder="1" applyAlignment="1" applyProtection="1">
      <alignment horizontal="center" vertical="center"/>
      <protection locked="0"/>
    </xf>
    <xf numFmtId="167" fontId="0" fillId="0" borderId="8" xfId="0" applyNumberFormat="1" applyBorder="1" applyAlignment="1" applyProtection="1">
      <alignment vertical="top"/>
      <protection hidden="1"/>
    </xf>
    <xf numFmtId="2" fontId="0" fillId="6" borderId="8" xfId="0" applyNumberFormat="1" applyFill="1" applyBorder="1" applyAlignment="1" applyProtection="1">
      <alignment horizontal="center" vertical="top"/>
      <protection locked="0"/>
    </xf>
    <xf numFmtId="167" fontId="6" fillId="0" borderId="1" xfId="0" applyNumberFormat="1" applyFont="1" applyBorder="1" applyAlignment="1" applyProtection="1">
      <alignment vertical="top"/>
      <protection hidden="1"/>
    </xf>
    <xf numFmtId="4" fontId="8" fillId="0" borderId="15" xfId="0" applyNumberFormat="1" applyFont="1" applyBorder="1" applyAlignment="1" applyProtection="1">
      <alignment vertical="top"/>
      <protection locked="0"/>
    </xf>
    <xf numFmtId="0" fontId="6" fillId="0" borderId="55" xfId="0" applyFont="1" applyBorder="1" applyAlignment="1" applyProtection="1">
      <alignment vertical="top"/>
      <protection hidden="1"/>
    </xf>
    <xf numFmtId="167" fontId="0" fillId="0" borderId="14" xfId="0" applyNumberFormat="1" applyBorder="1" applyAlignment="1" applyProtection="1">
      <alignment vertical="top"/>
      <protection hidden="1"/>
    </xf>
    <xf numFmtId="0" fontId="6" fillId="0" borderId="14" xfId="0" applyFont="1" applyBorder="1" applyAlignment="1" applyProtection="1">
      <alignment vertical="top"/>
      <protection hidden="1"/>
    </xf>
    <xf numFmtId="0" fontId="12" fillId="0" borderId="15" xfId="0" applyFont="1" applyBorder="1" applyAlignment="1" applyProtection="1">
      <alignment vertical="top" wrapText="1"/>
      <protection hidden="1"/>
    </xf>
    <xf numFmtId="167" fontId="6" fillId="0" borderId="14" xfId="0" applyNumberFormat="1" applyFont="1" applyBorder="1" applyAlignment="1" applyProtection="1">
      <alignment vertical="top"/>
      <protection hidden="1"/>
    </xf>
    <xf numFmtId="16" fontId="10" fillId="0" borderId="14" xfId="0" quotePrefix="1" applyNumberFormat="1" applyFont="1" applyBorder="1" applyAlignment="1" applyProtection="1">
      <alignment vertical="top"/>
      <protection hidden="1"/>
    </xf>
    <xf numFmtId="16" fontId="10" fillId="0" borderId="15" xfId="0" quotePrefix="1" applyNumberFormat="1" applyFont="1" applyBorder="1" applyAlignment="1" applyProtection="1">
      <alignment vertical="top"/>
      <protection hidden="1"/>
    </xf>
    <xf numFmtId="16" fontId="10" fillId="0" borderId="62" xfId="0" quotePrefix="1" applyNumberFormat="1" applyFont="1" applyBorder="1" applyAlignment="1" applyProtection="1">
      <alignment vertical="top"/>
      <protection hidden="1"/>
    </xf>
    <xf numFmtId="4" fontId="8" fillId="0" borderId="14" xfId="0" applyNumberFormat="1" applyFont="1" applyBorder="1" applyAlignment="1" applyProtection="1">
      <alignment vertical="center"/>
      <protection hidden="1"/>
    </xf>
    <xf numFmtId="4" fontId="8" fillId="0" borderId="15" xfId="0" applyNumberFormat="1" applyFont="1" applyBorder="1" applyAlignment="1" applyProtection="1">
      <alignment vertical="center"/>
      <protection hidden="1"/>
    </xf>
    <xf numFmtId="4" fontId="8" fillId="0" borderId="1" xfId="0" applyNumberFormat="1" applyFont="1" applyBorder="1" applyAlignment="1" applyProtection="1">
      <alignment vertical="top"/>
      <protection hidden="1"/>
    </xf>
    <xf numFmtId="16" fontId="10" fillId="0" borderId="12" xfId="0" quotePrefix="1" applyNumberFormat="1" applyFont="1" applyBorder="1" applyAlignment="1" applyProtection="1">
      <alignment vertical="top"/>
      <protection hidden="1"/>
    </xf>
    <xf numFmtId="0" fontId="0" fillId="0" borderId="22" xfId="0" applyBorder="1" applyAlignment="1" applyProtection="1">
      <alignment horizontal="center" vertical="top"/>
      <protection hidden="1"/>
    </xf>
    <xf numFmtId="1" fontId="10" fillId="0" borderId="14" xfId="0" applyNumberFormat="1" applyFont="1" applyBorder="1" applyAlignment="1" applyProtection="1">
      <alignment horizontal="center" vertical="center" wrapText="1"/>
      <protection hidden="1"/>
    </xf>
    <xf numFmtId="0" fontId="45" fillId="0" borderId="73" xfId="1" quotePrefix="1" applyFont="1" applyBorder="1" applyAlignment="1" applyProtection="1">
      <alignment vertical="top" wrapText="1"/>
      <protection hidden="1"/>
    </xf>
    <xf numFmtId="2" fontId="0" fillId="3" borderId="35" xfId="1" applyNumberFormat="1" applyFont="1" applyFill="1" applyBorder="1" applyAlignment="1" applyProtection="1">
      <alignment horizontal="center" vertical="center" wrapText="1"/>
      <protection hidden="1"/>
    </xf>
    <xf numFmtId="0" fontId="9" fillId="0" borderId="38" xfId="1" applyFont="1" applyBorder="1" applyProtection="1">
      <protection hidden="1"/>
    </xf>
    <xf numFmtId="0" fontId="9" fillId="0" borderId="72" xfId="1" applyFont="1" applyBorder="1" applyProtection="1">
      <protection hidden="1"/>
    </xf>
    <xf numFmtId="2" fontId="0" fillId="0" borderId="38" xfId="1" applyNumberFormat="1" applyFont="1" applyBorder="1" applyAlignment="1" applyProtection="1">
      <alignment horizontal="center" vertical="top"/>
      <protection hidden="1"/>
    </xf>
    <xf numFmtId="2" fontId="0" fillId="3" borderId="35" xfId="1" applyNumberFormat="1" applyFont="1" applyFill="1" applyBorder="1" applyAlignment="1" applyProtection="1">
      <alignment horizontal="center" vertical="top"/>
      <protection hidden="1"/>
    </xf>
    <xf numFmtId="2" fontId="0" fillId="0" borderId="38" xfId="1" applyNumberFormat="1" applyFont="1" applyBorder="1" applyAlignment="1" applyProtection="1">
      <alignment horizontal="center" vertical="top" wrapText="1"/>
      <protection hidden="1"/>
    </xf>
    <xf numFmtId="2" fontId="0" fillId="3" borderId="54" xfId="1" applyNumberFormat="1" applyFont="1" applyFill="1" applyBorder="1" applyAlignment="1" applyProtection="1">
      <alignment horizontal="center" vertical="top"/>
      <protection hidden="1"/>
    </xf>
    <xf numFmtId="2" fontId="0" fillId="0" borderId="72" xfId="1" applyNumberFormat="1" applyFont="1" applyBorder="1" applyAlignment="1" applyProtection="1">
      <alignment horizontal="center" vertical="top" wrapText="1"/>
      <protection hidden="1"/>
    </xf>
    <xf numFmtId="0" fontId="37" fillId="15" borderId="0" xfId="1" applyFont="1" applyFill="1" applyAlignment="1" applyProtection="1">
      <alignment vertical="center" wrapText="1"/>
      <protection hidden="1"/>
    </xf>
    <xf numFmtId="0" fontId="10" fillId="15" borderId="0" xfId="1" applyFont="1" applyFill="1" applyAlignment="1" applyProtection="1">
      <alignment horizontal="left" vertical="top" wrapText="1"/>
      <protection hidden="1"/>
    </xf>
    <xf numFmtId="0" fontId="10" fillId="16" borderId="0" xfId="1" applyFont="1" applyFill="1" applyAlignment="1" applyProtection="1">
      <alignment horizontal="left" vertical="top" wrapText="1"/>
      <protection hidden="1"/>
    </xf>
    <xf numFmtId="0" fontId="11" fillId="0" borderId="53" xfId="0" applyFont="1" applyBorder="1" applyAlignment="1" applyProtection="1">
      <alignment horizontal="left" vertical="top"/>
      <protection hidden="1"/>
    </xf>
    <xf numFmtId="0" fontId="10" fillId="0" borderId="48" xfId="0" applyFont="1" applyBorder="1" applyAlignment="1" applyProtection="1">
      <alignment vertical="top"/>
      <protection hidden="1"/>
    </xf>
    <xf numFmtId="4" fontId="0" fillId="0" borderId="47" xfId="0" applyNumberFormat="1" applyBorder="1" applyAlignment="1">
      <alignment vertical="center"/>
    </xf>
    <xf numFmtId="0" fontId="8" fillId="11" borderId="38" xfId="1" applyFont="1" applyFill="1" applyBorder="1" applyAlignment="1" applyProtection="1">
      <alignment horizontal="center" vertical="top" wrapText="1"/>
      <protection hidden="1"/>
    </xf>
    <xf numFmtId="0" fontId="8" fillId="11" borderId="0" xfId="1" applyFont="1" applyFill="1" applyAlignment="1" applyProtection="1">
      <alignment horizontal="center" vertical="top" wrapText="1"/>
      <protection hidden="1"/>
    </xf>
    <xf numFmtId="4" fontId="8" fillId="11" borderId="38" xfId="0" applyNumberFormat="1" applyFont="1" applyFill="1" applyBorder="1" applyAlignment="1" applyProtection="1">
      <alignment horizontal="center" vertical="top" wrapText="1"/>
      <protection hidden="1"/>
    </xf>
    <xf numFmtId="4" fontId="10" fillId="10" borderId="38" xfId="0" applyNumberFormat="1" applyFont="1" applyFill="1" applyBorder="1" applyAlignment="1" applyProtection="1">
      <alignment horizontal="center" vertical="top" wrapText="1"/>
      <protection hidden="1"/>
    </xf>
    <xf numFmtId="167" fontId="53" fillId="11" borderId="36" xfId="0" applyNumberFormat="1" applyFont="1" applyFill="1" applyBorder="1" applyAlignment="1" applyProtection="1">
      <alignment horizontal="left"/>
      <protection hidden="1"/>
    </xf>
    <xf numFmtId="167" fontId="53" fillId="11" borderId="37" xfId="0" applyNumberFormat="1" applyFont="1" applyFill="1" applyBorder="1" applyAlignment="1" applyProtection="1">
      <alignment vertical="center"/>
      <protection hidden="1"/>
    </xf>
    <xf numFmtId="4" fontId="56" fillId="10" borderId="36" xfId="0" applyNumberFormat="1" applyFont="1" applyFill="1" applyBorder="1" applyAlignment="1" applyProtection="1">
      <alignment vertical="center"/>
      <protection hidden="1"/>
    </xf>
    <xf numFmtId="4" fontId="56" fillId="10" borderId="37" xfId="0" applyNumberFormat="1" applyFont="1" applyFill="1" applyBorder="1" applyAlignment="1" applyProtection="1">
      <alignment vertical="center"/>
      <protection hidden="1"/>
    </xf>
    <xf numFmtId="0" fontId="6" fillId="0" borderId="6" xfId="0" quotePrefix="1" applyFont="1" applyBorder="1" applyAlignment="1" applyProtection="1">
      <alignment vertical="top"/>
      <protection hidden="1"/>
    </xf>
    <xf numFmtId="0" fontId="6" fillId="0" borderId="6" xfId="0" applyFont="1" applyBorder="1" applyAlignment="1" applyProtection="1">
      <alignment vertical="top"/>
      <protection hidden="1"/>
    </xf>
    <xf numFmtId="2" fontId="18" fillId="0" borderId="6" xfId="0" applyNumberFormat="1" applyFont="1" applyBorder="1" applyAlignment="1" applyProtection="1">
      <alignment horizontal="center" vertical="center"/>
      <protection hidden="1"/>
    </xf>
    <xf numFmtId="16" fontId="40" fillId="0" borderId="9" xfId="0" quotePrefix="1" applyNumberFormat="1" applyFont="1" applyBorder="1" applyAlignment="1" applyProtection="1">
      <alignment vertical="center"/>
      <protection hidden="1"/>
    </xf>
    <xf numFmtId="16" fontId="6" fillId="0" borderId="9" xfId="0" quotePrefix="1" applyNumberFormat="1" applyFont="1" applyBorder="1" applyAlignment="1" applyProtection="1">
      <alignment vertical="center"/>
      <protection hidden="1"/>
    </xf>
    <xf numFmtId="16" fontId="6" fillId="0" borderId="9" xfId="0" quotePrefix="1" applyNumberFormat="1" applyFont="1" applyBorder="1" applyAlignment="1" applyProtection="1">
      <alignment horizontal="center" vertical="center"/>
      <protection hidden="1"/>
    </xf>
    <xf numFmtId="0" fontId="8" fillId="0" borderId="10" xfId="0" applyFont="1" applyBorder="1" applyAlignment="1" applyProtection="1">
      <alignment horizontal="right" vertical="center"/>
      <protection locked="0"/>
    </xf>
    <xf numFmtId="167" fontId="8" fillId="0" borderId="10" xfId="0" applyNumberFormat="1" applyFont="1" applyBorder="1" applyAlignment="1" applyProtection="1">
      <alignment horizontal="right" vertical="center"/>
      <protection locked="0"/>
    </xf>
    <xf numFmtId="4" fontId="40" fillId="8" borderId="16" xfId="0" applyNumberFormat="1" applyFont="1" applyFill="1" applyBorder="1" applyAlignment="1" applyProtection="1">
      <alignment horizontal="right" vertical="center" shrinkToFit="1"/>
      <protection hidden="1"/>
    </xf>
    <xf numFmtId="0" fontId="40" fillId="0" borderId="9" xfId="0" applyFont="1" applyBorder="1"/>
    <xf numFmtId="0" fontId="40" fillId="0" borderId="10" xfId="0" applyFont="1" applyBorder="1"/>
    <xf numFmtId="1" fontId="28" fillId="3" borderId="6" xfId="0" applyNumberFormat="1" applyFont="1" applyFill="1" applyBorder="1" applyAlignment="1" applyProtection="1">
      <alignment vertical="center"/>
      <protection hidden="1"/>
    </xf>
    <xf numFmtId="0" fontId="10" fillId="3" borderId="11" xfId="0" applyFont="1" applyFill="1" applyBorder="1" applyAlignment="1" applyProtection="1">
      <alignment vertical="center" wrapText="1"/>
      <protection hidden="1"/>
    </xf>
    <xf numFmtId="0" fontId="10" fillId="3" borderId="1" xfId="0" applyFont="1" applyFill="1" applyBorder="1" applyAlignment="1" applyProtection="1">
      <alignment vertical="top" wrapText="1"/>
      <protection hidden="1"/>
    </xf>
    <xf numFmtId="0" fontId="10" fillId="3" borderId="1" xfId="0" applyFont="1" applyFill="1" applyBorder="1" applyAlignment="1" applyProtection="1">
      <alignment horizontal="center" vertical="top" wrapText="1"/>
      <protection hidden="1"/>
    </xf>
    <xf numFmtId="0" fontId="10" fillId="3" borderId="5" xfId="0" applyFont="1" applyFill="1" applyBorder="1" applyAlignment="1" applyProtection="1">
      <alignment vertical="center" wrapText="1"/>
      <protection hidden="1"/>
    </xf>
    <xf numFmtId="0" fontId="10" fillId="3" borderId="10" xfId="0" applyFont="1" applyFill="1" applyBorder="1" applyAlignment="1" applyProtection="1">
      <alignment horizontal="center" vertical="top" wrapText="1"/>
      <protection hidden="1"/>
    </xf>
    <xf numFmtId="0" fontId="10" fillId="3" borderId="8" xfId="0" applyFont="1" applyFill="1" applyBorder="1" applyAlignment="1" applyProtection="1">
      <alignment vertical="top"/>
      <protection hidden="1"/>
    </xf>
    <xf numFmtId="0" fontId="10" fillId="3" borderId="9" xfId="0" applyFont="1" applyFill="1" applyBorder="1" applyAlignment="1" applyProtection="1">
      <alignment horizontal="center" vertical="top" wrapText="1"/>
      <protection hidden="1"/>
    </xf>
    <xf numFmtId="0" fontId="8"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2" fontId="8" fillId="3" borderId="66" xfId="0" applyNumberFormat="1" applyFont="1" applyFill="1" applyBorder="1" applyAlignment="1" applyProtection="1">
      <alignment horizontal="center" vertical="center"/>
      <protection hidden="1"/>
    </xf>
    <xf numFmtId="167" fontId="40" fillId="3" borderId="16" xfId="0" applyNumberFormat="1" applyFont="1" applyFill="1" applyBorder="1" applyAlignment="1" applyProtection="1">
      <alignment horizontal="right" vertical="center"/>
      <protection hidden="1"/>
    </xf>
    <xf numFmtId="167" fontId="8" fillId="8" borderId="16" xfId="0" applyNumberFormat="1" applyFont="1" applyFill="1" applyBorder="1" applyAlignment="1" applyProtection="1">
      <alignment horizontal="right" vertical="center"/>
      <protection hidden="1"/>
    </xf>
    <xf numFmtId="10" fontId="8" fillId="3" borderId="0" xfId="0" applyNumberFormat="1" applyFont="1" applyFill="1" applyAlignment="1" applyProtection="1">
      <alignment vertical="center"/>
      <protection hidden="1"/>
    </xf>
    <xf numFmtId="168" fontId="8" fillId="3" borderId="0" xfId="0" applyNumberFormat="1" applyFont="1" applyFill="1" applyAlignment="1" applyProtection="1">
      <alignment horizontal="right" vertical="center"/>
      <protection hidden="1"/>
    </xf>
    <xf numFmtId="167" fontId="0" fillId="3" borderId="66" xfId="0" applyNumberFormat="1" applyFill="1" applyBorder="1" applyAlignment="1" applyProtection="1">
      <alignment horizontal="right" vertical="center"/>
      <protection hidden="1"/>
    </xf>
    <xf numFmtId="167" fontId="0" fillId="4" borderId="49" xfId="0" applyNumberFormat="1" applyFill="1" applyBorder="1" applyAlignment="1" applyProtection="1">
      <alignment horizontal="right" vertical="center"/>
      <protection locked="0"/>
    </xf>
    <xf numFmtId="168" fontId="0" fillId="4" borderId="49" xfId="0" applyNumberFormat="1" applyFill="1" applyBorder="1" applyAlignment="1" applyProtection="1">
      <alignment horizontal="center" vertical="center"/>
      <protection locked="0"/>
    </xf>
    <xf numFmtId="167" fontId="8" fillId="0" borderId="49" xfId="0" applyNumberFormat="1" applyFont="1" applyBorder="1" applyAlignment="1" applyProtection="1">
      <alignment horizontal="right" vertical="center"/>
      <protection hidden="1"/>
    </xf>
    <xf numFmtId="167" fontId="0" fillId="4" borderId="47" xfId="0" applyNumberFormat="1" applyFill="1" applyBorder="1" applyAlignment="1" applyProtection="1">
      <alignment horizontal="right" vertical="center"/>
      <protection locked="0"/>
    </xf>
    <xf numFmtId="168" fontId="0" fillId="4" borderId="47" xfId="0" applyNumberFormat="1" applyFill="1" applyBorder="1" applyAlignment="1" applyProtection="1">
      <alignment horizontal="center" vertical="center"/>
      <protection locked="0"/>
    </xf>
    <xf numFmtId="167" fontId="8" fillId="0" borderId="47" xfId="0" applyNumberFormat="1" applyFont="1" applyBorder="1" applyAlignment="1" applyProtection="1">
      <alignment horizontal="right" vertical="center"/>
      <protection hidden="1"/>
    </xf>
    <xf numFmtId="167" fontId="0" fillId="4" borderId="43" xfId="0" applyNumberFormat="1" applyFill="1" applyBorder="1" applyAlignment="1" applyProtection="1">
      <alignment horizontal="right" vertical="center"/>
      <protection locked="0"/>
    </xf>
    <xf numFmtId="168" fontId="0" fillId="4" borderId="43" xfId="0" applyNumberFormat="1" applyFill="1" applyBorder="1" applyAlignment="1" applyProtection="1">
      <alignment horizontal="center" vertical="center"/>
      <protection locked="0"/>
    </xf>
    <xf numFmtId="167" fontId="8" fillId="0" borderId="43" xfId="0" applyNumberFormat="1" applyFont="1" applyBorder="1" applyAlignment="1" applyProtection="1">
      <alignment horizontal="right" vertical="center"/>
      <protection hidden="1"/>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6" fillId="0" borderId="43" xfId="0" applyFont="1" applyBorder="1" applyAlignment="1">
      <alignment horizontal="left" vertical="center"/>
    </xf>
    <xf numFmtId="0" fontId="10" fillId="0" borderId="49" xfId="0" applyFont="1" applyBorder="1" applyAlignment="1" applyProtection="1">
      <alignment vertical="center"/>
      <protection hidden="1"/>
    </xf>
    <xf numFmtId="167" fontId="8" fillId="0" borderId="25" xfId="0" applyNumberFormat="1" applyFont="1" applyBorder="1" applyAlignment="1" applyProtection="1">
      <alignment horizontal="right" vertical="center"/>
      <protection hidden="1"/>
    </xf>
    <xf numFmtId="167" fontId="0" fillId="4" borderId="49" xfId="0" applyNumberFormat="1" applyFill="1" applyBorder="1" applyAlignment="1" applyProtection="1">
      <alignment horizontal="right" vertical="center"/>
      <protection hidden="1"/>
    </xf>
    <xf numFmtId="167" fontId="0" fillId="0" borderId="49" xfId="0" applyNumberFormat="1" applyBorder="1" applyAlignment="1" applyProtection="1">
      <alignment horizontal="right" vertical="center"/>
      <protection hidden="1"/>
    </xf>
    <xf numFmtId="0" fontId="10" fillId="0" borderId="47" xfId="0" applyFont="1" applyBorder="1" applyAlignment="1" applyProtection="1">
      <alignment vertical="center"/>
      <protection hidden="1"/>
    </xf>
    <xf numFmtId="167" fontId="8" fillId="0" borderId="46" xfId="0" applyNumberFormat="1" applyFont="1" applyBorder="1" applyAlignment="1" applyProtection="1">
      <alignment horizontal="right" vertical="center"/>
      <protection hidden="1"/>
    </xf>
    <xf numFmtId="167" fontId="0" fillId="4" borderId="47" xfId="0" applyNumberFormat="1" applyFill="1" applyBorder="1" applyAlignment="1" applyProtection="1">
      <alignment horizontal="right" vertical="center"/>
      <protection hidden="1"/>
    </xf>
    <xf numFmtId="167" fontId="0" fillId="0" borderId="47" xfId="0" applyNumberFormat="1" applyBorder="1" applyAlignment="1" applyProtection="1">
      <alignment horizontal="right" vertical="center"/>
      <protection hidden="1"/>
    </xf>
    <xf numFmtId="0" fontId="10" fillId="0" borderId="43" xfId="0" applyFont="1" applyBorder="1" applyAlignment="1" applyProtection="1">
      <alignment vertical="center"/>
      <protection hidden="1"/>
    </xf>
    <xf numFmtId="167" fontId="8" fillId="0" borderId="48" xfId="0" applyNumberFormat="1" applyFont="1" applyBorder="1" applyAlignment="1" applyProtection="1">
      <alignment horizontal="right" vertical="center"/>
      <protection hidden="1"/>
    </xf>
    <xf numFmtId="167" fontId="0" fillId="4" borderId="43" xfId="0" applyNumberFormat="1" applyFill="1" applyBorder="1" applyAlignment="1" applyProtection="1">
      <alignment horizontal="right" vertical="center"/>
      <protection hidden="1"/>
    </xf>
    <xf numFmtId="167" fontId="0" fillId="0" borderId="43" xfId="0" applyNumberFormat="1" applyBorder="1" applyAlignment="1" applyProtection="1">
      <alignment horizontal="right" vertical="center"/>
      <protection hidden="1"/>
    </xf>
    <xf numFmtId="16" fontId="40" fillId="8" borderId="0" xfId="0" quotePrefix="1" applyNumberFormat="1" applyFont="1" applyFill="1" applyAlignment="1" applyProtection="1">
      <alignment horizontal="left" vertical="center"/>
      <protection hidden="1"/>
    </xf>
    <xf numFmtId="0" fontId="45" fillId="0" borderId="58" xfId="1" applyFont="1" applyBorder="1" applyAlignment="1" applyProtection="1">
      <alignment horizontal="left" vertical="top" wrapText="1"/>
      <protection hidden="1"/>
    </xf>
    <xf numFmtId="0" fontId="8" fillId="4" borderId="8" xfId="2" applyFont="1" applyFill="1" applyBorder="1" applyAlignment="1" applyProtection="1">
      <alignment horizontal="left" vertical="top" wrapText="1"/>
      <protection hidden="1"/>
    </xf>
    <xf numFmtId="0" fontId="6" fillId="15" borderId="0" xfId="1" applyFont="1" applyFill="1" applyAlignment="1" applyProtection="1">
      <alignment horizontal="left" vertical="top"/>
      <protection hidden="1"/>
    </xf>
    <xf numFmtId="0" fontId="53" fillId="15" borderId="0" xfId="1" applyFont="1" applyFill="1" applyAlignment="1" applyProtection="1">
      <alignment horizontal="right"/>
      <protection hidden="1"/>
    </xf>
    <xf numFmtId="0" fontId="8" fillId="0" borderId="6" xfId="1" applyFont="1" applyBorder="1" applyAlignment="1" applyProtection="1">
      <alignment horizontal="left" vertical="top" wrapText="1"/>
      <protection hidden="1"/>
    </xf>
    <xf numFmtId="0" fontId="6" fillId="0" borderId="6" xfId="0" applyFont="1" applyBorder="1" applyAlignment="1" applyProtection="1">
      <alignment vertical="center"/>
      <protection hidden="1"/>
    </xf>
    <xf numFmtId="0" fontId="10" fillId="0" borderId="6" xfId="1" applyFont="1" applyBorder="1" applyAlignment="1" applyProtection="1">
      <alignment horizontal="left" vertical="top" wrapText="1"/>
      <protection hidden="1"/>
    </xf>
    <xf numFmtId="0" fontId="9" fillId="0" borderId="6" xfId="1" applyFont="1" applyBorder="1" applyProtection="1">
      <protection hidden="1"/>
    </xf>
    <xf numFmtId="0" fontId="10" fillId="2" borderId="6" xfId="1" applyFont="1" applyFill="1" applyBorder="1" applyAlignment="1" applyProtection="1">
      <alignment horizontal="center" vertical="top" wrapText="1"/>
      <protection hidden="1"/>
    </xf>
    <xf numFmtId="0" fontId="6" fillId="16" borderId="0" xfId="1" applyFont="1" applyFill="1" applyAlignment="1" applyProtection="1">
      <alignment horizontal="left" vertical="top"/>
      <protection hidden="1"/>
    </xf>
    <xf numFmtId="0" fontId="37" fillId="16" borderId="0" xfId="1" applyFont="1" applyFill="1" applyAlignment="1" applyProtection="1">
      <alignment vertical="center" wrapText="1"/>
      <protection hidden="1"/>
    </xf>
    <xf numFmtId="0" fontId="53" fillId="16" borderId="0" xfId="1" applyFont="1" applyFill="1" applyAlignment="1" applyProtection="1">
      <alignment horizontal="right"/>
      <protection hidden="1"/>
    </xf>
    <xf numFmtId="0" fontId="0" fillId="0" borderId="45" xfId="0" applyBorder="1" applyAlignment="1" applyProtection="1">
      <alignment vertical="center"/>
      <protection hidden="1"/>
    </xf>
    <xf numFmtId="0" fontId="10" fillId="3" borderId="9" xfId="0" applyFont="1" applyFill="1" applyBorder="1" applyAlignment="1" applyProtection="1">
      <alignment vertical="top" wrapText="1"/>
      <protection hidden="1"/>
    </xf>
    <xf numFmtId="0" fontId="6" fillId="3" borderId="0" xfId="0" applyFont="1" applyFill="1" applyAlignment="1" applyProtection="1">
      <alignment vertical="top"/>
      <protection hidden="1"/>
    </xf>
    <xf numFmtId="0" fontId="6" fillId="3" borderId="6" xfId="0" applyFont="1" applyFill="1" applyBorder="1" applyAlignment="1" applyProtection="1">
      <alignment vertical="top"/>
      <protection hidden="1"/>
    </xf>
    <xf numFmtId="0" fontId="6" fillId="0" borderId="23" xfId="0" applyFont="1" applyBorder="1" applyAlignment="1" applyProtection="1">
      <alignment vertical="center"/>
      <protection hidden="1"/>
    </xf>
    <xf numFmtId="0" fontId="6" fillId="0" borderId="44" xfId="0" applyFont="1" applyBorder="1" applyAlignment="1" applyProtection="1">
      <alignment vertical="center"/>
      <protection hidden="1"/>
    </xf>
    <xf numFmtId="0" fontId="6" fillId="0" borderId="21" xfId="0" applyFont="1" applyBorder="1" applyAlignment="1" applyProtection="1">
      <alignment vertical="center"/>
      <protection hidden="1"/>
    </xf>
    <xf numFmtId="2" fontId="0" fillId="0" borderId="25" xfId="0" applyNumberFormat="1" applyBorder="1" applyAlignment="1" applyProtection="1">
      <alignment horizontal="center" vertical="center"/>
      <protection hidden="1"/>
    </xf>
    <xf numFmtId="2" fontId="0" fillId="0" borderId="46" xfId="0" applyNumberFormat="1" applyBorder="1" applyAlignment="1" applyProtection="1">
      <alignment horizontal="center" vertical="center"/>
      <protection hidden="1"/>
    </xf>
    <xf numFmtId="2" fontId="0" fillId="0" borderId="48" xfId="0" applyNumberFormat="1" applyBorder="1" applyAlignment="1" applyProtection="1">
      <alignment horizontal="center" vertical="center"/>
      <protection hidden="1"/>
    </xf>
    <xf numFmtId="0" fontId="10" fillId="3" borderId="7" xfId="0" applyFont="1" applyFill="1" applyBorder="1" applyAlignment="1" applyProtection="1">
      <alignment horizontal="center" vertical="top" wrapText="1"/>
      <protection hidden="1"/>
    </xf>
    <xf numFmtId="0" fontId="10" fillId="3" borderId="13" xfId="0" applyFont="1" applyFill="1" applyBorder="1" applyAlignment="1" applyProtection="1">
      <alignment horizontal="center" vertical="top" wrapText="1"/>
      <protection hidden="1"/>
    </xf>
    <xf numFmtId="0" fontId="42" fillId="12" borderId="0" xfId="1" applyFont="1" applyFill="1" applyAlignment="1" applyProtection="1">
      <alignment horizontal="left" vertical="top"/>
      <protection hidden="1"/>
    </xf>
    <xf numFmtId="0" fontId="10" fillId="12" borderId="0" xfId="1" applyFont="1" applyFill="1" applyAlignment="1" applyProtection="1">
      <alignment horizontal="left" vertical="top" wrapText="1"/>
      <protection hidden="1"/>
    </xf>
    <xf numFmtId="0" fontId="37" fillId="12" borderId="0" xfId="1" applyFont="1" applyFill="1" applyAlignment="1" applyProtection="1">
      <alignment vertical="center" wrapText="1"/>
      <protection hidden="1"/>
    </xf>
    <xf numFmtId="0" fontId="53" fillId="12" borderId="0" xfId="1" applyFont="1" applyFill="1" applyAlignment="1" applyProtection="1">
      <alignment horizontal="right"/>
      <protection hidden="1"/>
    </xf>
    <xf numFmtId="4" fontId="8" fillId="9" borderId="38" xfId="0" applyNumberFormat="1" applyFont="1" applyFill="1" applyBorder="1" applyAlignment="1" applyProtection="1">
      <alignment horizontal="center" vertical="top"/>
      <protection hidden="1"/>
    </xf>
    <xf numFmtId="0" fontId="6" fillId="16" borderId="38" xfId="1" applyFont="1" applyFill="1" applyBorder="1" applyAlignment="1" applyProtection="1">
      <alignment horizontal="center" vertical="top" wrapText="1"/>
      <protection hidden="1"/>
    </xf>
    <xf numFmtId="0" fontId="6" fillId="16" borderId="0" xfId="1" applyFont="1" applyFill="1" applyAlignment="1" applyProtection="1">
      <alignment horizontal="center" vertical="top" wrapText="1"/>
      <protection hidden="1"/>
    </xf>
    <xf numFmtId="0" fontId="6" fillId="15" borderId="38" xfId="1" applyFont="1" applyFill="1" applyBorder="1" applyAlignment="1" applyProtection="1">
      <alignment horizontal="center" vertical="top" wrapText="1"/>
      <protection hidden="1"/>
    </xf>
    <xf numFmtId="0" fontId="6" fillId="15" borderId="0" xfId="1" applyFont="1" applyFill="1" applyAlignment="1" applyProtection="1">
      <alignment horizontal="center" vertical="top" wrapText="1"/>
      <protection hidden="1"/>
    </xf>
    <xf numFmtId="0" fontId="6" fillId="12" borderId="38" xfId="1" applyFont="1" applyFill="1" applyBorder="1" applyAlignment="1" applyProtection="1">
      <alignment horizontal="center" vertical="top" wrapText="1"/>
      <protection hidden="1"/>
    </xf>
    <xf numFmtId="0" fontId="6" fillId="12" borderId="0" xfId="1" applyFont="1" applyFill="1" applyAlignment="1" applyProtection="1">
      <alignment horizontal="center" vertical="top" wrapText="1"/>
      <protection hidden="1"/>
    </xf>
    <xf numFmtId="0" fontId="22" fillId="0" borderId="3" xfId="1" applyFont="1" applyBorder="1" applyAlignment="1" applyProtection="1">
      <alignment vertical="top"/>
      <protection hidden="1"/>
    </xf>
    <xf numFmtId="49" fontId="9" fillId="0" borderId="0" xfId="1" applyNumberFormat="1" applyFont="1" applyAlignment="1" applyProtection="1">
      <alignment vertical="center"/>
      <protection hidden="1"/>
    </xf>
    <xf numFmtId="0" fontId="11" fillId="0" borderId="0" xfId="1" applyFont="1" applyAlignment="1" applyProtection="1">
      <alignment vertical="center"/>
      <protection hidden="1"/>
    </xf>
    <xf numFmtId="0" fontId="11" fillId="0" borderId="0" xfId="1" applyFont="1" applyAlignment="1" applyProtection="1">
      <alignment horizontal="right" vertical="center"/>
      <protection hidden="1"/>
    </xf>
    <xf numFmtId="0" fontId="10" fillId="0" borderId="0" xfId="1" applyFont="1" applyAlignment="1" applyProtection="1">
      <alignment horizontal="right" vertical="center"/>
      <protection hidden="1"/>
    </xf>
    <xf numFmtId="0" fontId="9" fillId="0" borderId="3" xfId="1" applyFont="1" applyBorder="1" applyAlignment="1" applyProtection="1">
      <alignment vertical="top"/>
      <protection hidden="1"/>
    </xf>
    <xf numFmtId="0" fontId="22" fillId="0" borderId="0" xfId="1" applyFont="1" applyAlignment="1" applyProtection="1">
      <alignment vertical="center"/>
      <protection hidden="1"/>
    </xf>
    <xf numFmtId="0" fontId="10" fillId="0" borderId="0" xfId="1" applyFont="1" applyAlignment="1" applyProtection="1">
      <alignment vertical="center"/>
      <protection hidden="1"/>
    </xf>
    <xf numFmtId="0" fontId="10" fillId="0" borderId="3" xfId="1" applyFont="1" applyBorder="1" applyAlignment="1" applyProtection="1">
      <alignment vertical="center"/>
      <protection hidden="1"/>
    </xf>
    <xf numFmtId="2" fontId="8" fillId="0" borderId="0" xfId="1" applyNumberFormat="1" applyFont="1" applyAlignment="1" applyProtection="1">
      <alignment horizontal="center" vertical="center" wrapText="1"/>
      <protection hidden="1"/>
    </xf>
    <xf numFmtId="2" fontId="8" fillId="0" borderId="3" xfId="1" applyNumberFormat="1" applyFont="1" applyBorder="1" applyAlignment="1" applyProtection="1">
      <alignment horizontal="center" vertical="center" wrapText="1"/>
      <protection hidden="1"/>
    </xf>
    <xf numFmtId="0" fontId="8" fillId="0" borderId="3" xfId="1" applyFont="1" applyBorder="1" applyAlignment="1" applyProtection="1">
      <alignment vertical="center"/>
      <protection hidden="1"/>
    </xf>
    <xf numFmtId="0" fontId="8" fillId="0" borderId="3" xfId="1" applyFont="1" applyBorder="1" applyAlignment="1" applyProtection="1">
      <alignment horizontal="right" vertical="center"/>
      <protection hidden="1"/>
    </xf>
    <xf numFmtId="0" fontId="22" fillId="0" borderId="3" xfId="1" applyFont="1" applyBorder="1" applyProtection="1">
      <protection hidden="1"/>
    </xf>
    <xf numFmtId="0" fontId="0" fillId="0" borderId="3" xfId="1" applyFont="1" applyBorder="1" applyAlignment="1" applyProtection="1">
      <alignment vertical="top"/>
      <protection hidden="1"/>
    </xf>
    <xf numFmtId="0" fontId="6" fillId="0" borderId="3" xfId="1" applyFont="1" applyBorder="1" applyAlignment="1" applyProtection="1">
      <alignment vertical="center"/>
      <protection hidden="1"/>
    </xf>
    <xf numFmtId="0" fontId="0" fillId="4" borderId="1" xfId="2" applyFont="1" applyFill="1" applyBorder="1" applyAlignment="1" applyProtection="1">
      <alignment vertical="top"/>
      <protection hidden="1"/>
    </xf>
    <xf numFmtId="0" fontId="16" fillId="0" borderId="0" xfId="0" applyFont="1" applyAlignment="1" applyProtection="1">
      <alignment horizontal="left" vertical="top"/>
      <protection locked="0" hidden="1"/>
    </xf>
    <xf numFmtId="0" fontId="0" fillId="0" borderId="0" xfId="0" applyAlignment="1" applyProtection="1">
      <alignment horizontal="center" vertical="center" wrapText="1"/>
      <protection locked="0" hidden="1"/>
    </xf>
    <xf numFmtId="0" fontId="8" fillId="0" borderId="0" xfId="0" applyFont="1" applyAlignment="1" applyProtection="1">
      <alignment horizontal="left" vertical="center"/>
      <protection locked="0" hidden="1"/>
    </xf>
    <xf numFmtId="0" fontId="20" fillId="0" borderId="2" xfId="0" applyFont="1" applyBorder="1" applyAlignment="1" applyProtection="1">
      <alignment horizontal="left"/>
      <protection locked="0" hidden="1"/>
    </xf>
    <xf numFmtId="0" fontId="8" fillId="0" borderId="11" xfId="0" applyFont="1" applyBorder="1" applyAlignment="1" applyProtection="1">
      <alignment horizontal="left" vertical="center"/>
      <protection locked="0" hidden="1"/>
    </xf>
    <xf numFmtId="0" fontId="0" fillId="0" borderId="11" xfId="0" applyBorder="1" applyAlignment="1" applyProtection="1">
      <alignment vertical="top"/>
      <protection locked="0" hidden="1"/>
    </xf>
    <xf numFmtId="0" fontId="20" fillId="0" borderId="5" xfId="0" applyFont="1" applyBorder="1" applyAlignment="1" applyProtection="1">
      <alignment horizontal="center" vertical="top" wrapText="1"/>
      <protection locked="0" hidden="1"/>
    </xf>
    <xf numFmtId="0" fontId="10" fillId="8" borderId="37" xfId="0" applyFont="1" applyFill="1" applyBorder="1" applyAlignment="1" applyProtection="1">
      <alignment vertical="center"/>
      <protection hidden="1"/>
    </xf>
    <xf numFmtId="2" fontId="8" fillId="8" borderId="38" xfId="0" applyNumberFormat="1" applyFont="1" applyFill="1" applyBorder="1" applyAlignment="1" applyProtection="1">
      <alignment vertical="center"/>
      <protection hidden="1"/>
    </xf>
    <xf numFmtId="168" fontId="8" fillId="8" borderId="38" xfId="0" applyNumberFormat="1" applyFont="1" applyFill="1" applyBorder="1" applyAlignment="1" applyProtection="1">
      <alignment horizontal="right" vertical="center"/>
      <protection hidden="1"/>
    </xf>
    <xf numFmtId="167" fontId="8" fillId="8" borderId="38" xfId="0" applyNumberFormat="1" applyFont="1" applyFill="1" applyBorder="1" applyAlignment="1" applyProtection="1">
      <alignment horizontal="right" vertical="center"/>
      <protection hidden="1"/>
    </xf>
    <xf numFmtId="167" fontId="0" fillId="8" borderId="38" xfId="0" applyNumberFormat="1" applyFill="1" applyBorder="1" applyAlignment="1" applyProtection="1">
      <alignment horizontal="right" vertical="center"/>
      <protection hidden="1"/>
    </xf>
    <xf numFmtId="167" fontId="0" fillId="8" borderId="70" xfId="0" applyNumberFormat="1" applyFill="1" applyBorder="1" applyAlignment="1" applyProtection="1">
      <alignment horizontal="right" vertical="center"/>
      <protection hidden="1"/>
    </xf>
    <xf numFmtId="167" fontId="0" fillId="3" borderId="74"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center" vertical="center"/>
      <protection hidden="1"/>
    </xf>
    <xf numFmtId="167" fontId="8" fillId="3" borderId="36" xfId="0" applyNumberFormat="1" applyFont="1" applyFill="1" applyBorder="1" applyAlignment="1" applyProtection="1">
      <alignment horizontal="right" vertical="center"/>
      <protection hidden="1"/>
    </xf>
    <xf numFmtId="167" fontId="0" fillId="3" borderId="74" xfId="0" applyNumberFormat="1" applyFill="1" applyBorder="1" applyAlignment="1" applyProtection="1">
      <alignment horizontal="center" vertical="center"/>
      <protection hidden="1"/>
    </xf>
    <xf numFmtId="0" fontId="8" fillId="3" borderId="66" xfId="0" applyFont="1" applyFill="1" applyBorder="1" applyAlignment="1">
      <alignment vertical="center"/>
    </xf>
    <xf numFmtId="167" fontId="0" fillId="0" borderId="14" xfId="0" applyNumberFormat="1" applyBorder="1" applyAlignment="1" applyProtection="1">
      <alignment horizontal="right" vertical="top"/>
      <protection hidden="1"/>
    </xf>
    <xf numFmtId="2" fontId="0" fillId="4" borderId="8" xfId="0" applyNumberFormat="1" applyFill="1" applyBorder="1" applyAlignment="1" applyProtection="1">
      <alignment horizontal="center" vertical="top"/>
      <protection locked="0"/>
    </xf>
    <xf numFmtId="4" fontId="0" fillId="0" borderId="15" xfId="0" applyNumberFormat="1" applyBorder="1" applyAlignment="1" applyProtection="1">
      <alignment horizontal="right" vertical="top"/>
      <protection locked="0" hidden="1"/>
    </xf>
    <xf numFmtId="16" fontId="0" fillId="0" borderId="53" xfId="0" quotePrefix="1" applyNumberFormat="1" applyBorder="1" applyAlignment="1" applyProtection="1">
      <alignment horizontal="left" vertical="top" wrapText="1"/>
      <protection hidden="1"/>
    </xf>
    <xf numFmtId="0" fontId="6" fillId="0" borderId="48" xfId="0" applyFont="1" applyBorder="1" applyAlignment="1" applyProtection="1">
      <alignment horizontal="center"/>
      <protection hidden="1"/>
    </xf>
    <xf numFmtId="0" fontId="0" fillId="0" borderId="1" xfId="0" applyBorder="1" applyAlignment="1" applyProtection="1">
      <alignment vertical="top"/>
      <protection hidden="1"/>
    </xf>
    <xf numFmtId="0" fontId="35" fillId="0" borderId="52" xfId="0" applyFont="1" applyBorder="1" applyAlignment="1" applyProtection="1">
      <alignment vertical="top"/>
      <protection locked="0" hidden="1"/>
    </xf>
    <xf numFmtId="0" fontId="0" fillId="0" borderId="50" xfId="0" applyBorder="1" applyAlignment="1" applyProtection="1">
      <alignment vertical="top"/>
      <protection locked="0" hidden="1"/>
    </xf>
    <xf numFmtId="4" fontId="0" fillId="0" borderId="50" xfId="0" applyNumberFormat="1" applyBorder="1" applyAlignment="1" applyProtection="1">
      <alignment vertical="top"/>
      <protection hidden="1"/>
    </xf>
    <xf numFmtId="0" fontId="0" fillId="8" borderId="66" xfId="0" quotePrefix="1" applyFill="1" applyBorder="1" applyAlignment="1" applyProtection="1">
      <alignment horizontal="right" vertical="center"/>
      <protection hidden="1"/>
    </xf>
    <xf numFmtId="0" fontId="16" fillId="0" borderId="0" xfId="0" applyFont="1" applyAlignment="1" applyProtection="1">
      <alignment vertical="center"/>
      <protection locked="0" hidden="1"/>
    </xf>
    <xf numFmtId="0" fontId="8" fillId="3" borderId="3" xfId="0" applyFont="1" applyFill="1" applyBorder="1" applyAlignment="1" applyProtection="1">
      <alignment horizontal="right" vertical="top"/>
      <protection hidden="1"/>
    </xf>
    <xf numFmtId="0" fontId="6" fillId="0" borderId="0" xfId="0" applyFont="1" applyAlignment="1" applyProtection="1">
      <alignment vertical="top" wrapText="1"/>
      <protection hidden="1"/>
    </xf>
    <xf numFmtId="167" fontId="0" fillId="4" borderId="12" xfId="0" applyNumberFormat="1" applyFill="1" applyBorder="1" applyAlignment="1" applyProtection="1">
      <alignment vertical="center"/>
      <protection locked="0"/>
    </xf>
    <xf numFmtId="166" fontId="28" fillId="3" borderId="7" xfId="0" applyNumberFormat="1" applyFont="1" applyFill="1" applyBorder="1" applyAlignment="1" applyProtection="1">
      <alignment vertical="center" wrapText="1"/>
      <protection hidden="1"/>
    </xf>
    <xf numFmtId="166" fontId="28" fillId="3" borderId="4" xfId="0" applyNumberFormat="1" applyFont="1" applyFill="1" applyBorder="1" applyAlignment="1" applyProtection="1">
      <alignment horizontal="left" vertical="center" wrapText="1"/>
      <protection hidden="1"/>
    </xf>
    <xf numFmtId="0" fontId="0" fillId="0" borderId="46" xfId="0" applyBorder="1" applyAlignment="1" applyProtection="1">
      <alignment horizontal="left" vertical="top"/>
      <protection hidden="1"/>
    </xf>
    <xf numFmtId="0" fontId="0" fillId="3" borderId="22" xfId="0" applyFill="1" applyBorder="1" applyAlignment="1" applyProtection="1">
      <alignment horizontal="left" vertical="center" wrapText="1"/>
      <protection hidden="1"/>
    </xf>
    <xf numFmtId="16" fontId="0" fillId="0" borderId="53" xfId="0" quotePrefix="1" applyNumberFormat="1" applyBorder="1" applyAlignment="1" applyProtection="1">
      <alignment horizontal="left" vertical="top"/>
      <protection hidden="1"/>
    </xf>
    <xf numFmtId="16" fontId="0" fillId="0" borderId="51" xfId="0" quotePrefix="1" applyNumberFormat="1" applyBorder="1" applyAlignment="1" applyProtection="1">
      <alignment horizontal="center" vertical="top" wrapText="1"/>
      <protection hidden="1"/>
    </xf>
    <xf numFmtId="16" fontId="0" fillId="0" borderId="24" xfId="0" quotePrefix="1" applyNumberFormat="1" applyBorder="1" applyAlignment="1" applyProtection="1">
      <alignment horizontal="left" vertical="top"/>
      <protection hidden="1"/>
    </xf>
    <xf numFmtId="16" fontId="6" fillId="0" borderId="24" xfId="0" quotePrefix="1" applyNumberFormat="1" applyFont="1" applyBorder="1" applyAlignment="1" applyProtection="1">
      <alignment horizontal="center"/>
      <protection hidden="1"/>
    </xf>
    <xf numFmtId="0" fontId="0" fillId="0" borderId="6" xfId="2" applyFont="1" applyBorder="1" applyAlignment="1" applyProtection="1">
      <alignment vertical="top"/>
      <protection hidden="1"/>
    </xf>
    <xf numFmtId="0" fontId="0" fillId="0" borderId="6" xfId="2" applyFont="1" applyBorder="1" applyProtection="1">
      <protection hidden="1"/>
    </xf>
    <xf numFmtId="0" fontId="8" fillId="0" borderId="37" xfId="0" applyFont="1" applyBorder="1" applyAlignment="1" applyProtection="1">
      <alignment horizontal="center"/>
      <protection hidden="1"/>
    </xf>
    <xf numFmtId="0" fontId="0" fillId="0" borderId="0" xfId="0" applyAlignment="1" applyProtection="1">
      <alignment horizontal="center" vertical="top"/>
      <protection hidden="1"/>
    </xf>
    <xf numFmtId="0" fontId="8" fillId="0" borderId="3" xfId="0" applyFont="1" applyBorder="1" applyAlignment="1" applyProtection="1">
      <alignment horizontal="right" vertical="top"/>
      <protection hidden="1"/>
    </xf>
    <xf numFmtId="0" fontId="34" fillId="0" borderId="6" xfId="0" applyFont="1" applyBorder="1" applyProtection="1">
      <protection hidden="1"/>
    </xf>
    <xf numFmtId="0" fontId="27" fillId="8" borderId="0" xfId="0" applyFont="1" applyFill="1" applyAlignment="1" applyProtection="1">
      <alignment horizontal="left" vertical="center" wrapText="1"/>
      <protection hidden="1"/>
    </xf>
    <xf numFmtId="0" fontId="47" fillId="0" borderId="33" xfId="1" applyFont="1" applyBorder="1" applyAlignment="1" applyProtection="1">
      <alignment vertical="center" wrapText="1"/>
      <protection hidden="1"/>
    </xf>
    <xf numFmtId="0" fontId="0" fillId="3" borderId="58" xfId="1" applyFont="1" applyFill="1" applyBorder="1" applyAlignment="1" applyProtection="1">
      <alignment horizontal="center" vertical="center"/>
      <protection hidden="1"/>
    </xf>
    <xf numFmtId="0" fontId="0" fillId="3" borderId="2" xfId="1" applyFont="1" applyFill="1" applyBorder="1" applyAlignment="1" applyProtection="1">
      <alignment horizontal="center" vertical="center"/>
      <protection hidden="1"/>
    </xf>
    <xf numFmtId="0" fontId="0" fillId="0" borderId="23" xfId="0" applyBorder="1" applyAlignment="1" applyProtection="1">
      <alignment horizontal="right" vertical="top"/>
      <protection hidden="1"/>
    </xf>
    <xf numFmtId="0" fontId="23" fillId="0" borderId="46" xfId="0" applyFont="1" applyBorder="1" applyAlignment="1" applyProtection="1">
      <alignment horizontal="right" vertical="top"/>
      <protection hidden="1"/>
    </xf>
    <xf numFmtId="0" fontId="0" fillId="0" borderId="0" xfId="0" applyAlignment="1" applyProtection="1">
      <alignment horizontal="right" vertical="center"/>
      <protection hidden="1"/>
    </xf>
    <xf numFmtId="0" fontId="0" fillId="3" borderId="50" xfId="1" quotePrefix="1" applyFont="1" applyFill="1" applyBorder="1" applyAlignment="1" applyProtection="1">
      <alignment horizontal="left" vertical="top" wrapText="1"/>
      <protection hidden="1"/>
    </xf>
    <xf numFmtId="4" fontId="0" fillId="5" borderId="35" xfId="1" applyNumberFormat="1" applyFont="1" applyFill="1" applyBorder="1" applyAlignment="1" applyProtection="1">
      <alignment horizontal="right" vertical="top"/>
      <protection locked="0"/>
    </xf>
    <xf numFmtId="4" fontId="0" fillId="0" borderId="0" xfId="1" applyNumberFormat="1" applyFont="1" applyAlignment="1" applyProtection="1">
      <alignment horizontal="left" vertical="top"/>
      <protection hidden="1"/>
    </xf>
    <xf numFmtId="4" fontId="9" fillId="0" borderId="0" xfId="1" applyNumberFormat="1" applyFont="1" applyAlignment="1" applyProtection="1">
      <alignment horizontal="left" vertical="top" wrapText="1"/>
      <protection hidden="1"/>
    </xf>
    <xf numFmtId="4" fontId="0" fillId="5" borderId="54" xfId="1" applyNumberFormat="1" applyFont="1" applyFill="1" applyBorder="1" applyAlignment="1" applyProtection="1">
      <alignment horizontal="right" vertical="top"/>
      <protection locked="0"/>
    </xf>
    <xf numFmtId="4" fontId="0" fillId="0" borderId="50" xfId="1" applyNumberFormat="1" applyFont="1" applyBorder="1" applyAlignment="1" applyProtection="1">
      <alignment horizontal="left" vertical="top"/>
      <protection hidden="1"/>
    </xf>
    <xf numFmtId="4" fontId="9" fillId="0" borderId="50" xfId="1" applyNumberFormat="1" applyFont="1" applyBorder="1" applyAlignment="1" applyProtection="1">
      <alignment horizontal="left" vertical="top" wrapText="1"/>
      <protection hidden="1"/>
    </xf>
    <xf numFmtId="4" fontId="0" fillId="5" borderId="38" xfId="1" applyNumberFormat="1" applyFont="1" applyFill="1" applyBorder="1" applyAlignment="1" applyProtection="1">
      <alignment horizontal="right" vertical="top"/>
      <protection locked="0"/>
    </xf>
    <xf numFmtId="4" fontId="0" fillId="0" borderId="61" xfId="1" applyNumberFormat="1" applyFont="1" applyBorder="1" applyAlignment="1" applyProtection="1">
      <alignment horizontal="left" vertical="top"/>
      <protection hidden="1"/>
    </xf>
    <xf numFmtId="4" fontId="9" fillId="0" borderId="60" xfId="1" applyNumberFormat="1" applyFont="1" applyBorder="1" applyAlignment="1" applyProtection="1">
      <alignment horizontal="left" vertical="top" wrapText="1"/>
      <protection hidden="1"/>
    </xf>
    <xf numFmtId="0" fontId="0" fillId="0" borderId="22" xfId="0" applyBorder="1" applyAlignment="1" applyProtection="1">
      <alignment vertical="top"/>
      <protection hidden="1"/>
    </xf>
    <xf numFmtId="0" fontId="0" fillId="0" borderId="44" xfId="0" applyBorder="1" applyAlignment="1" applyProtection="1">
      <alignment vertical="top"/>
      <protection hidden="1"/>
    </xf>
    <xf numFmtId="0" fontId="0" fillId="0" borderId="44" xfId="0" applyBorder="1" applyAlignment="1" applyProtection="1">
      <alignment horizontal="left" vertical="top"/>
      <protection hidden="1"/>
    </xf>
    <xf numFmtId="0" fontId="0" fillId="0" borderId="58" xfId="0" quotePrefix="1" applyBorder="1" applyAlignment="1">
      <alignment vertical="top"/>
    </xf>
    <xf numFmtId="0" fontId="0" fillId="4" borderId="21" xfId="0" quotePrefix="1" applyFill="1" applyBorder="1" applyAlignment="1" applyProtection="1">
      <alignment vertical="top"/>
      <protection locked="0"/>
    </xf>
    <xf numFmtId="16" fontId="40" fillId="8" borderId="36" xfId="0" quotePrefix="1" applyNumberFormat="1" applyFont="1" applyFill="1" applyBorder="1" applyAlignment="1" applyProtection="1">
      <alignment vertical="center"/>
      <protection hidden="1"/>
    </xf>
    <xf numFmtId="16" fontId="8" fillId="0" borderId="9" xfId="0" quotePrefix="1" applyNumberFormat="1" applyFont="1" applyBorder="1" applyAlignment="1" applyProtection="1">
      <alignment vertical="top"/>
      <protection hidden="1"/>
    </xf>
    <xf numFmtId="16" fontId="8" fillId="0" borderId="10" xfId="0" quotePrefix="1" applyNumberFormat="1" applyFont="1" applyBorder="1" applyAlignment="1" applyProtection="1">
      <alignment vertical="top"/>
      <protection hidden="1"/>
    </xf>
    <xf numFmtId="0" fontId="0" fillId="0" borderId="46" xfId="0" applyBorder="1" applyAlignment="1" applyProtection="1">
      <alignment vertical="center"/>
      <protection hidden="1"/>
    </xf>
    <xf numFmtId="0" fontId="0" fillId="0" borderId="48" xfId="0" applyBorder="1" applyAlignment="1" applyProtection="1">
      <alignment vertical="top"/>
      <protection hidden="1"/>
    </xf>
    <xf numFmtId="0" fontId="8" fillId="0" borderId="45" xfId="0" applyFont="1" applyBorder="1" applyAlignment="1" applyProtection="1">
      <alignment vertical="top"/>
      <protection hidden="1"/>
    </xf>
    <xf numFmtId="0" fontId="0" fillId="0" borderId="11" xfId="0" applyBorder="1" applyAlignment="1" applyProtection="1">
      <alignment vertical="top" wrapText="1"/>
      <protection hidden="1"/>
    </xf>
    <xf numFmtId="0" fontId="8" fillId="3" borderId="9" xfId="0" applyFont="1" applyFill="1" applyBorder="1" applyAlignment="1" applyProtection="1">
      <alignment horizontal="left" vertical="top"/>
      <protection hidden="1"/>
    </xf>
    <xf numFmtId="16" fontId="8" fillId="0" borderId="24" xfId="0" quotePrefix="1" applyNumberFormat="1" applyFont="1" applyBorder="1" applyAlignment="1" applyProtection="1">
      <alignment vertical="top"/>
      <protection hidden="1"/>
    </xf>
    <xf numFmtId="16" fontId="0" fillId="0" borderId="53" xfId="0" quotePrefix="1" applyNumberFormat="1" applyBorder="1" applyAlignment="1" applyProtection="1">
      <alignment vertical="top"/>
      <protection hidden="1"/>
    </xf>
    <xf numFmtId="16" fontId="25" fillId="0" borderId="9" xfId="0" quotePrefix="1" applyNumberFormat="1" applyFont="1" applyBorder="1" applyAlignment="1" applyProtection="1">
      <alignment vertical="center"/>
      <protection hidden="1"/>
    </xf>
    <xf numFmtId="16" fontId="25" fillId="0" borderId="10" xfId="0" quotePrefix="1" applyNumberFormat="1" applyFont="1" applyBorder="1" applyAlignment="1" applyProtection="1">
      <alignment vertical="center"/>
      <protection hidden="1"/>
    </xf>
    <xf numFmtId="0" fontId="0" fillId="0" borderId="58" xfId="0" applyBorder="1" applyAlignment="1" applyProtection="1">
      <alignment vertical="top"/>
      <protection hidden="1"/>
    </xf>
    <xf numFmtId="0" fontId="6" fillId="0" borderId="50" xfId="1" applyFont="1" applyBorder="1" applyAlignment="1" applyProtection="1">
      <alignment horizontal="left" vertical="top"/>
      <protection hidden="1"/>
    </xf>
    <xf numFmtId="0" fontId="6" fillId="0" borderId="3" xfId="2" applyFont="1" applyBorder="1" applyAlignment="1" applyProtection="1">
      <alignment vertical="top"/>
      <protection hidden="1"/>
    </xf>
    <xf numFmtId="0" fontId="6" fillId="0" borderId="6" xfId="2" applyFont="1" applyBorder="1" applyAlignment="1" applyProtection="1">
      <alignment vertical="top"/>
      <protection hidden="1"/>
    </xf>
    <xf numFmtId="0" fontId="25" fillId="3" borderId="9" xfId="2" applyFont="1" applyFill="1" applyBorder="1" applyAlignment="1" applyProtection="1">
      <alignment vertical="top"/>
      <protection hidden="1"/>
    </xf>
    <xf numFmtId="0" fontId="6" fillId="0" borderId="9" xfId="2" applyFont="1" applyBorder="1" applyAlignment="1" applyProtection="1">
      <alignment vertical="top"/>
      <protection hidden="1"/>
    </xf>
    <xf numFmtId="0" fontId="9" fillId="3" borderId="9" xfId="2" applyFont="1" applyFill="1" applyBorder="1" applyAlignment="1" applyProtection="1">
      <alignment vertical="top"/>
      <protection hidden="1"/>
    </xf>
    <xf numFmtId="0" fontId="6" fillId="0" borderId="0" xfId="1" applyFont="1" applyAlignment="1" applyProtection="1">
      <alignment horizontal="left" vertical="top"/>
      <protection hidden="1"/>
    </xf>
    <xf numFmtId="0" fontId="25" fillId="0" borderId="0" xfId="2" applyFont="1" applyAlignment="1" applyProtection="1">
      <alignment horizontal="center" vertical="top"/>
      <protection hidden="1"/>
    </xf>
    <xf numFmtId="0" fontId="6" fillId="8" borderId="0" xfId="2" applyFont="1" applyFill="1" applyAlignment="1" applyProtection="1">
      <alignment vertical="top"/>
      <protection hidden="1"/>
    </xf>
    <xf numFmtId="0" fontId="6" fillId="0" borderId="6" xfId="1" applyFont="1" applyBorder="1" applyAlignment="1" applyProtection="1">
      <alignment vertical="top"/>
      <protection hidden="1"/>
    </xf>
    <xf numFmtId="0" fontId="25" fillId="3" borderId="9" xfId="1" applyFont="1" applyFill="1" applyBorder="1" applyAlignment="1" applyProtection="1">
      <alignment vertical="top"/>
      <protection hidden="1"/>
    </xf>
    <xf numFmtId="0" fontId="6" fillId="0" borderId="9" xfId="1" applyFont="1" applyBorder="1" applyAlignment="1" applyProtection="1">
      <alignment vertical="top"/>
      <protection hidden="1"/>
    </xf>
    <xf numFmtId="0" fontId="6" fillId="0" borderId="3" xfId="1" applyFont="1" applyBorder="1" applyAlignment="1" applyProtection="1">
      <alignment vertical="top"/>
      <protection hidden="1"/>
    </xf>
    <xf numFmtId="0" fontId="6" fillId="0" borderId="50" xfId="1" applyFont="1" applyBorder="1" applyAlignment="1" applyProtection="1">
      <alignment horizontal="center" vertical="top"/>
      <protection hidden="1"/>
    </xf>
    <xf numFmtId="0" fontId="6" fillId="0" borderId="0" xfId="1" applyFont="1" applyAlignment="1" applyProtection="1">
      <alignment vertical="top"/>
      <protection hidden="1"/>
    </xf>
    <xf numFmtId="0" fontId="25" fillId="0" borderId="0" xfId="1" applyFont="1" applyAlignment="1" applyProtection="1">
      <alignment horizontal="left" vertical="top"/>
      <protection hidden="1"/>
    </xf>
    <xf numFmtId="0" fontId="8" fillId="4" borderId="24" xfId="0" applyFont="1" applyFill="1" applyBorder="1" applyAlignment="1" applyProtection="1">
      <alignment horizontal="left" vertical="center"/>
      <protection locked="0"/>
    </xf>
    <xf numFmtId="10" fontId="0" fillId="0" borderId="1" xfId="0" quotePrefix="1" applyNumberFormat="1" applyBorder="1" applyAlignment="1" applyProtection="1">
      <alignment horizontal="center" vertical="top"/>
      <protection hidden="1"/>
    </xf>
    <xf numFmtId="16" fontId="25" fillId="8" borderId="66" xfId="0" quotePrefix="1" applyNumberFormat="1" applyFont="1" applyFill="1" applyBorder="1" applyAlignment="1" applyProtection="1">
      <alignment horizontal="left" vertical="center"/>
      <protection hidden="1"/>
    </xf>
    <xf numFmtId="0" fontId="7" fillId="0" borderId="0" xfId="0" applyFont="1" applyAlignment="1" applyProtection="1">
      <alignment vertical="center"/>
      <protection hidden="1"/>
    </xf>
    <xf numFmtId="167" fontId="0" fillId="4" borderId="8" xfId="0" applyNumberFormat="1" applyFill="1" applyBorder="1" applyAlignment="1" applyProtection="1">
      <alignment vertical="top"/>
      <protection locked="0"/>
    </xf>
    <xf numFmtId="16" fontId="10" fillId="3" borderId="4" xfId="0" applyNumberFormat="1" applyFont="1" applyFill="1" applyBorder="1" applyAlignment="1" applyProtection="1">
      <alignment horizontal="center" vertical="top" wrapText="1"/>
      <protection hidden="1"/>
    </xf>
    <xf numFmtId="0" fontId="40" fillId="0" borderId="0" xfId="0" applyFont="1" applyAlignment="1" applyProtection="1">
      <alignment vertical="center" wrapText="1"/>
      <protection hidden="1"/>
    </xf>
    <xf numFmtId="0" fontId="7" fillId="0" borderId="0" xfId="0" applyFont="1" applyAlignment="1" applyProtection="1">
      <alignment horizontal="left" vertical="center" wrapText="1"/>
      <protection hidden="1"/>
    </xf>
    <xf numFmtId="0" fontId="10" fillId="0" borderId="12" xfId="0" applyFont="1" applyBorder="1" applyAlignment="1" applyProtection="1">
      <alignment horizontal="center" vertical="top" wrapText="1"/>
      <protection hidden="1"/>
    </xf>
    <xf numFmtId="16" fontId="8" fillId="0" borderId="2" xfId="0" quotePrefix="1" applyNumberFormat="1" applyFont="1" applyBorder="1" applyAlignment="1" applyProtection="1">
      <alignment vertical="top"/>
      <protection hidden="1"/>
    </xf>
    <xf numFmtId="0" fontId="8" fillId="0" borderId="3" xfId="0" applyFont="1" applyBorder="1" applyAlignment="1" applyProtection="1">
      <alignment vertical="top" wrapText="1"/>
      <protection hidden="1"/>
    </xf>
    <xf numFmtId="16" fontId="0" fillId="0" borderId="58" xfId="0" quotePrefix="1" applyNumberFormat="1" applyBorder="1" applyAlignment="1" applyProtection="1">
      <alignment vertical="top"/>
      <protection hidden="1"/>
    </xf>
    <xf numFmtId="16" fontId="10" fillId="0" borderId="53" xfId="0" quotePrefix="1" applyNumberFormat="1" applyFont="1" applyBorder="1" applyAlignment="1" applyProtection="1">
      <alignment vertical="top"/>
      <protection hidden="1"/>
    </xf>
    <xf numFmtId="16" fontId="26" fillId="0" borderId="53" xfId="0" quotePrefix="1" applyNumberFormat="1" applyFont="1" applyBorder="1" applyAlignment="1" applyProtection="1">
      <alignment vertical="top"/>
      <protection hidden="1"/>
    </xf>
    <xf numFmtId="16" fontId="10" fillId="0" borderId="48" xfId="0" quotePrefix="1" applyNumberFormat="1" applyFont="1" applyBorder="1" applyAlignment="1" applyProtection="1">
      <alignment vertical="top"/>
      <protection hidden="1"/>
    </xf>
    <xf numFmtId="0" fontId="8" fillId="0" borderId="22" xfId="0" applyFont="1" applyBorder="1" applyAlignment="1" applyProtection="1">
      <alignment vertical="top" wrapText="1"/>
      <protection hidden="1"/>
    </xf>
    <xf numFmtId="4" fontId="8" fillId="0" borderId="48" xfId="0" applyNumberFormat="1" applyFont="1" applyBorder="1" applyAlignment="1" applyProtection="1">
      <alignment horizontal="center" vertical="center"/>
      <protection hidden="1"/>
    </xf>
    <xf numFmtId="0" fontId="8" fillId="0" borderId="23" xfId="0" applyFont="1" applyBorder="1" applyAlignment="1" applyProtection="1">
      <alignment vertical="top"/>
      <protection hidden="1"/>
    </xf>
    <xf numFmtId="167" fontId="0" fillId="0" borderId="50" xfId="0" applyNumberFormat="1" applyBorder="1" applyAlignment="1" applyProtection="1">
      <alignment vertical="top"/>
      <protection hidden="1"/>
    </xf>
    <xf numFmtId="0" fontId="0" fillId="0" borderId="36" xfId="0" applyBorder="1" applyAlignment="1" applyProtection="1">
      <alignment vertical="top"/>
      <protection hidden="1"/>
    </xf>
    <xf numFmtId="4" fontId="0" fillId="0" borderId="36" xfId="0" applyNumberFormat="1" applyBorder="1" applyAlignment="1" applyProtection="1">
      <alignment vertical="top"/>
      <protection hidden="1"/>
    </xf>
    <xf numFmtId="0" fontId="16" fillId="0" borderId="0" xfId="0" applyFont="1" applyAlignment="1" applyProtection="1">
      <alignment vertical="top" wrapText="1"/>
      <protection hidden="1"/>
    </xf>
    <xf numFmtId="49" fontId="0" fillId="0" borderId="0" xfId="0" applyNumberFormat="1" applyAlignment="1" applyProtection="1">
      <alignment vertical="top"/>
      <protection hidden="1"/>
    </xf>
    <xf numFmtId="49" fontId="7" fillId="0" borderId="0" xfId="0" applyNumberFormat="1" applyFont="1" applyAlignment="1" applyProtection="1">
      <alignment horizontal="center" vertical="center" wrapText="1"/>
      <protection hidden="1"/>
    </xf>
    <xf numFmtId="49" fontId="8" fillId="0" borderId="3" xfId="0" applyNumberFormat="1" applyFont="1" applyBorder="1" applyAlignment="1" applyProtection="1">
      <alignment vertical="center"/>
      <protection hidden="1"/>
    </xf>
    <xf numFmtId="49" fontId="8" fillId="0" borderId="0" xfId="0" quotePrefix="1" applyNumberFormat="1" applyFont="1" applyAlignment="1" applyProtection="1">
      <alignment vertical="top"/>
      <protection hidden="1"/>
    </xf>
    <xf numFmtId="49" fontId="10" fillId="0" borderId="8" xfId="0" applyNumberFormat="1" applyFont="1" applyBorder="1" applyAlignment="1" applyProtection="1">
      <alignment vertical="center"/>
      <protection hidden="1"/>
    </xf>
    <xf numFmtId="49" fontId="10" fillId="0" borderId="14" xfId="0" quotePrefix="1" applyNumberFormat="1" applyFont="1" applyBorder="1" applyAlignment="1" applyProtection="1">
      <alignment horizontal="left" vertical="top"/>
      <protection hidden="1"/>
    </xf>
    <xf numFmtId="49" fontId="10" fillId="0" borderId="47" xfId="0" quotePrefix="1" applyNumberFormat="1" applyFont="1" applyBorder="1" applyAlignment="1" applyProtection="1">
      <alignment horizontal="left" vertical="top"/>
      <protection hidden="1"/>
    </xf>
    <xf numFmtId="49" fontId="6" fillId="0" borderId="43" xfId="0" quotePrefix="1" applyNumberFormat="1" applyFont="1" applyBorder="1" applyAlignment="1" applyProtection="1">
      <alignment horizontal="right" vertical="top"/>
      <protection hidden="1"/>
    </xf>
    <xf numFmtId="49" fontId="6" fillId="0" borderId="9" xfId="0" quotePrefix="1" applyNumberFormat="1" applyFont="1" applyBorder="1" applyAlignment="1" applyProtection="1">
      <alignment horizontal="right" vertical="top"/>
      <protection hidden="1"/>
    </xf>
    <xf numFmtId="49" fontId="10" fillId="0" borderId="15" xfId="0" quotePrefix="1" applyNumberFormat="1" applyFont="1" applyBorder="1" applyAlignment="1" applyProtection="1">
      <alignment horizontal="left" vertical="top"/>
      <protection hidden="1"/>
    </xf>
    <xf numFmtId="49" fontId="6" fillId="0" borderId="47" xfId="0" applyNumberFormat="1" applyFont="1" applyBorder="1" applyAlignment="1" applyProtection="1">
      <alignment horizontal="right" vertical="top"/>
      <protection hidden="1"/>
    </xf>
    <xf numFmtId="49" fontId="6" fillId="0" borderId="15" xfId="0" applyNumberFormat="1" applyFont="1" applyBorder="1" applyAlignment="1" applyProtection="1">
      <alignment horizontal="right" vertical="top"/>
      <protection hidden="1"/>
    </xf>
    <xf numFmtId="49" fontId="6" fillId="0" borderId="55" xfId="0" quotePrefix="1" applyNumberFormat="1" applyFont="1" applyBorder="1" applyAlignment="1" applyProtection="1">
      <alignment horizontal="right" vertical="top"/>
      <protection hidden="1"/>
    </xf>
    <xf numFmtId="49" fontId="6" fillId="0" borderId="15" xfId="0" quotePrefix="1" applyNumberFormat="1" applyFont="1" applyBorder="1" applyAlignment="1" applyProtection="1">
      <alignment horizontal="right" vertical="top"/>
      <protection hidden="1"/>
    </xf>
    <xf numFmtId="49" fontId="10" fillId="0" borderId="9" xfId="0" applyNumberFormat="1" applyFont="1" applyBorder="1" applyAlignment="1" applyProtection="1">
      <alignment horizontal="left" vertical="top"/>
      <protection hidden="1"/>
    </xf>
    <xf numFmtId="49" fontId="10" fillId="0" borderId="49" xfId="0" applyNumberFormat="1" applyFont="1" applyBorder="1" applyAlignment="1" applyProtection="1">
      <alignment horizontal="left" vertical="top"/>
      <protection hidden="1"/>
    </xf>
    <xf numFmtId="49" fontId="6" fillId="0" borderId="15" xfId="0" applyNumberFormat="1" applyFont="1" applyBorder="1" applyAlignment="1" applyProtection="1">
      <alignment horizontal="left" vertical="top"/>
      <protection hidden="1"/>
    </xf>
    <xf numFmtId="49" fontId="6" fillId="0" borderId="47" xfId="0" quotePrefix="1" applyNumberFormat="1" applyFont="1" applyBorder="1" applyAlignment="1" applyProtection="1">
      <alignment horizontal="right" vertical="top"/>
      <protection hidden="1"/>
    </xf>
    <xf numFmtId="49" fontId="10" fillId="0" borderId="3" xfId="0" applyNumberFormat="1" applyFont="1" applyBorder="1" applyAlignment="1" applyProtection="1">
      <alignment horizontal="left" vertical="top"/>
      <protection hidden="1"/>
    </xf>
    <xf numFmtId="49" fontId="10" fillId="0" borderId="14" xfId="0" applyNumberFormat="1" applyFont="1" applyBorder="1" applyAlignment="1" applyProtection="1">
      <alignment horizontal="left" vertical="top"/>
      <protection hidden="1"/>
    </xf>
    <xf numFmtId="49" fontId="6" fillId="0" borderId="62" xfId="0" quotePrefix="1" applyNumberFormat="1" applyFont="1" applyBorder="1" applyAlignment="1" applyProtection="1">
      <alignment horizontal="right" vertical="top"/>
      <protection hidden="1"/>
    </xf>
    <xf numFmtId="49" fontId="6" fillId="0" borderId="0" xfId="0" quotePrefix="1" applyNumberFormat="1" applyFont="1" applyAlignment="1" applyProtection="1">
      <alignment horizontal="left" vertical="top"/>
      <protection hidden="1"/>
    </xf>
    <xf numFmtId="49" fontId="10" fillId="0" borderId="49" xfId="0" quotePrefix="1" applyNumberFormat="1" applyFont="1" applyBorder="1" applyAlignment="1" applyProtection="1">
      <alignment horizontal="left" vertical="top"/>
      <protection hidden="1"/>
    </xf>
    <xf numFmtId="49" fontId="6" fillId="0" borderId="12" xfId="0" quotePrefix="1" applyNumberFormat="1" applyFont="1" applyBorder="1" applyAlignment="1" applyProtection="1">
      <alignment horizontal="right" vertical="top"/>
      <protection hidden="1"/>
    </xf>
    <xf numFmtId="49" fontId="10" fillId="0" borderId="1" xfId="0" quotePrefix="1" applyNumberFormat="1" applyFont="1" applyBorder="1" applyAlignment="1" applyProtection="1">
      <alignment horizontal="left" vertical="top"/>
      <protection hidden="1"/>
    </xf>
    <xf numFmtId="49" fontId="6" fillId="0" borderId="1" xfId="0" quotePrefix="1" applyNumberFormat="1" applyFont="1" applyBorder="1" applyAlignment="1" applyProtection="1">
      <alignment horizontal="left" vertical="top"/>
      <protection hidden="1"/>
    </xf>
    <xf numFmtId="49" fontId="0" fillId="0" borderId="3" xfId="0" applyNumberFormat="1" applyBorder="1" applyAlignment="1" applyProtection="1">
      <alignment vertical="top"/>
      <protection hidden="1"/>
    </xf>
    <xf numFmtId="49" fontId="10" fillId="8" borderId="37" xfId="0" quotePrefix="1" applyNumberFormat="1" applyFont="1" applyFill="1" applyBorder="1" applyAlignment="1" applyProtection="1">
      <alignment horizontal="left" vertical="center"/>
      <protection hidden="1"/>
    </xf>
    <xf numFmtId="49" fontId="6" fillId="0" borderId="15" xfId="0" quotePrefix="1" applyNumberFormat="1" applyFont="1" applyBorder="1" applyAlignment="1" applyProtection="1">
      <alignment vertical="top"/>
      <protection hidden="1"/>
    </xf>
    <xf numFmtId="49" fontId="0" fillId="0" borderId="15" xfId="0" applyNumberFormat="1" applyBorder="1" applyAlignment="1" applyProtection="1">
      <alignment vertical="top"/>
      <protection hidden="1"/>
    </xf>
    <xf numFmtId="49" fontId="57" fillId="4" borderId="1" xfId="0" quotePrefix="1" applyNumberFormat="1" applyFont="1" applyFill="1" applyBorder="1" applyAlignment="1" applyProtection="1">
      <alignment vertical="center"/>
      <protection hidden="1"/>
    </xf>
    <xf numFmtId="49" fontId="0" fillId="0" borderId="14" xfId="0" applyNumberFormat="1" applyBorder="1" applyAlignment="1" applyProtection="1">
      <alignment vertical="top"/>
      <protection hidden="1"/>
    </xf>
    <xf numFmtId="49" fontId="0" fillId="0" borderId="9" xfId="0" applyNumberFormat="1" applyBorder="1" applyAlignment="1" applyProtection="1">
      <alignment vertical="top"/>
      <protection hidden="1"/>
    </xf>
    <xf numFmtId="0" fontId="20" fillId="0" borderId="9" xfId="0" applyFont="1" applyBorder="1" applyAlignment="1" applyProtection="1">
      <alignment vertical="top"/>
      <protection hidden="1"/>
    </xf>
    <xf numFmtId="0" fontId="20" fillId="0" borderId="0" xfId="0" applyFont="1" applyAlignment="1" applyProtection="1">
      <alignment horizontal="left" vertical="center"/>
      <protection locked="0" hidden="1"/>
    </xf>
    <xf numFmtId="0" fontId="58" fillId="0" borderId="0" xfId="0" applyFont="1" applyAlignment="1" applyProtection="1">
      <alignment vertical="top"/>
      <protection hidden="1"/>
    </xf>
    <xf numFmtId="0" fontId="59" fillId="0" borderId="0" xfId="0" applyFont="1" applyAlignment="1" applyProtection="1">
      <alignment horizontal="right" vertical="top"/>
      <protection hidden="1"/>
    </xf>
    <xf numFmtId="0" fontId="60" fillId="0" borderId="0" xfId="0" applyFont="1" applyAlignment="1" applyProtection="1">
      <alignment horizontal="right" vertical="top"/>
      <protection hidden="1"/>
    </xf>
    <xf numFmtId="0" fontId="12" fillId="0" borderId="0" xfId="0" applyFont="1" applyAlignment="1" applyProtection="1">
      <alignment horizontal="right" vertical="top"/>
      <protection hidden="1"/>
    </xf>
    <xf numFmtId="0" fontId="8" fillId="0" borderId="2" xfId="2" applyFont="1" applyBorder="1" applyAlignment="1" applyProtection="1">
      <alignment horizontal="left" vertical="top" wrapText="1"/>
      <protection hidden="1"/>
    </xf>
    <xf numFmtId="0" fontId="0" fillId="0" borderId="58" xfId="2" applyFont="1" applyBorder="1" applyAlignment="1" applyProtection="1">
      <alignment horizontal="center" vertical="center"/>
      <protection hidden="1"/>
    </xf>
    <xf numFmtId="0" fontId="61" fillId="0" borderId="0" xfId="0" applyFont="1" applyAlignment="1" applyProtection="1">
      <alignment horizontal="right" vertical="top"/>
      <protection hidden="1"/>
    </xf>
    <xf numFmtId="0" fontId="61" fillId="0" borderId="0" xfId="0" applyFont="1" applyAlignment="1" applyProtection="1">
      <alignment vertical="top"/>
      <protection hidden="1"/>
    </xf>
    <xf numFmtId="0" fontId="62" fillId="0" borderId="0" xfId="0" applyFont="1" applyAlignment="1" applyProtection="1">
      <alignment horizontal="right" vertical="top"/>
      <protection hidden="1"/>
    </xf>
    <xf numFmtId="0" fontId="63" fillId="0" borderId="0" xfId="0" applyFont="1" applyAlignment="1" applyProtection="1">
      <alignment vertical="top"/>
      <protection hidden="1"/>
    </xf>
    <xf numFmtId="0" fontId="63" fillId="0" borderId="0" xfId="0" applyFont="1" applyAlignment="1" applyProtection="1">
      <alignment vertical="center"/>
      <protection hidden="1"/>
    </xf>
    <xf numFmtId="0" fontId="63" fillId="0" borderId="0" xfId="0" applyFont="1"/>
    <xf numFmtId="0" fontId="8" fillId="12" borderId="38" xfId="1" applyFont="1" applyFill="1" applyBorder="1" applyAlignment="1" applyProtection="1">
      <alignment horizontal="center" vertical="top" wrapText="1"/>
      <protection hidden="1"/>
    </xf>
    <xf numFmtId="0" fontId="8" fillId="12" borderId="0" xfId="1" applyFont="1" applyFill="1" applyAlignment="1" applyProtection="1">
      <alignment horizontal="center" vertical="top" wrapText="1"/>
      <protection hidden="1"/>
    </xf>
    <xf numFmtId="0" fontId="8" fillId="15" borderId="38" xfId="1" applyFont="1" applyFill="1" applyBorder="1" applyAlignment="1" applyProtection="1">
      <alignment horizontal="center" vertical="top" wrapText="1"/>
      <protection hidden="1"/>
    </xf>
    <xf numFmtId="0" fontId="8" fillId="15" borderId="0" xfId="1" applyFont="1" applyFill="1" applyAlignment="1" applyProtection="1">
      <alignment horizontal="center" vertical="top" wrapText="1"/>
      <protection hidden="1"/>
    </xf>
    <xf numFmtId="0" fontId="8" fillId="16" borderId="38" xfId="1" applyFont="1" applyFill="1" applyBorder="1" applyAlignment="1" applyProtection="1">
      <alignment horizontal="center" vertical="top" wrapText="1"/>
      <protection hidden="1"/>
    </xf>
    <xf numFmtId="0" fontId="8" fillId="16" borderId="0" xfId="1" applyFont="1" applyFill="1" applyAlignment="1" applyProtection="1">
      <alignment horizontal="center" vertical="top" wrapText="1"/>
      <protection hidden="1"/>
    </xf>
    <xf numFmtId="0" fontId="64" fillId="0" borderId="11" xfId="0" applyFont="1" applyBorder="1" applyAlignment="1" applyProtection="1">
      <alignment textRotation="90"/>
      <protection hidden="1"/>
    </xf>
    <xf numFmtId="0" fontId="65" fillId="0" borderId="9" xfId="0" applyFont="1" applyBorder="1" applyAlignment="1" applyProtection="1">
      <alignment horizontal="left" vertical="center"/>
      <protection locked="0"/>
    </xf>
    <xf numFmtId="3" fontId="0" fillId="0" borderId="1" xfId="0" applyNumberFormat="1" applyBorder="1" applyAlignment="1" applyProtection="1">
      <alignment vertical="top"/>
      <protection hidden="1"/>
    </xf>
    <xf numFmtId="3" fontId="0" fillId="0" borderId="17" xfId="0" applyNumberFormat="1" applyBorder="1" applyAlignment="1" applyProtection="1">
      <alignment vertical="top"/>
      <protection hidden="1"/>
    </xf>
    <xf numFmtId="3" fontId="0" fillId="0" borderId="12" xfId="0" applyNumberFormat="1" applyBorder="1" applyAlignment="1" applyProtection="1">
      <alignment vertical="top"/>
      <protection hidden="1"/>
    </xf>
    <xf numFmtId="0" fontId="0" fillId="0" borderId="76" xfId="0" applyBorder="1" applyAlignment="1" applyProtection="1">
      <alignment vertical="top" wrapText="1"/>
      <protection hidden="1"/>
    </xf>
    <xf numFmtId="0" fontId="0" fillId="0" borderId="77" xfId="0" applyBorder="1" applyAlignment="1" applyProtection="1">
      <alignment vertical="top" wrapText="1"/>
      <protection hidden="1"/>
    </xf>
    <xf numFmtId="16" fontId="6" fillId="0" borderId="15" xfId="0" quotePrefix="1" applyNumberFormat="1" applyFont="1" applyBorder="1" applyAlignment="1" applyProtection="1">
      <alignment horizontal="right" vertical="top"/>
      <protection hidden="1"/>
    </xf>
    <xf numFmtId="0" fontId="0" fillId="0" borderId="75" xfId="0" applyBorder="1" applyAlignment="1" applyProtection="1">
      <alignment vertical="top" wrapText="1"/>
      <protection hidden="1"/>
    </xf>
    <xf numFmtId="0" fontId="0" fillId="4" borderId="53" xfId="0" applyFill="1" applyBorder="1" applyAlignment="1" applyProtection="1">
      <alignment vertical="top"/>
      <protection locked="0"/>
    </xf>
    <xf numFmtId="0" fontId="66" fillId="0" borderId="36" xfId="2" applyFont="1" applyBorder="1" applyAlignment="1" applyProtection="1">
      <alignment vertical="top" wrapText="1"/>
      <protection hidden="1"/>
    </xf>
    <xf numFmtId="0" fontId="0" fillId="0" borderId="11" xfId="2" applyFont="1" applyBorder="1" applyAlignment="1" applyProtection="1">
      <alignment horizontal="center" vertical="center"/>
      <protection hidden="1"/>
    </xf>
    <xf numFmtId="0" fontId="24" fillId="0" borderId="36" xfId="2" applyFont="1" applyBorder="1" applyAlignment="1" applyProtection="1">
      <alignment vertical="center" wrapText="1"/>
      <protection hidden="1"/>
    </xf>
    <xf numFmtId="0" fontId="24" fillId="0" borderId="33" xfId="2" applyFont="1" applyBorder="1" applyAlignment="1" applyProtection="1">
      <alignment vertical="center" wrapText="1"/>
      <protection hidden="1"/>
    </xf>
    <xf numFmtId="0" fontId="22" fillId="0" borderId="34" xfId="2" applyFont="1" applyBorder="1" applyAlignment="1" applyProtection="1">
      <alignment vertical="top" wrapText="1"/>
      <protection hidden="1"/>
    </xf>
    <xf numFmtId="2" fontId="0" fillId="0" borderId="35" xfId="2" applyNumberFormat="1" applyFont="1" applyBorder="1" applyAlignment="1" applyProtection="1">
      <alignment horizontal="center" vertical="top"/>
      <protection hidden="1"/>
    </xf>
    <xf numFmtId="4" fontId="0" fillId="0" borderId="51" xfId="2" applyNumberFormat="1" applyFont="1" applyBorder="1" applyAlignment="1" applyProtection="1">
      <alignment horizontal="center" vertical="top"/>
      <protection hidden="1"/>
    </xf>
    <xf numFmtId="0" fontId="0" fillId="0" borderId="37" xfId="2" applyFont="1" applyBorder="1" applyAlignment="1" applyProtection="1">
      <alignment vertical="top" wrapText="1"/>
      <protection hidden="1"/>
    </xf>
    <xf numFmtId="0" fontId="22" fillId="0" borderId="5" xfId="1" applyFont="1" applyBorder="1" applyAlignment="1" applyProtection="1">
      <alignment vertical="top"/>
      <protection hidden="1"/>
    </xf>
    <xf numFmtId="0" fontId="67" fillId="0" borderId="0" xfId="0" applyFont="1" applyAlignment="1" applyProtection="1">
      <alignment horizontal="center" wrapText="1"/>
      <protection hidden="1"/>
    </xf>
    <xf numFmtId="0" fontId="67" fillId="0" borderId="0" xfId="0" applyFont="1" applyProtection="1">
      <protection hidden="1"/>
    </xf>
    <xf numFmtId="0" fontId="11" fillId="0" borderId="36" xfId="2" applyFont="1" applyBorder="1" applyAlignment="1" applyProtection="1">
      <alignment vertical="center"/>
      <protection hidden="1"/>
    </xf>
    <xf numFmtId="0" fontId="22" fillId="0" borderId="5" xfId="2" applyFont="1" applyBorder="1" applyAlignment="1" applyProtection="1">
      <alignment vertical="top"/>
      <protection hidden="1"/>
    </xf>
    <xf numFmtId="0" fontId="20" fillId="0" borderId="0" xfId="0" applyFont="1" applyProtection="1">
      <protection hidden="1"/>
    </xf>
    <xf numFmtId="2" fontId="0" fillId="0" borderId="54" xfId="2" applyNumberFormat="1" applyFont="1" applyBorder="1" applyAlignment="1" applyProtection="1">
      <alignment horizontal="center" vertical="top"/>
      <protection hidden="1"/>
    </xf>
    <xf numFmtId="0" fontId="22" fillId="0" borderId="11" xfId="1" applyFont="1" applyBorder="1" applyAlignment="1" applyProtection="1">
      <alignment vertical="top" wrapText="1"/>
      <protection hidden="1"/>
    </xf>
    <xf numFmtId="0" fontId="22" fillId="0" borderId="50" xfId="1" applyFont="1" applyBorder="1" applyAlignment="1" applyProtection="1">
      <alignment horizontal="center" vertical="top" wrapText="1"/>
      <protection hidden="1"/>
    </xf>
    <xf numFmtId="2" fontId="0" fillId="0" borderId="54" xfId="1" applyNumberFormat="1" applyFont="1" applyBorder="1" applyAlignment="1" applyProtection="1">
      <alignment horizontal="center" vertical="top" wrapText="1"/>
      <protection hidden="1"/>
    </xf>
    <xf numFmtId="4" fontId="0" fillId="0" borderId="51" xfId="1" applyNumberFormat="1" applyFont="1" applyBorder="1" applyAlignment="1" applyProtection="1">
      <alignment horizontal="center" vertical="top"/>
      <protection hidden="1"/>
    </xf>
    <xf numFmtId="0" fontId="46" fillId="0" borderId="61" xfId="1" quotePrefix="1" applyFont="1" applyBorder="1" applyAlignment="1" applyProtection="1">
      <alignment vertical="top" wrapText="1"/>
      <protection hidden="1"/>
    </xf>
    <xf numFmtId="0" fontId="45" fillId="0" borderId="0" xfId="1" applyFont="1" applyAlignment="1" applyProtection="1">
      <alignment horizontal="left" vertical="top" wrapText="1"/>
      <protection hidden="1"/>
    </xf>
    <xf numFmtId="2" fontId="0" fillId="3" borderId="38" xfId="1" applyNumberFormat="1" applyFont="1" applyFill="1" applyBorder="1" applyAlignment="1" applyProtection="1">
      <alignment horizontal="center" vertical="top"/>
      <protection hidden="1"/>
    </xf>
    <xf numFmtId="0" fontId="34" fillId="0" borderId="61" xfId="1" quotePrefix="1" applyFont="1" applyBorder="1" applyAlignment="1" applyProtection="1">
      <alignment vertical="top" wrapText="1"/>
      <protection hidden="1"/>
    </xf>
    <xf numFmtId="0" fontId="8" fillId="0" borderId="21" xfId="2" applyFont="1" applyBorder="1" applyAlignment="1" applyProtection="1">
      <alignment horizontal="left" vertical="top" wrapText="1"/>
      <protection hidden="1"/>
    </xf>
    <xf numFmtId="4" fontId="0" fillId="3" borderId="51" xfId="2" quotePrefix="1" applyNumberFormat="1" applyFont="1" applyFill="1" applyBorder="1" applyAlignment="1" applyProtection="1">
      <alignment horizontal="center" vertical="top"/>
      <protection hidden="1"/>
    </xf>
    <xf numFmtId="0" fontId="61" fillId="0" borderId="0" xfId="0" quotePrefix="1" applyFont="1" applyAlignment="1" applyProtection="1">
      <alignment horizontal="right" vertical="top"/>
      <protection hidden="1"/>
    </xf>
    <xf numFmtId="0" fontId="0" fillId="0" borderId="0" xfId="1" quotePrefix="1" applyFont="1" applyProtection="1">
      <protection hidden="1"/>
    </xf>
    <xf numFmtId="0" fontId="61" fillId="0" borderId="0" xfId="1" applyFont="1" applyProtection="1">
      <protection hidden="1"/>
    </xf>
    <xf numFmtId="0" fontId="22" fillId="0" borderId="14" xfId="1" applyFont="1" applyBorder="1" applyAlignment="1" applyProtection="1">
      <alignment vertical="top"/>
      <protection hidden="1"/>
    </xf>
    <xf numFmtId="0" fontId="0" fillId="0" borderId="0" xfId="0" applyAlignment="1" applyProtection="1">
      <alignment horizontal="left" vertical="center"/>
      <protection locked="0" hidden="1"/>
    </xf>
    <xf numFmtId="0" fontId="20" fillId="0" borderId="0" xfId="0" applyFont="1" applyAlignment="1" applyProtection="1">
      <alignment vertical="center"/>
      <protection locked="0" hidden="1"/>
    </xf>
    <xf numFmtId="0" fontId="20" fillId="0" borderId="0" xfId="0" applyFont="1" applyProtection="1">
      <protection locked="0" hidden="1"/>
    </xf>
    <xf numFmtId="4" fontId="0" fillId="0" borderId="0" xfId="0" applyNumberFormat="1" applyAlignment="1" applyProtection="1">
      <alignment vertical="top" wrapText="1"/>
      <protection locked="0" hidden="1"/>
    </xf>
    <xf numFmtId="4" fontId="0" fillId="0" borderId="0" xfId="0" applyNumberFormat="1" applyAlignment="1" applyProtection="1">
      <alignment vertical="center" wrapText="1"/>
      <protection locked="0" hidden="1"/>
    </xf>
    <xf numFmtId="0" fontId="21" fillId="0" borderId="0" xfId="0" applyFont="1" applyProtection="1">
      <protection locked="0" hidden="1"/>
    </xf>
    <xf numFmtId="0" fontId="20" fillId="0" borderId="0" xfId="0" applyFont="1" applyAlignment="1" applyProtection="1">
      <alignment vertical="top" wrapText="1"/>
      <protection locked="0" hidden="1"/>
    </xf>
    <xf numFmtId="0" fontId="43" fillId="0" borderId="53" xfId="0" applyFont="1" applyBorder="1" applyAlignment="1" applyProtection="1">
      <alignment vertical="center"/>
      <protection locked="0" hidden="1"/>
    </xf>
    <xf numFmtId="0" fontId="20" fillId="0" borderId="36" xfId="0" applyFont="1" applyBorder="1" applyAlignment="1" applyProtection="1">
      <alignment vertical="center"/>
      <protection locked="0" hidden="1"/>
    </xf>
    <xf numFmtId="0" fontId="20" fillId="0" borderId="61" xfId="0" applyFont="1" applyBorder="1" applyAlignment="1" applyProtection="1">
      <alignment vertical="center"/>
      <protection locked="0" hidden="1"/>
    </xf>
    <xf numFmtId="0" fontId="6" fillId="0" borderId="3" xfId="0" applyFont="1" applyBorder="1" applyAlignment="1" applyProtection="1">
      <alignment vertical="top"/>
      <protection hidden="1"/>
    </xf>
    <xf numFmtId="49" fontId="6" fillId="0" borderId="80" xfId="0" applyNumberFormat="1" applyFont="1" applyBorder="1" applyAlignment="1" applyProtection="1">
      <alignment vertical="center"/>
      <protection hidden="1"/>
    </xf>
    <xf numFmtId="0" fontId="0" fillId="0" borderId="45" xfId="0" applyBorder="1" applyAlignment="1" applyProtection="1">
      <alignment horizontal="center" vertical="center"/>
      <protection hidden="1"/>
    </xf>
    <xf numFmtId="16" fontId="0" fillId="0" borderId="23" xfId="0" quotePrefix="1" applyNumberFormat="1" applyBorder="1" applyAlignment="1" applyProtection="1">
      <alignment horizontal="left" vertical="top"/>
      <protection hidden="1"/>
    </xf>
    <xf numFmtId="0" fontId="0" fillId="3" borderId="0" xfId="0" applyFill="1" applyAlignment="1">
      <alignment vertical="center"/>
    </xf>
    <xf numFmtId="0" fontId="8" fillId="0" borderId="8" xfId="0" applyFont="1" applyBorder="1"/>
    <xf numFmtId="0" fontId="6" fillId="0" borderId="2" xfId="0" applyFont="1" applyBorder="1" applyAlignment="1">
      <alignment vertical="center"/>
    </xf>
    <xf numFmtId="0" fontId="0" fillId="0" borderId="4" xfId="0" applyBorder="1"/>
    <xf numFmtId="0" fontId="6" fillId="0" borderId="21" xfId="0" applyFont="1" applyBorder="1" applyAlignment="1">
      <alignment vertical="center"/>
    </xf>
    <xf numFmtId="0" fontId="0" fillId="0" borderId="48" xfId="0" applyBorder="1"/>
    <xf numFmtId="0" fontId="40" fillId="3" borderId="0" xfId="0" applyFont="1" applyFill="1" applyAlignment="1">
      <alignment vertical="center"/>
    </xf>
    <xf numFmtId="0" fontId="0" fillId="3" borderId="0" xfId="0" applyFill="1"/>
    <xf numFmtId="0" fontId="34" fillId="0" borderId="36" xfId="1" quotePrefix="1" applyFont="1" applyBorder="1" applyAlignment="1" applyProtection="1">
      <alignment vertical="top" wrapText="1"/>
      <protection hidden="1"/>
    </xf>
    <xf numFmtId="0" fontId="41" fillId="0" borderId="37" xfId="1" quotePrefix="1" applyFont="1" applyBorder="1" applyAlignment="1" applyProtection="1">
      <alignment vertical="top" wrapText="1"/>
      <protection hidden="1"/>
    </xf>
    <xf numFmtId="4" fontId="71" fillId="0" borderId="1" xfId="0" applyNumberFormat="1" applyFont="1" applyBorder="1" applyAlignment="1" applyProtection="1">
      <alignment vertical="top"/>
      <protection locked="0"/>
    </xf>
    <xf numFmtId="4" fontId="71" fillId="0" borderId="1" xfId="0" applyNumberFormat="1" applyFont="1" applyBorder="1" applyAlignment="1" applyProtection="1">
      <alignment horizontal="right" vertical="top"/>
      <protection locked="0"/>
    </xf>
    <xf numFmtId="9" fontId="0" fillId="0" borderId="0" xfId="1" applyNumberFormat="1" applyFont="1" applyProtection="1">
      <protection hidden="1"/>
    </xf>
    <xf numFmtId="10" fontId="0" fillId="0" borderId="0" xfId="1" applyNumberFormat="1" applyFont="1" applyProtection="1">
      <protection hidden="1"/>
    </xf>
    <xf numFmtId="0" fontId="0" fillId="0" borderId="0" xfId="1" applyFont="1" applyAlignment="1" applyProtection="1">
      <alignment horizontal="right"/>
      <protection hidden="1"/>
    </xf>
    <xf numFmtId="0" fontId="0" fillId="0" borderId="0" xfId="1" applyFont="1" applyAlignment="1" applyProtection="1">
      <alignment horizontal="right" wrapText="1"/>
      <protection hidden="1"/>
    </xf>
    <xf numFmtId="10" fontId="0" fillId="0" borderId="0" xfId="1" applyNumberFormat="1" applyFont="1" applyAlignment="1" applyProtection="1">
      <alignment vertical="top"/>
      <protection hidden="1"/>
    </xf>
    <xf numFmtId="0" fontId="0" fillId="0" borderId="0" xfId="1" applyFont="1" applyAlignment="1" applyProtection="1">
      <alignment horizontal="left" vertical="top"/>
      <protection hidden="1"/>
    </xf>
    <xf numFmtId="0" fontId="8" fillId="0" borderId="8" xfId="1" applyFont="1" applyBorder="1" applyAlignment="1" applyProtection="1">
      <alignment horizontal="left" vertical="top" wrapText="1"/>
      <protection hidden="1"/>
    </xf>
    <xf numFmtId="0" fontId="40" fillId="0" borderId="6" xfId="1" applyFont="1" applyBorder="1" applyAlignment="1" applyProtection="1">
      <alignment horizontal="left" vertical="top" wrapText="1"/>
      <protection hidden="1"/>
    </xf>
    <xf numFmtId="0" fontId="40" fillId="0" borderId="0" xfId="1" applyFont="1" applyAlignment="1" applyProtection="1">
      <alignment horizontal="left" vertical="top" wrapText="1"/>
      <protection hidden="1"/>
    </xf>
    <xf numFmtId="0" fontId="40" fillId="0" borderId="58" xfId="1" applyFont="1" applyBorder="1" applyAlignment="1" applyProtection="1">
      <alignment horizontal="left" vertical="top" wrapText="1"/>
      <protection hidden="1"/>
    </xf>
    <xf numFmtId="0" fontId="38" fillId="0" borderId="0" xfId="2" applyFont="1" applyAlignment="1" applyProtection="1">
      <alignment vertical="top"/>
      <protection hidden="1"/>
    </xf>
    <xf numFmtId="167" fontId="6" fillId="0" borderId="0" xfId="0" applyNumberFormat="1" applyFont="1" applyAlignment="1" applyProtection="1">
      <alignment vertical="top"/>
      <protection hidden="1"/>
    </xf>
    <xf numFmtId="0" fontId="0" fillId="3" borderId="2" xfId="1" applyFont="1" applyFill="1" applyBorder="1" applyAlignment="1" applyProtection="1">
      <alignment horizontal="center" vertical="top"/>
      <protection hidden="1"/>
    </xf>
    <xf numFmtId="0" fontId="47" fillId="0" borderId="33" xfId="1" applyFont="1" applyBorder="1" applyAlignment="1" applyProtection="1">
      <alignment vertical="top" wrapText="1"/>
      <protection hidden="1"/>
    </xf>
    <xf numFmtId="2" fontId="0" fillId="3" borderId="35" xfId="1" applyNumberFormat="1" applyFont="1" applyFill="1" applyBorder="1" applyAlignment="1" applyProtection="1">
      <alignment horizontal="center" vertical="top" wrapText="1"/>
      <protection hidden="1"/>
    </xf>
    <xf numFmtId="0" fontId="9" fillId="0" borderId="38" xfId="1" applyFont="1" applyBorder="1" applyAlignment="1" applyProtection="1">
      <alignment vertical="top"/>
      <protection hidden="1"/>
    </xf>
    <xf numFmtId="0" fontId="9" fillId="0" borderId="13" xfId="1" applyFont="1" applyBorder="1" applyAlignment="1" applyProtection="1">
      <alignment vertical="top"/>
      <protection hidden="1"/>
    </xf>
    <xf numFmtId="0" fontId="0" fillId="3" borderId="58" xfId="1" applyFont="1" applyFill="1" applyBorder="1" applyAlignment="1" applyProtection="1">
      <alignment horizontal="center" vertical="top"/>
      <protection hidden="1"/>
    </xf>
    <xf numFmtId="0" fontId="47" fillId="0" borderId="52" xfId="1" applyFont="1" applyBorder="1" applyAlignment="1" applyProtection="1">
      <alignment vertical="top" wrapText="1"/>
      <protection hidden="1"/>
    </xf>
    <xf numFmtId="2" fontId="0" fillId="3" borderId="54" xfId="1" applyNumberFormat="1" applyFont="1" applyFill="1" applyBorder="1" applyAlignment="1" applyProtection="1">
      <alignment horizontal="center" vertical="top" wrapText="1"/>
      <protection hidden="1"/>
    </xf>
    <xf numFmtId="4" fontId="0" fillId="3" borderId="63" xfId="1" applyNumberFormat="1" applyFont="1" applyFill="1" applyBorder="1" applyAlignment="1" applyProtection="1">
      <alignment horizontal="center" vertical="top"/>
      <protection hidden="1"/>
    </xf>
    <xf numFmtId="0" fontId="9" fillId="0" borderId="72" xfId="1" applyFont="1" applyBorder="1" applyAlignment="1" applyProtection="1">
      <alignment vertical="top"/>
      <protection hidden="1"/>
    </xf>
    <xf numFmtId="0" fontId="9" fillId="0" borderId="57" xfId="1" applyFont="1" applyBorder="1" applyAlignment="1" applyProtection="1">
      <alignment vertical="top"/>
      <protection hidden="1"/>
    </xf>
    <xf numFmtId="0" fontId="0" fillId="0" borderId="58" xfId="1" applyFont="1" applyBorder="1" applyAlignment="1" applyProtection="1">
      <alignment horizontal="center" vertical="top"/>
      <protection hidden="1"/>
    </xf>
    <xf numFmtId="0" fontId="45" fillId="0" borderId="52" xfId="1" applyFont="1" applyBorder="1" applyAlignment="1" applyProtection="1">
      <alignment vertical="top" wrapText="1"/>
      <protection hidden="1"/>
    </xf>
    <xf numFmtId="0" fontId="9" fillId="0" borderId="72" xfId="1" applyFont="1" applyBorder="1" applyAlignment="1" applyProtection="1">
      <alignment vertical="top" wrapText="1"/>
      <protection hidden="1"/>
    </xf>
    <xf numFmtId="0" fontId="9" fillId="0" borderId="57" xfId="1" applyFont="1" applyBorder="1" applyAlignment="1" applyProtection="1">
      <alignment vertical="top" wrapText="1"/>
      <protection hidden="1"/>
    </xf>
    <xf numFmtId="2" fontId="23" fillId="0" borderId="72" xfId="1" applyNumberFormat="1" applyFont="1" applyBorder="1" applyAlignment="1" applyProtection="1">
      <alignment horizontal="center" vertical="top" wrapText="1"/>
      <protection hidden="1"/>
    </xf>
    <xf numFmtId="4" fontId="23" fillId="0" borderId="57" xfId="1" applyNumberFormat="1" applyFont="1" applyBorder="1" applyAlignment="1" applyProtection="1">
      <alignment horizontal="center" vertical="top"/>
      <protection hidden="1"/>
    </xf>
    <xf numFmtId="0" fontId="47" fillId="0" borderId="36" xfId="1" applyFont="1" applyBorder="1" applyAlignment="1" applyProtection="1">
      <alignment vertical="top" wrapText="1"/>
      <protection hidden="1"/>
    </xf>
    <xf numFmtId="0" fontId="23" fillId="0" borderId="52" xfId="1" applyFont="1" applyBorder="1" applyAlignment="1" applyProtection="1">
      <alignment vertical="top" wrapText="1"/>
      <protection hidden="1"/>
    </xf>
    <xf numFmtId="0" fontId="0" fillId="3" borderId="11" xfId="1" applyFont="1" applyFill="1" applyBorder="1" applyAlignment="1" applyProtection="1">
      <alignment horizontal="center" vertical="top"/>
      <protection hidden="1"/>
    </xf>
    <xf numFmtId="0" fontId="0" fillId="3" borderId="58" xfId="2" applyFont="1" applyFill="1" applyBorder="1" applyAlignment="1" applyProtection="1">
      <alignment horizontal="center" vertical="top"/>
      <protection hidden="1"/>
    </xf>
    <xf numFmtId="0" fontId="47" fillId="0" borderId="33" xfId="2" applyFont="1" applyBorder="1" applyAlignment="1" applyProtection="1">
      <alignment vertical="top" wrapText="1"/>
      <protection hidden="1"/>
    </xf>
    <xf numFmtId="0" fontId="9" fillId="0" borderId="38" xfId="2" applyFont="1" applyBorder="1" applyAlignment="1" applyProtection="1">
      <alignment vertical="top"/>
      <protection hidden="1"/>
    </xf>
    <xf numFmtId="0" fontId="9" fillId="0" borderId="13" xfId="2" applyFont="1" applyBorder="1" applyAlignment="1" applyProtection="1">
      <alignment vertical="top"/>
      <protection hidden="1"/>
    </xf>
    <xf numFmtId="0" fontId="9" fillId="0" borderId="72" xfId="2" applyFont="1" applyBorder="1" applyAlignment="1" applyProtection="1">
      <alignment vertical="top"/>
      <protection hidden="1"/>
    </xf>
    <xf numFmtId="0" fontId="9" fillId="0" borderId="57" xfId="2" applyFont="1" applyBorder="1" applyAlignment="1" applyProtection="1">
      <alignment vertical="top"/>
      <protection hidden="1"/>
    </xf>
    <xf numFmtId="0" fontId="47" fillId="0" borderId="52" xfId="2" applyFont="1" applyBorder="1" applyAlignment="1" applyProtection="1">
      <alignment vertical="top" wrapText="1"/>
      <protection hidden="1"/>
    </xf>
    <xf numFmtId="0" fontId="0" fillId="0" borderId="58" xfId="2" applyFont="1" applyBorder="1" applyAlignment="1" applyProtection="1">
      <alignment horizontal="center" vertical="top"/>
      <protection hidden="1"/>
    </xf>
    <xf numFmtId="0" fontId="24" fillId="0" borderId="52" xfId="2" applyFont="1" applyBorder="1" applyAlignment="1" applyProtection="1">
      <alignment vertical="top" wrapText="1"/>
      <protection hidden="1"/>
    </xf>
    <xf numFmtId="0" fontId="0" fillId="3" borderId="11" xfId="2" applyFont="1" applyFill="1" applyBorder="1" applyAlignment="1" applyProtection="1">
      <alignment horizontal="center" vertical="top"/>
      <protection hidden="1"/>
    </xf>
    <xf numFmtId="0" fontId="47" fillId="0" borderId="36" xfId="2" applyFont="1" applyBorder="1" applyAlignment="1" applyProtection="1">
      <alignment vertical="top" wrapText="1"/>
      <protection hidden="1"/>
    </xf>
    <xf numFmtId="0" fontId="24" fillId="0" borderId="33" xfId="2" applyFont="1" applyBorder="1" applyAlignment="1" applyProtection="1">
      <alignment vertical="top" wrapText="1"/>
      <protection hidden="1"/>
    </xf>
    <xf numFmtId="0" fontId="0" fillId="3" borderId="78" xfId="2" applyFont="1" applyFill="1" applyBorder="1" applyAlignment="1" applyProtection="1">
      <alignment horizontal="center" vertical="top"/>
      <protection hidden="1"/>
    </xf>
    <xf numFmtId="0" fontId="6" fillId="3" borderId="2" xfId="1" applyFont="1" applyFill="1" applyBorder="1" applyAlignment="1" applyProtection="1">
      <alignment horizontal="center" vertical="top"/>
      <protection hidden="1"/>
    </xf>
    <xf numFmtId="0" fontId="24" fillId="0" borderId="33" xfId="1" applyFont="1" applyBorder="1" applyAlignment="1" applyProtection="1">
      <alignment vertical="top"/>
      <protection hidden="1"/>
    </xf>
    <xf numFmtId="0" fontId="0" fillId="0" borderId="3" xfId="1" applyFont="1" applyBorder="1" applyAlignment="1" applyProtection="1">
      <alignment vertical="top"/>
      <protection locked="0"/>
    </xf>
    <xf numFmtId="0" fontId="6" fillId="3" borderId="58" xfId="1" applyFont="1" applyFill="1" applyBorder="1" applyAlignment="1" applyProtection="1">
      <alignment horizontal="center" vertical="top"/>
      <protection hidden="1"/>
    </xf>
    <xf numFmtId="0" fontId="24" fillId="0" borderId="52" xfId="1" applyFont="1" applyBorder="1" applyAlignment="1" applyProtection="1">
      <alignment vertical="top"/>
      <protection hidden="1"/>
    </xf>
    <xf numFmtId="0" fontId="0" fillId="0" borderId="53" xfId="1" applyFont="1" applyBorder="1" applyAlignment="1" applyProtection="1">
      <alignment vertical="top"/>
      <protection locked="0"/>
    </xf>
    <xf numFmtId="0" fontId="6" fillId="3" borderId="11" xfId="1" applyFont="1" applyFill="1" applyBorder="1" applyAlignment="1" applyProtection="1">
      <alignment horizontal="center" vertical="top"/>
      <protection hidden="1"/>
    </xf>
    <xf numFmtId="0" fontId="24" fillId="0" borderId="36" xfId="1" applyFont="1" applyBorder="1" applyAlignment="1" applyProtection="1">
      <alignment vertical="top"/>
      <protection hidden="1"/>
    </xf>
    <xf numFmtId="0" fontId="0" fillId="0" borderId="0" xfId="1" applyFont="1" applyAlignment="1" applyProtection="1">
      <alignment vertical="top"/>
      <protection locked="0"/>
    </xf>
    <xf numFmtId="0" fontId="6" fillId="3" borderId="58" xfId="1" quotePrefix="1" applyFont="1" applyFill="1" applyBorder="1" applyAlignment="1" applyProtection="1">
      <alignment horizontal="center" vertical="top"/>
      <protection hidden="1"/>
    </xf>
    <xf numFmtId="0" fontId="6" fillId="3" borderId="11" xfId="1" quotePrefix="1" applyFont="1" applyFill="1" applyBorder="1" applyAlignment="1" applyProtection="1">
      <alignment horizontal="center" vertical="top"/>
      <protection hidden="1"/>
    </xf>
    <xf numFmtId="0" fontId="22" fillId="4" borderId="53" xfId="1" applyFont="1" applyFill="1" applyBorder="1" applyAlignment="1" applyProtection="1">
      <alignment vertical="top" wrapText="1"/>
      <protection locked="0"/>
    </xf>
    <xf numFmtId="0" fontId="0" fillId="3" borderId="3" xfId="1" applyFont="1" applyFill="1" applyBorder="1" applyAlignment="1" applyProtection="1">
      <alignment vertical="top" wrapText="1"/>
      <protection locked="0"/>
    </xf>
    <xf numFmtId="0" fontId="0" fillId="3" borderId="0" xfId="1" applyFont="1" applyFill="1" applyAlignment="1" applyProtection="1">
      <alignment vertical="top" wrapText="1"/>
      <protection locked="0"/>
    </xf>
    <xf numFmtId="0" fontId="36" fillId="0" borderId="53" xfId="1" quotePrefix="1" applyFont="1" applyBorder="1" applyAlignment="1" applyProtection="1">
      <alignment horizontal="center" vertical="top"/>
      <protection hidden="1"/>
    </xf>
    <xf numFmtId="0" fontId="0" fillId="3" borderId="53" xfId="1" applyFont="1" applyFill="1" applyBorder="1" applyAlignment="1" applyProtection="1">
      <alignment vertical="top"/>
      <protection hidden="1"/>
    </xf>
    <xf numFmtId="0" fontId="0" fillId="3" borderId="3" xfId="1" applyFont="1" applyFill="1" applyBorder="1" applyAlignment="1" applyProtection="1">
      <alignment vertical="top"/>
      <protection hidden="1"/>
    </xf>
    <xf numFmtId="0" fontId="0" fillId="0" borderId="53" xfId="1" applyFont="1" applyBorder="1" applyAlignment="1" applyProtection="1">
      <alignment vertical="top"/>
      <protection hidden="1"/>
    </xf>
    <xf numFmtId="0" fontId="0" fillId="4" borderId="53" xfId="1" applyFont="1" applyFill="1" applyBorder="1" applyAlignment="1" applyProtection="1">
      <alignment vertical="top" wrapText="1"/>
      <protection locked="0"/>
    </xf>
    <xf numFmtId="0" fontId="6" fillId="3" borderId="58" xfId="2" applyFont="1" applyFill="1" applyBorder="1" applyAlignment="1" applyProtection="1">
      <alignment horizontal="center" vertical="top"/>
      <protection hidden="1"/>
    </xf>
    <xf numFmtId="0" fontId="11" fillId="0" borderId="50" xfId="2" applyFont="1" applyBorder="1" applyAlignment="1" applyProtection="1">
      <alignment horizontal="right" vertical="top"/>
      <protection hidden="1"/>
    </xf>
    <xf numFmtId="0" fontId="6" fillId="3" borderId="58" xfId="2" quotePrefix="1" applyFont="1" applyFill="1" applyBorder="1" applyAlignment="1" applyProtection="1">
      <alignment horizontal="center" vertical="top"/>
      <protection hidden="1"/>
    </xf>
    <xf numFmtId="0" fontId="6" fillId="3" borderId="11" xfId="2" applyFont="1" applyFill="1" applyBorder="1" applyAlignment="1" applyProtection="1">
      <alignment horizontal="center" vertical="top"/>
      <protection hidden="1"/>
    </xf>
    <xf numFmtId="0" fontId="11" fillId="0" borderId="0" xfId="2" applyFont="1" applyAlignment="1" applyProtection="1">
      <alignment horizontal="right" vertical="top"/>
      <protection hidden="1"/>
    </xf>
    <xf numFmtId="16" fontId="6" fillId="3" borderId="58" xfId="2" quotePrefix="1" applyNumberFormat="1" applyFont="1" applyFill="1" applyBorder="1" applyAlignment="1" applyProtection="1">
      <alignment horizontal="center" vertical="top"/>
      <protection hidden="1"/>
    </xf>
    <xf numFmtId="0" fontId="0" fillId="3" borderId="0" xfId="1" applyFont="1" applyFill="1" applyAlignment="1" applyProtection="1">
      <alignment vertical="top" wrapText="1"/>
      <protection hidden="1"/>
    </xf>
    <xf numFmtId="0" fontId="0" fillId="3" borderId="53" xfId="1" applyFont="1" applyFill="1" applyBorder="1" applyAlignment="1" applyProtection="1">
      <alignment vertical="top" wrapText="1"/>
      <protection hidden="1"/>
    </xf>
    <xf numFmtId="44" fontId="0" fillId="0" borderId="0" xfId="10" applyFont="1"/>
    <xf numFmtId="0" fontId="0" fillId="0" borderId="0" xfId="0" quotePrefix="1"/>
    <xf numFmtId="167" fontId="0" fillId="0" borderId="0" xfId="0" applyNumberFormat="1"/>
    <xf numFmtId="166" fontId="0" fillId="0" borderId="0" xfId="0" applyNumberFormat="1"/>
    <xf numFmtId="0" fontId="8" fillId="0" borderId="0" xfId="0" applyFont="1"/>
    <xf numFmtId="167" fontId="8" fillId="0" borderId="0" xfId="0" applyNumberFormat="1" applyFont="1"/>
    <xf numFmtId="16" fontId="0" fillId="0" borderId="0" xfId="0" applyNumberFormat="1"/>
    <xf numFmtId="0" fontId="0" fillId="17" borderId="81" xfId="0" applyFill="1" applyBorder="1"/>
    <xf numFmtId="0" fontId="0" fillId="17" borderId="82" xfId="0" applyFill="1" applyBorder="1"/>
    <xf numFmtId="167" fontId="0" fillId="17" borderId="82" xfId="0" applyNumberFormat="1" applyFill="1" applyBorder="1"/>
    <xf numFmtId="0" fontId="72" fillId="0" borderId="0" xfId="0" applyFont="1"/>
    <xf numFmtId="167" fontId="72" fillId="0" borderId="0" xfId="0" applyNumberFormat="1" applyFont="1"/>
    <xf numFmtId="0" fontId="38" fillId="0" borderId="0" xfId="2" applyFont="1" applyAlignment="1" applyProtection="1">
      <alignment vertical="top"/>
      <protection hidden="1"/>
    </xf>
    <xf numFmtId="0" fontId="8" fillId="0" borderId="8" xfId="2" applyFont="1" applyFill="1" applyBorder="1" applyAlignment="1" applyProtection="1">
      <alignment horizontal="left" vertical="top" wrapText="1"/>
      <protection hidden="1"/>
    </xf>
    <xf numFmtId="0" fontId="8" fillId="0" borderId="11" xfId="2" applyFont="1" applyBorder="1" applyAlignment="1" applyProtection="1">
      <alignment horizontal="left" vertical="top" wrapText="1"/>
      <protection hidden="1"/>
    </xf>
    <xf numFmtId="0" fontId="8" fillId="0" borderId="56" xfId="2" applyFont="1" applyBorder="1" applyAlignment="1" applyProtection="1">
      <alignment horizontal="left" vertical="top" wrapText="1"/>
      <protection hidden="1"/>
    </xf>
    <xf numFmtId="0" fontId="22" fillId="0" borderId="0" xfId="2" applyFont="1" applyBorder="1" applyAlignment="1" applyProtection="1">
      <alignment horizontal="center" vertical="top"/>
      <protection hidden="1"/>
    </xf>
    <xf numFmtId="0" fontId="38" fillId="0" borderId="0" xfId="2" applyFont="1" applyBorder="1" applyAlignment="1" applyProtection="1">
      <alignment vertical="top" wrapText="1"/>
      <protection hidden="1"/>
    </xf>
    <xf numFmtId="0" fontId="22" fillId="0" borderId="0" xfId="2" applyFont="1" applyBorder="1" applyAlignment="1" applyProtection="1">
      <alignment vertical="top"/>
      <protection hidden="1"/>
    </xf>
    <xf numFmtId="0" fontId="6" fillId="0" borderId="0" xfId="1" applyFont="1" applyBorder="1" applyAlignment="1" applyProtection="1">
      <alignment horizontal="left" vertical="top"/>
      <protection hidden="1"/>
    </xf>
    <xf numFmtId="0" fontId="36" fillId="0" borderId="0" xfId="1" quotePrefix="1" applyFont="1" applyBorder="1" applyAlignment="1" applyProtection="1">
      <alignment horizontal="center" vertical="top"/>
      <protection hidden="1"/>
    </xf>
    <xf numFmtId="0" fontId="23" fillId="3" borderId="0" xfId="1" applyFont="1" applyFill="1" applyBorder="1" applyAlignment="1" applyProtection="1">
      <alignment vertical="top" wrapText="1"/>
      <protection hidden="1"/>
    </xf>
    <xf numFmtId="0" fontId="11" fillId="0" borderId="0" xfId="2" applyFont="1" applyBorder="1" applyAlignment="1" applyProtection="1">
      <alignment horizontal="right" vertical="top"/>
      <protection hidden="1"/>
    </xf>
    <xf numFmtId="0" fontId="22" fillId="0" borderId="11" xfId="2" applyFont="1" applyBorder="1" applyAlignment="1" applyProtection="1">
      <alignment vertical="top"/>
      <protection hidden="1"/>
    </xf>
    <xf numFmtId="0" fontId="33" fillId="4" borderId="45" xfId="2" applyFont="1" applyFill="1" applyBorder="1" applyAlignment="1" applyProtection="1">
      <alignment vertical="top"/>
      <protection hidden="1"/>
    </xf>
    <xf numFmtId="0" fontId="36" fillId="0" borderId="45" xfId="1" quotePrefix="1" applyFont="1" applyBorder="1" applyAlignment="1" applyProtection="1">
      <alignment horizontal="center" vertical="top"/>
      <protection hidden="1"/>
    </xf>
    <xf numFmtId="0" fontId="0" fillId="4" borderId="45" xfId="2" applyFont="1" applyFill="1" applyBorder="1" applyAlignment="1" applyProtection="1">
      <alignment vertical="top"/>
      <protection hidden="1"/>
    </xf>
    <xf numFmtId="0" fontId="38" fillId="0" borderId="53" xfId="2" applyFont="1" applyBorder="1" applyAlignment="1" applyProtection="1">
      <alignment vertical="top"/>
      <protection hidden="1"/>
    </xf>
    <xf numFmtId="0" fontId="38" fillId="0" borderId="45" xfId="2" applyFont="1" applyBorder="1" applyAlignment="1" applyProtection="1">
      <alignment vertical="top"/>
      <protection hidden="1"/>
    </xf>
    <xf numFmtId="0" fontId="0" fillId="4" borderId="50" xfId="2" applyFont="1" applyFill="1" applyBorder="1" applyAlignment="1" applyProtection="1">
      <alignment vertical="top"/>
      <protection hidden="1"/>
    </xf>
    <xf numFmtId="0" fontId="22" fillId="0" borderId="59" xfId="2" applyFont="1" applyBorder="1" applyAlignment="1" applyProtection="1">
      <alignment vertical="top" wrapText="1"/>
      <protection hidden="1"/>
    </xf>
    <xf numFmtId="2" fontId="38" fillId="0" borderId="38" xfId="2" applyNumberFormat="1" applyFont="1" applyBorder="1" applyAlignment="1" applyProtection="1">
      <alignment horizontal="center" vertical="top" wrapText="1"/>
      <protection hidden="1"/>
    </xf>
    <xf numFmtId="0" fontId="41" fillId="0" borderId="0" xfId="0" applyFont="1" applyAlignment="1" applyProtection="1">
      <alignment vertical="top"/>
      <protection locked="0" hidden="1"/>
    </xf>
    <xf numFmtId="0" fontId="41" fillId="0" borderId="0" xfId="0" applyFont="1" applyAlignment="1" applyProtection="1">
      <protection locked="0" hidden="1"/>
    </xf>
    <xf numFmtId="0" fontId="23" fillId="0" borderId="0" xfId="2" applyFont="1" applyAlignment="1" applyProtection="1">
      <alignment vertical="top"/>
      <protection hidden="1"/>
    </xf>
    <xf numFmtId="0" fontId="74" fillId="0" borderId="44" xfId="3" applyFont="1" applyBorder="1" applyAlignment="1" applyProtection="1">
      <alignment vertical="top"/>
      <protection hidden="1"/>
    </xf>
    <xf numFmtId="0" fontId="74" fillId="0" borderId="46" xfId="3" applyFont="1" applyBorder="1" applyAlignment="1" applyProtection="1">
      <alignment vertical="top"/>
      <protection hidden="1"/>
    </xf>
    <xf numFmtId="0" fontId="74" fillId="0" borderId="44" xfId="3" applyFont="1" applyBorder="1" applyAlignment="1">
      <alignment vertical="top"/>
    </xf>
    <xf numFmtId="0" fontId="74" fillId="0" borderId="46" xfId="3" applyFont="1" applyBorder="1" applyAlignment="1">
      <alignment vertical="top"/>
    </xf>
    <xf numFmtId="0" fontId="74" fillId="0" borderId="46" xfId="0" applyFont="1" applyBorder="1" applyAlignment="1" applyProtection="1">
      <alignment vertical="top"/>
      <protection hidden="1"/>
    </xf>
    <xf numFmtId="0" fontId="74" fillId="0" borderId="5" xfId="3" applyFont="1" applyBorder="1" applyAlignment="1" applyProtection="1">
      <alignment vertical="top"/>
      <protection hidden="1"/>
    </xf>
    <xf numFmtId="0" fontId="74" fillId="0" borderId="6" xfId="3" applyFont="1" applyBorder="1" applyAlignment="1" applyProtection="1">
      <alignment vertical="top"/>
      <protection hidden="1"/>
    </xf>
    <xf numFmtId="0" fontId="74" fillId="0" borderId="0" xfId="0" applyFont="1" applyAlignment="1" applyProtection="1">
      <alignment vertical="top"/>
      <protection hidden="1"/>
    </xf>
    <xf numFmtId="0" fontId="10" fillId="3" borderId="3" xfId="0" applyFont="1" applyFill="1" applyBorder="1" applyAlignment="1" applyProtection="1">
      <alignment horizontal="center" vertical="center"/>
      <protection hidden="1"/>
    </xf>
    <xf numFmtId="0" fontId="54" fillId="8" borderId="0" xfId="0" applyFont="1" applyFill="1" applyAlignment="1" applyProtection="1">
      <alignment horizontal="center" vertical="center" textRotation="90"/>
      <protection hidden="1"/>
    </xf>
    <xf numFmtId="0" fontId="0" fillId="0" borderId="21" xfId="0" applyBorder="1" applyAlignment="1" applyProtection="1">
      <alignment vertical="top"/>
      <protection hidden="1"/>
    </xf>
    <xf numFmtId="0" fontId="0" fillId="0" borderId="22" xfId="0" applyBorder="1" applyAlignment="1" applyProtection="1">
      <alignment vertical="top"/>
      <protection hidden="1"/>
    </xf>
    <xf numFmtId="0" fontId="40" fillId="8" borderId="0" xfId="0" applyFont="1" applyFill="1" applyAlignment="1" applyProtection="1">
      <alignment vertical="center" wrapText="1"/>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0" fillId="0" borderId="58" xfId="0" applyBorder="1" applyAlignment="1" applyProtection="1">
      <alignment vertical="center"/>
      <protection hidden="1"/>
    </xf>
    <xf numFmtId="0" fontId="0" fillId="0" borderId="53" xfId="0" applyBorder="1" applyAlignment="1" applyProtection="1">
      <alignment vertical="center"/>
      <protection hidden="1"/>
    </xf>
    <xf numFmtId="0" fontId="8" fillId="0" borderId="2" xfId="0" applyFont="1" applyBorder="1" applyAlignment="1" applyProtection="1">
      <alignment vertical="top"/>
      <protection hidden="1"/>
    </xf>
    <xf numFmtId="0" fontId="8" fillId="0" borderId="3" xfId="0" applyFont="1" applyBorder="1" applyAlignment="1" applyProtection="1">
      <alignment vertical="top"/>
      <protection hidden="1"/>
    </xf>
    <xf numFmtId="0" fontId="0" fillId="0" borderId="44" xfId="0" applyBorder="1" applyAlignment="1" applyProtection="1">
      <alignment vertical="top"/>
      <protection hidden="1"/>
    </xf>
    <xf numFmtId="0" fontId="0" fillId="0" borderId="45" xfId="0" applyBorder="1" applyAlignment="1" applyProtection="1">
      <alignment vertical="top"/>
      <protection hidden="1"/>
    </xf>
    <xf numFmtId="0" fontId="8" fillId="4" borderId="45" xfId="0" applyFont="1" applyFill="1" applyBorder="1" applyAlignment="1" applyProtection="1">
      <alignment vertical="center"/>
      <protection locked="0"/>
    </xf>
    <xf numFmtId="0" fontId="8" fillId="4" borderId="46" xfId="0" applyFont="1" applyFill="1" applyBorder="1" applyAlignment="1" applyProtection="1">
      <alignment vertical="center"/>
      <protection locked="0"/>
    </xf>
    <xf numFmtId="0" fontId="8" fillId="4" borderId="53" xfId="0" applyFont="1" applyFill="1" applyBorder="1" applyAlignment="1" applyProtection="1">
      <alignment vertical="center"/>
      <protection locked="0"/>
    </xf>
    <xf numFmtId="0" fontId="8" fillId="4" borderId="51" xfId="0" applyFont="1" applyFill="1" applyBorder="1" applyAlignment="1" applyProtection="1">
      <alignment vertical="center"/>
      <protection locked="0"/>
    </xf>
    <xf numFmtId="0" fontId="8" fillId="5" borderId="22" xfId="0" applyFont="1" applyFill="1" applyBorder="1" applyAlignment="1" applyProtection="1">
      <alignment vertical="center"/>
      <protection locked="0"/>
    </xf>
    <xf numFmtId="0" fontId="8" fillId="5" borderId="48" xfId="0" applyFont="1" applyFill="1" applyBorder="1" applyAlignment="1" applyProtection="1">
      <alignment vertical="center"/>
      <protection locked="0"/>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64" fillId="0" borderId="11" xfId="0" applyFont="1" applyBorder="1" applyAlignment="1" applyProtection="1">
      <alignment horizontal="center" textRotation="90"/>
      <protection hidden="1"/>
    </xf>
    <xf numFmtId="0" fontId="0" fillId="0" borderId="0" xfId="0"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4" borderId="26" xfId="0" applyFill="1" applyBorder="1" applyAlignment="1" applyProtection="1">
      <alignment horizontal="left" vertical="top" wrapText="1" indent="1"/>
      <protection hidden="1"/>
    </xf>
    <xf numFmtId="0" fontId="0" fillId="4" borderId="31" xfId="0" applyFill="1" applyBorder="1" applyAlignment="1" applyProtection="1">
      <alignment horizontal="left" vertical="top" wrapText="1" indent="1"/>
      <protection hidden="1"/>
    </xf>
    <xf numFmtId="0" fontId="0" fillId="4" borderId="27" xfId="0" applyFill="1" applyBorder="1" applyAlignment="1" applyProtection="1">
      <alignment horizontal="left" vertical="top" wrapText="1" indent="1"/>
      <protection hidden="1"/>
    </xf>
    <xf numFmtId="0" fontId="0" fillId="7" borderId="28" xfId="0" applyFill="1" applyBorder="1" applyAlignment="1" applyProtection="1">
      <alignment horizontal="left" vertical="top" wrapText="1" indent="1"/>
      <protection hidden="1"/>
    </xf>
    <xf numFmtId="0" fontId="0" fillId="7" borderId="30" xfId="0" applyFill="1" applyBorder="1" applyAlignment="1" applyProtection="1">
      <alignment horizontal="left" vertical="top" wrapText="1" indent="1"/>
      <protection hidden="1"/>
    </xf>
    <xf numFmtId="0" fontId="0" fillId="7" borderId="29" xfId="0" applyFill="1" applyBorder="1" applyAlignment="1" applyProtection="1">
      <alignment horizontal="left" vertical="top" wrapText="1" indent="1"/>
      <protection hidden="1"/>
    </xf>
    <xf numFmtId="0" fontId="0" fillId="0" borderId="44" xfId="0" applyBorder="1" applyAlignment="1">
      <alignment vertical="top"/>
    </xf>
    <xf numFmtId="0" fontId="0" fillId="0" borderId="45" xfId="0" applyBorder="1" applyAlignment="1">
      <alignment vertical="top"/>
    </xf>
    <xf numFmtId="0" fontId="8" fillId="0" borderId="2" xfId="0" applyFont="1"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21" xfId="0" applyBorder="1" applyAlignment="1" applyProtection="1">
      <alignment horizontal="left" vertical="top"/>
      <protection hidden="1"/>
    </xf>
    <xf numFmtId="0" fontId="8" fillId="0" borderId="22" xfId="0" applyFont="1" applyBorder="1" applyAlignment="1" applyProtection="1">
      <alignment horizontal="left" vertical="top"/>
      <protection hidden="1"/>
    </xf>
    <xf numFmtId="0" fontId="8" fillId="0" borderId="48" xfId="0" applyFont="1" applyBorder="1" applyAlignment="1" applyProtection="1">
      <alignment horizontal="left" vertical="top"/>
      <protection hidden="1"/>
    </xf>
    <xf numFmtId="0" fontId="0" fillId="0" borderId="23" xfId="0" applyBorder="1" applyAlignment="1" applyProtection="1">
      <alignment vertical="top"/>
      <protection hidden="1"/>
    </xf>
    <xf numFmtId="0" fontId="0" fillId="0" borderId="24" xfId="0" applyBorder="1" applyAlignment="1" applyProtection="1">
      <alignment vertical="top"/>
      <protection hidden="1"/>
    </xf>
    <xf numFmtId="0" fontId="0" fillId="0" borderId="25" xfId="0" applyBorder="1" applyAlignment="1" applyProtection="1">
      <alignment vertical="top"/>
      <protection hidden="1"/>
    </xf>
    <xf numFmtId="0" fontId="0" fillId="0" borderId="46" xfId="0" applyBorder="1" applyAlignment="1" applyProtection="1">
      <alignment vertical="top"/>
      <protection hidden="1"/>
    </xf>
    <xf numFmtId="0" fontId="8" fillId="0" borderId="11"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13" xfId="0" applyFont="1" applyBorder="1" applyAlignment="1" applyProtection="1">
      <alignment horizontal="left" vertical="top" wrapText="1"/>
      <protection hidden="1"/>
    </xf>
    <xf numFmtId="0" fontId="0" fillId="4" borderId="45" xfId="0" applyFill="1" applyBorder="1" applyAlignment="1" applyProtection="1">
      <alignment vertical="top"/>
      <protection locked="0"/>
    </xf>
    <xf numFmtId="0" fontId="0" fillId="4" borderId="22" xfId="0" applyFill="1" applyBorder="1" applyAlignment="1" applyProtection="1">
      <alignment vertical="top"/>
      <protection locked="0"/>
    </xf>
    <xf numFmtId="0" fontId="8" fillId="3" borderId="21" xfId="0" applyFont="1" applyFill="1" applyBorder="1" applyAlignment="1" applyProtection="1">
      <alignment horizontal="left" vertical="top"/>
      <protection hidden="1"/>
    </xf>
    <xf numFmtId="0" fontId="8" fillId="3" borderId="22" xfId="0" applyFont="1" applyFill="1" applyBorder="1" applyAlignment="1" applyProtection="1">
      <alignment horizontal="left" vertical="top"/>
      <protection hidden="1"/>
    </xf>
    <xf numFmtId="0" fontId="8" fillId="3" borderId="48" xfId="0" applyFont="1" applyFill="1" applyBorder="1" applyAlignment="1" applyProtection="1">
      <alignment horizontal="left" vertical="top"/>
      <protection hidden="1"/>
    </xf>
    <xf numFmtId="0" fontId="51" fillId="0" borderId="0" xfId="0" applyFont="1" applyAlignment="1" applyProtection="1">
      <alignment horizontal="left" vertical="top"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8" fillId="0" borderId="2" xfId="0" applyFont="1" applyBorder="1" applyAlignment="1" applyProtection="1">
      <alignment horizontal="left" vertical="top"/>
      <protection hidden="1"/>
    </xf>
    <xf numFmtId="0" fontId="8" fillId="0" borderId="3" xfId="0" applyFont="1" applyBorder="1" applyAlignment="1" applyProtection="1">
      <alignment horizontal="left" vertical="top"/>
      <protection hidden="1"/>
    </xf>
    <xf numFmtId="0" fontId="8" fillId="0" borderId="4" xfId="0" applyFont="1" applyBorder="1" applyAlignment="1" applyProtection="1">
      <alignment horizontal="left" vertical="top"/>
      <protection hidden="1"/>
    </xf>
    <xf numFmtId="0" fontId="0" fillId="0" borderId="11"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22" xfId="0" applyBorder="1" applyAlignment="1" applyProtection="1">
      <alignment horizontal="left" vertical="top"/>
      <protection hidden="1"/>
    </xf>
    <xf numFmtId="0" fontId="0" fillId="0" borderId="48" xfId="0" applyBorder="1" applyAlignment="1" applyProtection="1">
      <alignment horizontal="left" vertical="top"/>
      <protection hidden="1"/>
    </xf>
    <xf numFmtId="0" fontId="28" fillId="8" borderId="36" xfId="0" applyFont="1" applyFill="1" applyBorder="1" applyAlignment="1" applyProtection="1">
      <alignment vertical="center" wrapText="1"/>
      <protection hidden="1"/>
    </xf>
    <xf numFmtId="0" fontId="28" fillId="8" borderId="0" xfId="0" applyFont="1" applyFill="1" applyAlignment="1" applyProtection="1">
      <alignment vertical="center" wrapText="1"/>
      <protection hidden="1"/>
    </xf>
    <xf numFmtId="0" fontId="28" fillId="8" borderId="66" xfId="0" applyFont="1" applyFill="1" applyBorder="1" applyAlignment="1" applyProtection="1">
      <alignment vertical="center" wrapText="1"/>
      <protection hidden="1"/>
    </xf>
    <xf numFmtId="0" fontId="0" fillId="0" borderId="2" xfId="0" applyBorder="1" applyAlignment="1" applyProtection="1">
      <alignment horizontal="left" vertical="top" wrapText="1"/>
      <protection hidden="1"/>
    </xf>
    <xf numFmtId="0" fontId="8" fillId="0" borderId="3" xfId="0" applyFont="1" applyBorder="1" applyAlignment="1" applyProtection="1">
      <alignment horizontal="left" vertical="top" wrapText="1"/>
      <protection hidden="1"/>
    </xf>
    <xf numFmtId="0" fontId="0" fillId="0" borderId="58" xfId="0" applyBorder="1" applyAlignment="1" applyProtection="1">
      <alignment horizontal="left" vertical="top"/>
      <protection hidden="1"/>
    </xf>
    <xf numFmtId="0" fontId="0" fillId="0" borderId="53" xfId="0" applyBorder="1" applyAlignment="1" applyProtection="1">
      <alignment horizontal="left" vertical="top"/>
      <protection hidden="1"/>
    </xf>
    <xf numFmtId="0" fontId="0" fillId="0" borderId="51" xfId="0" applyBorder="1" applyAlignment="1" applyProtection="1">
      <alignment horizontal="left" vertical="top"/>
      <protection hidden="1"/>
    </xf>
    <xf numFmtId="0" fontId="0" fillId="0" borderId="21"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48" xfId="0" applyBorder="1" applyAlignment="1" applyProtection="1">
      <alignment horizontal="left" vertical="top" wrapText="1"/>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56" xfId="0" applyBorder="1" applyAlignment="1" applyProtection="1">
      <alignment vertical="center"/>
      <protection hidden="1"/>
    </xf>
    <xf numFmtId="0" fontId="0" fillId="0" borderId="50" xfId="0" applyBorder="1" applyAlignment="1" applyProtection="1">
      <alignment vertical="center"/>
      <protection hidden="1"/>
    </xf>
    <xf numFmtId="0" fontId="0" fillId="0" borderId="23" xfId="0" applyBorder="1" applyAlignment="1" applyProtection="1">
      <alignment vertical="center" wrapText="1"/>
      <protection hidden="1"/>
    </xf>
    <xf numFmtId="0" fontId="0" fillId="0" borderId="24" xfId="0" applyBorder="1" applyAlignment="1" applyProtection="1">
      <alignment vertical="center" wrapText="1"/>
      <protection hidden="1"/>
    </xf>
    <xf numFmtId="0" fontId="8" fillId="0" borderId="22" xfId="0" applyFont="1" applyBorder="1" applyAlignment="1" applyProtection="1">
      <alignment horizontal="left" vertical="center"/>
      <protection hidden="1"/>
    </xf>
    <xf numFmtId="0" fontId="8" fillId="0" borderId="48" xfId="0" applyFont="1" applyBorder="1" applyAlignment="1" applyProtection="1">
      <alignment horizontal="left" vertical="center"/>
      <protection hidden="1"/>
    </xf>
    <xf numFmtId="0" fontId="8" fillId="0" borderId="45" xfId="0" applyFont="1" applyBorder="1" applyAlignment="1" applyProtection="1">
      <alignment horizontal="left" vertical="center"/>
      <protection hidden="1"/>
    </xf>
    <xf numFmtId="0" fontId="8" fillId="0" borderId="46" xfId="0" applyFont="1" applyBorder="1" applyAlignment="1" applyProtection="1">
      <alignment horizontal="left" vertical="center"/>
      <protection hidden="1"/>
    </xf>
    <xf numFmtId="0" fontId="8" fillId="0" borderId="53" xfId="0" applyFont="1" applyBorder="1" applyAlignment="1" applyProtection="1">
      <alignment horizontal="left" vertical="center"/>
      <protection hidden="1"/>
    </xf>
    <xf numFmtId="0" fontId="8" fillId="0" borderId="51" xfId="0" applyFont="1" applyBorder="1" applyAlignment="1" applyProtection="1">
      <alignment horizontal="left" vertical="center"/>
      <protection hidden="1"/>
    </xf>
    <xf numFmtId="0" fontId="40" fillId="8" borderId="0" xfId="0" applyFont="1" applyFill="1" applyAlignment="1" applyProtection="1">
      <alignment vertical="center"/>
      <protection hidden="1"/>
    </xf>
    <xf numFmtId="0" fontId="0" fillId="0" borderId="63" xfId="0" applyBorder="1" applyAlignment="1" applyProtection="1">
      <alignment horizontal="center" vertical="center" textRotation="90"/>
      <protection hidden="1"/>
    </xf>
    <xf numFmtId="0" fontId="0" fillId="0" borderId="64" xfId="0" applyBorder="1" applyAlignment="1" applyProtection="1">
      <alignment horizontal="center" vertical="center" textRotation="90"/>
      <protection hidden="1"/>
    </xf>
    <xf numFmtId="0" fontId="0" fillId="0" borderId="65" xfId="0" applyBorder="1" applyAlignment="1" applyProtection="1">
      <alignment horizontal="center" vertical="center" textRotation="90"/>
      <protection hidden="1"/>
    </xf>
    <xf numFmtId="0" fontId="0" fillId="0" borderId="56" xfId="0" applyBorder="1" applyAlignment="1" applyProtection="1">
      <alignment vertical="center" wrapText="1"/>
      <protection hidden="1"/>
    </xf>
    <xf numFmtId="0" fontId="0" fillId="0" borderId="50" xfId="0" applyBorder="1" applyAlignment="1" applyProtection="1">
      <alignment vertical="center" wrapText="1"/>
      <protection hidden="1"/>
    </xf>
    <xf numFmtId="0" fontId="8" fillId="0" borderId="11" xfId="0" applyFont="1" applyBorder="1" applyAlignment="1" applyProtection="1">
      <alignment vertical="center"/>
      <protection hidden="1"/>
    </xf>
    <xf numFmtId="0" fontId="8"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54" fillId="8" borderId="0" xfId="0" applyFont="1" applyFill="1" applyAlignment="1" applyProtection="1">
      <alignment horizontal="center" textRotation="90"/>
      <protection hidden="1"/>
    </xf>
    <xf numFmtId="0" fontId="8" fillId="0" borderId="24" xfId="0" applyFont="1" applyBorder="1" applyAlignment="1" applyProtection="1">
      <alignment vertical="center"/>
      <protection hidden="1"/>
    </xf>
    <xf numFmtId="0" fontId="8" fillId="0" borderId="25" xfId="0" applyFont="1" applyBorder="1" applyAlignment="1" applyProtection="1">
      <alignment vertical="center"/>
      <protection hidden="1"/>
    </xf>
    <xf numFmtId="0" fontId="8" fillId="0" borderId="24" xfId="0" applyFont="1" applyBorder="1" applyAlignment="1" applyProtection="1">
      <alignment horizontal="left" vertical="center"/>
      <protection hidden="1"/>
    </xf>
    <xf numFmtId="0" fontId="8" fillId="0" borderId="25" xfId="0" applyFont="1" applyBorder="1" applyAlignment="1" applyProtection="1">
      <alignment horizontal="left" vertical="center"/>
      <protection hidden="1"/>
    </xf>
    <xf numFmtId="0" fontId="8" fillId="0" borderId="50" xfId="0" applyFont="1" applyBorder="1" applyAlignment="1" applyProtection="1">
      <alignment horizontal="left" vertical="center"/>
      <protection hidden="1"/>
    </xf>
    <xf numFmtId="0" fontId="8" fillId="0" borderId="57" xfId="0" applyFont="1" applyBorder="1" applyAlignment="1" applyProtection="1">
      <alignment horizontal="lef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8" fillId="0" borderId="24" xfId="0" applyFont="1" applyBorder="1" applyAlignment="1" applyProtection="1">
      <alignment horizontal="left" vertical="center" wrapText="1"/>
      <protection hidden="1"/>
    </xf>
    <xf numFmtId="0" fontId="0" fillId="0" borderId="3" xfId="2" applyFont="1" applyBorder="1" applyAlignment="1" applyProtection="1">
      <alignment vertical="center"/>
      <protection hidden="1"/>
    </xf>
    <xf numFmtId="0" fontId="0" fillId="0" borderId="0" xfId="2" applyFont="1" applyAlignment="1" applyProtection="1">
      <alignment vertical="top" wrapText="1"/>
      <protection hidden="1"/>
    </xf>
    <xf numFmtId="0" fontId="0" fillId="3" borderId="53" xfId="2" applyFont="1" applyFill="1" applyBorder="1" applyAlignment="1" applyProtection="1">
      <alignment vertical="top"/>
      <protection hidden="1"/>
    </xf>
    <xf numFmtId="0" fontId="0" fillId="3" borderId="0" xfId="2" applyFont="1" applyFill="1" applyAlignment="1" applyProtection="1">
      <alignment vertical="top" wrapText="1"/>
      <protection hidden="1"/>
    </xf>
    <xf numFmtId="0" fontId="0" fillId="3" borderId="53" xfId="2" applyFont="1" applyFill="1" applyBorder="1" applyAlignment="1" applyProtection="1">
      <alignment vertical="top" wrapText="1"/>
      <protection hidden="1"/>
    </xf>
    <xf numFmtId="0" fontId="38" fillId="0" borderId="0" xfId="2" applyFont="1" applyBorder="1" applyAlignment="1" applyProtection="1">
      <alignment vertical="top" wrapText="1"/>
      <protection hidden="1"/>
    </xf>
    <xf numFmtId="0" fontId="0" fillId="3" borderId="3" xfId="2" applyFont="1" applyFill="1" applyBorder="1" applyAlignment="1" applyProtection="1">
      <alignment vertical="top"/>
      <protection hidden="1"/>
    </xf>
    <xf numFmtId="0" fontId="38" fillId="0" borderId="0" xfId="2" quotePrefix="1" applyFont="1" applyAlignment="1" applyProtection="1">
      <alignment vertical="top" wrapText="1"/>
      <protection hidden="1"/>
    </xf>
    <xf numFmtId="0" fontId="38" fillId="0" borderId="0" xfId="2" applyFont="1" applyAlignment="1" applyProtection="1">
      <alignment vertical="top" wrapText="1"/>
      <protection hidden="1"/>
    </xf>
    <xf numFmtId="0" fontId="38" fillId="0" borderId="0" xfId="2" applyFont="1" applyAlignment="1" applyProtection="1">
      <alignment vertical="top"/>
      <protection hidden="1"/>
    </xf>
    <xf numFmtId="0" fontId="54" fillId="12" borderId="0" xfId="0" applyFont="1" applyFill="1" applyAlignment="1" applyProtection="1">
      <alignment horizontal="center" vertical="center" textRotation="90"/>
      <protection hidden="1"/>
    </xf>
    <xf numFmtId="0" fontId="38" fillId="0" borderId="50" xfId="2" applyFont="1" applyBorder="1" applyAlignment="1" applyProtection="1">
      <alignment vertical="top"/>
      <protection hidden="1"/>
    </xf>
    <xf numFmtId="0" fontId="10" fillId="12" borderId="0" xfId="2" applyFont="1" applyFill="1" applyAlignment="1" applyProtection="1">
      <alignment vertical="top" wrapText="1"/>
      <protection hidden="1"/>
    </xf>
    <xf numFmtId="0" fontId="8" fillId="0" borderId="45" xfId="0" applyFont="1" applyBorder="1" applyAlignment="1" applyProtection="1">
      <alignment horizontal="left" vertical="center" wrapText="1"/>
      <protection hidden="1"/>
    </xf>
    <xf numFmtId="0" fontId="8" fillId="0" borderId="46" xfId="0" applyFont="1" applyBorder="1" applyAlignment="1" applyProtection="1">
      <alignment horizontal="left" vertical="center" wrapText="1"/>
      <protection hidden="1"/>
    </xf>
    <xf numFmtId="0" fontId="8" fillId="0" borderId="25" xfId="0" applyFont="1" applyBorder="1" applyAlignment="1" applyProtection="1">
      <alignment horizontal="left" vertical="center" wrapText="1"/>
      <protection hidden="1"/>
    </xf>
    <xf numFmtId="0" fontId="8" fillId="0" borderId="23" xfId="0" applyFont="1" applyBorder="1" applyAlignment="1" applyProtection="1">
      <alignment vertical="center"/>
      <protection hidden="1"/>
    </xf>
    <xf numFmtId="0" fontId="0" fillId="0" borderId="21" xfId="0"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0" fillId="2" borderId="23" xfId="0" applyFill="1" applyBorder="1" applyAlignment="1" applyProtection="1">
      <alignment horizontal="left" vertical="center"/>
      <protection hidden="1"/>
    </xf>
    <xf numFmtId="0" fontId="0" fillId="2" borderId="24" xfId="0" applyFill="1" applyBorder="1" applyAlignment="1" applyProtection="1">
      <alignment horizontal="left" vertical="center"/>
      <protection hidden="1"/>
    </xf>
    <xf numFmtId="0" fontId="0" fillId="2" borderId="44" xfId="0" applyFill="1" applyBorder="1" applyAlignment="1" applyProtection="1">
      <alignment horizontal="left" vertical="center"/>
      <protection hidden="1"/>
    </xf>
    <xf numFmtId="0" fontId="0" fillId="2" borderId="45" xfId="0" applyFill="1" applyBorder="1" applyAlignment="1" applyProtection="1">
      <alignment horizontal="left" vertical="center"/>
      <protection hidden="1"/>
    </xf>
    <xf numFmtId="0" fontId="0" fillId="2" borderId="58" xfId="0" applyFill="1" applyBorder="1" applyAlignment="1" applyProtection="1">
      <alignment horizontal="left" vertical="center"/>
      <protection hidden="1"/>
    </xf>
    <xf numFmtId="0" fontId="0" fillId="2" borderId="53" xfId="0" applyFill="1" applyBorder="1" applyAlignment="1" applyProtection="1">
      <alignment horizontal="left" vertical="center"/>
      <protection hidden="1"/>
    </xf>
    <xf numFmtId="0" fontId="8" fillId="2" borderId="45" xfId="0" applyFont="1" applyFill="1" applyBorder="1" applyAlignment="1" applyProtection="1">
      <alignment horizontal="left" vertical="center"/>
      <protection hidden="1"/>
    </xf>
    <xf numFmtId="0" fontId="8" fillId="2" borderId="46" xfId="0" applyFont="1" applyFill="1" applyBorder="1" applyAlignment="1" applyProtection="1">
      <alignment horizontal="left" vertical="center"/>
      <protection hidden="1"/>
    </xf>
    <xf numFmtId="0" fontId="8" fillId="2" borderId="53" xfId="0" applyFont="1" applyFill="1" applyBorder="1" applyAlignment="1" applyProtection="1">
      <alignment horizontal="left" vertical="center"/>
      <protection hidden="1"/>
    </xf>
    <xf numFmtId="0" fontId="8" fillId="2" borderId="51" xfId="0" applyFont="1" applyFill="1" applyBorder="1" applyAlignment="1" applyProtection="1">
      <alignment horizontal="left" vertical="center"/>
      <protection hidden="1"/>
    </xf>
    <xf numFmtId="0" fontId="23" fillId="0" borderId="0"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22" xfId="0" applyFont="1" applyBorder="1" applyAlignment="1" applyProtection="1">
      <alignment vertical="center"/>
      <protection hidden="1"/>
    </xf>
    <xf numFmtId="0" fontId="23" fillId="0" borderId="48" xfId="0" applyFont="1" applyBorder="1" applyAlignment="1" applyProtection="1">
      <alignment vertical="center"/>
      <protection hidden="1"/>
    </xf>
    <xf numFmtId="4" fontId="38" fillId="0" borderId="50" xfId="2" applyNumberFormat="1" applyFont="1" applyBorder="1" applyAlignment="1" applyProtection="1">
      <alignment vertical="top"/>
      <protection hidden="1"/>
    </xf>
    <xf numFmtId="0" fontId="38" fillId="0" borderId="37" xfId="2" applyFont="1" applyBorder="1" applyAlignment="1" applyProtection="1">
      <alignment vertical="top" wrapText="1"/>
      <protection hidden="1"/>
    </xf>
    <xf numFmtId="0" fontId="40" fillId="8" borderId="0" xfId="2" applyFont="1" applyFill="1" applyAlignment="1" applyProtection="1">
      <alignment horizontal="right" vertical="center" wrapText="1"/>
      <protection hidden="1"/>
    </xf>
    <xf numFmtId="0" fontId="40" fillId="8" borderId="0" xfId="2" applyFont="1" applyFill="1" applyAlignment="1" applyProtection="1">
      <alignment horizontal="right" vertical="center"/>
      <protection hidden="1"/>
    </xf>
    <xf numFmtId="0" fontId="40" fillId="8" borderId="37" xfId="2" applyFont="1" applyFill="1" applyBorder="1" applyAlignment="1" applyProtection="1">
      <alignment horizontal="right" vertical="center"/>
      <protection hidden="1"/>
    </xf>
    <xf numFmtId="0" fontId="8" fillId="2" borderId="22" xfId="0" applyFont="1" applyFill="1" applyBorder="1" applyAlignment="1" applyProtection="1">
      <alignment horizontal="left" vertical="center"/>
      <protection hidden="1"/>
    </xf>
    <xf numFmtId="0" fontId="8" fillId="2" borderId="48" xfId="0" applyFont="1"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22" xfId="0" applyFill="1" applyBorder="1" applyAlignment="1" applyProtection="1">
      <alignment horizontal="left" vertical="center"/>
      <protection hidden="1"/>
    </xf>
    <xf numFmtId="0" fontId="8" fillId="3" borderId="8" xfId="2" applyFont="1" applyFill="1" applyBorder="1" applyAlignment="1" applyProtection="1">
      <alignment horizontal="right" vertical="center"/>
      <protection hidden="1"/>
    </xf>
    <xf numFmtId="0" fontId="8" fillId="3" borderId="9" xfId="2" applyFont="1" applyFill="1" applyBorder="1" applyAlignment="1" applyProtection="1">
      <alignment horizontal="right" vertical="center"/>
      <protection hidden="1"/>
    </xf>
    <xf numFmtId="0" fontId="8" fillId="3" borderId="42" xfId="2" applyFont="1" applyFill="1" applyBorder="1" applyAlignment="1" applyProtection="1">
      <alignment horizontal="right" vertical="center"/>
      <protection hidden="1"/>
    </xf>
    <xf numFmtId="0" fontId="0" fillId="0" borderId="0" xfId="2" applyFont="1" applyAlignment="1" applyProtection="1">
      <alignment vertical="center"/>
      <protection hidden="1"/>
    </xf>
    <xf numFmtId="0" fontId="38" fillId="0" borderId="0" xfId="2" quotePrefix="1" applyFont="1" applyAlignment="1" applyProtection="1">
      <alignment horizontal="left" vertical="top" wrapText="1"/>
      <protection hidden="1"/>
    </xf>
    <xf numFmtId="0" fontId="38" fillId="0" borderId="37" xfId="2" quotePrefix="1" applyFont="1" applyBorder="1" applyAlignment="1" applyProtection="1">
      <alignment horizontal="left" vertical="top" wrapText="1"/>
      <protection hidden="1"/>
    </xf>
    <xf numFmtId="0" fontId="5" fillId="0" borderId="0" xfId="2" quotePrefix="1" applyFont="1" applyAlignment="1" applyProtection="1">
      <alignment vertical="top" wrapText="1"/>
      <protection hidden="1"/>
    </xf>
    <xf numFmtId="0" fontId="5" fillId="0" borderId="37" xfId="2" quotePrefix="1" applyFont="1" applyBorder="1" applyAlignment="1" applyProtection="1">
      <alignment vertical="top" wrapText="1"/>
      <protection hidden="1"/>
    </xf>
    <xf numFmtId="4" fontId="38" fillId="0" borderId="50" xfId="2" applyNumberFormat="1" applyFont="1" applyBorder="1" applyAlignment="1" applyProtection="1">
      <alignment vertical="top" wrapText="1"/>
      <protection hidden="1"/>
    </xf>
    <xf numFmtId="4" fontId="38" fillId="0" borderId="0" xfId="2" applyNumberFormat="1" applyFont="1" applyAlignment="1" applyProtection="1">
      <alignment vertical="top" wrapText="1"/>
      <protection hidden="1"/>
    </xf>
    <xf numFmtId="0" fontId="23" fillId="0" borderId="3" xfId="0" applyFont="1" applyBorder="1" applyAlignment="1" applyProtection="1">
      <alignment vertical="center"/>
      <protection hidden="1"/>
    </xf>
    <xf numFmtId="0" fontId="23" fillId="0" borderId="4" xfId="0" applyFont="1" applyBorder="1" applyAlignment="1" applyProtection="1">
      <alignment vertical="center"/>
      <protection hidden="1"/>
    </xf>
    <xf numFmtId="0" fontId="68" fillId="0" borderId="50" xfId="0" applyFont="1" applyBorder="1" applyAlignment="1" applyProtection="1">
      <alignment vertical="center" wrapText="1"/>
      <protection hidden="1"/>
    </xf>
    <xf numFmtId="0" fontId="68" fillId="0" borderId="57" xfId="0" applyFont="1" applyBorder="1" applyAlignment="1" applyProtection="1">
      <alignment vertical="center" wrapText="1"/>
      <protection hidden="1"/>
    </xf>
    <xf numFmtId="0" fontId="38" fillId="0" borderId="50" xfId="2" applyFont="1" applyBorder="1" applyAlignment="1" applyProtection="1">
      <alignment vertical="top" wrapText="1"/>
      <protection hidden="1"/>
    </xf>
    <xf numFmtId="0" fontId="73" fillId="0" borderId="0" xfId="2" applyFont="1" applyBorder="1" applyAlignment="1" applyProtection="1">
      <alignment vertical="top" wrapText="1"/>
      <protection hidden="1"/>
    </xf>
    <xf numFmtId="0" fontId="68" fillId="0" borderId="53" xfId="2" quotePrefix="1" applyFont="1" applyBorder="1" applyAlignment="1" applyProtection="1">
      <alignment horizontal="left" vertical="top" wrapText="1"/>
      <protection hidden="1"/>
    </xf>
    <xf numFmtId="0" fontId="68" fillId="0" borderId="59" xfId="2" quotePrefix="1" applyFont="1" applyBorder="1" applyAlignment="1" applyProtection="1">
      <alignment horizontal="left" vertical="top" wrapText="1"/>
      <protection hidden="1"/>
    </xf>
    <xf numFmtId="0" fontId="68" fillId="0" borderId="6" xfId="2" applyFont="1" applyBorder="1" applyAlignment="1" applyProtection="1">
      <alignment vertical="top" wrapText="1"/>
      <protection hidden="1"/>
    </xf>
    <xf numFmtId="0" fontId="68" fillId="0" borderId="79" xfId="2" applyFont="1" applyBorder="1" applyAlignment="1" applyProtection="1">
      <alignment vertical="top" wrapText="1"/>
      <protection hidden="1"/>
    </xf>
    <xf numFmtId="0" fontId="8" fillId="2" borderId="24" xfId="0" applyFont="1" applyFill="1" applyBorder="1" applyAlignment="1" applyProtection="1">
      <alignment horizontal="left" vertical="center"/>
      <protection hidden="1"/>
    </xf>
    <xf numFmtId="0" fontId="8" fillId="2" borderId="22" xfId="0" applyFont="1" applyFill="1" applyBorder="1" applyAlignment="1" applyProtection="1">
      <alignment vertical="center"/>
      <protection hidden="1"/>
    </xf>
    <xf numFmtId="0" fontId="8" fillId="2" borderId="48" xfId="0" applyFont="1" applyFill="1" applyBorder="1" applyAlignment="1" applyProtection="1">
      <alignment vertical="center"/>
      <protection hidden="1"/>
    </xf>
    <xf numFmtId="0" fontId="38" fillId="0" borderId="50" xfId="1" quotePrefix="1" applyFont="1" applyBorder="1" applyAlignment="1" applyProtection="1">
      <alignment horizontal="left" vertical="top" wrapText="1"/>
      <protection hidden="1"/>
    </xf>
    <xf numFmtId="0" fontId="38" fillId="0" borderId="60" xfId="1" quotePrefix="1" applyFont="1" applyBorder="1" applyAlignment="1" applyProtection="1">
      <alignment horizontal="left" vertical="top" wrapText="1"/>
      <protection hidden="1"/>
    </xf>
    <xf numFmtId="0" fontId="54" fillId="9" borderId="0" xfId="0" applyFont="1" applyFill="1" applyAlignment="1" applyProtection="1">
      <alignment horizontal="center" vertical="center" textRotation="90"/>
      <protection hidden="1"/>
    </xf>
    <xf numFmtId="0" fontId="8" fillId="9" borderId="0" xfId="0" applyFont="1" applyFill="1" applyAlignment="1" applyProtection="1">
      <alignment vertical="top" wrapText="1"/>
      <protection hidden="1"/>
    </xf>
    <xf numFmtId="0" fontId="9" fillId="4" borderId="50" xfId="0" applyFont="1" applyFill="1" applyBorder="1" applyAlignment="1" applyProtection="1">
      <alignment horizontal="left" vertical="top" wrapText="1"/>
      <protection locked="0"/>
    </xf>
    <xf numFmtId="0" fontId="9" fillId="6" borderId="0" xfId="0" applyFont="1" applyFill="1" applyAlignment="1" applyProtection="1">
      <alignment vertical="top" wrapText="1"/>
      <protection locked="0"/>
    </xf>
    <xf numFmtId="0" fontId="9" fillId="4" borderId="50" xfId="0" applyFont="1" applyFill="1" applyBorder="1" applyAlignment="1" applyProtection="1">
      <alignment vertical="top" wrapText="1"/>
      <protection locked="0"/>
    </xf>
    <xf numFmtId="0" fontId="9" fillId="4" borderId="57" xfId="0" applyFont="1" applyFill="1" applyBorder="1" applyAlignment="1" applyProtection="1">
      <alignment vertical="top" wrapText="1"/>
      <protection locked="0"/>
    </xf>
    <xf numFmtId="0" fontId="40" fillId="8" borderId="50" xfId="0" applyFont="1" applyFill="1" applyBorder="1" applyAlignment="1" applyProtection="1">
      <alignment vertical="top" wrapText="1"/>
      <protection hidden="1"/>
    </xf>
    <xf numFmtId="0" fontId="55" fillId="13" borderId="4" xfId="0" applyFont="1" applyFill="1" applyBorder="1" applyAlignment="1" applyProtection="1">
      <alignment horizontal="center" vertical="center" textRotation="90"/>
      <protection hidden="1"/>
    </xf>
    <xf numFmtId="0" fontId="55" fillId="13" borderId="13" xfId="0" applyFont="1" applyFill="1" applyBorder="1" applyAlignment="1" applyProtection="1">
      <alignment horizontal="center" vertical="center" textRotation="90"/>
      <protection hidden="1"/>
    </xf>
    <xf numFmtId="0" fontId="0" fillId="0" borderId="56" xfId="0" applyBorder="1" applyAlignment="1" applyProtection="1">
      <alignment vertical="top"/>
      <protection hidden="1"/>
    </xf>
    <xf numFmtId="0" fontId="0" fillId="0" borderId="50" xfId="0" applyBorder="1" applyAlignment="1" applyProtection="1">
      <alignment vertical="top"/>
      <protection hidden="1"/>
    </xf>
    <xf numFmtId="0" fontId="0" fillId="0" borderId="0" xfId="0" applyAlignment="1" applyProtection="1">
      <alignment vertical="top"/>
      <protection hidden="1"/>
    </xf>
    <xf numFmtId="0" fontId="8" fillId="0" borderId="53" xfId="0" applyFont="1" applyBorder="1" applyAlignment="1" applyProtection="1">
      <alignment vertical="center"/>
      <protection hidden="1"/>
    </xf>
    <xf numFmtId="0" fontId="8" fillId="0" borderId="51" xfId="0" applyFont="1" applyBorder="1" applyAlignment="1" applyProtection="1">
      <alignment vertical="center"/>
      <protection hidden="1"/>
    </xf>
    <xf numFmtId="0" fontId="0" fillId="0" borderId="0" xfId="0" applyAlignment="1" applyProtection="1">
      <alignment horizontal="left" vertical="center"/>
      <protection hidden="1"/>
    </xf>
    <xf numFmtId="0" fontId="0" fillId="0" borderId="13" xfId="0" applyBorder="1" applyAlignment="1" applyProtection="1">
      <alignment horizontal="left" vertical="center"/>
      <protection hidden="1"/>
    </xf>
    <xf numFmtId="0" fontId="0" fillId="0" borderId="45" xfId="0" quotePrefix="1" applyBorder="1" applyAlignment="1">
      <alignment vertical="top"/>
    </xf>
    <xf numFmtId="0" fontId="0" fillId="0" borderId="46" xfId="0" quotePrefix="1" applyBorder="1" applyAlignment="1">
      <alignment vertical="top"/>
    </xf>
    <xf numFmtId="0" fontId="0" fillId="4" borderId="22" xfId="0" quotePrefix="1" applyFill="1" applyBorder="1" applyAlignment="1" applyProtection="1">
      <alignment vertical="top"/>
      <protection locked="0"/>
    </xf>
    <xf numFmtId="0" fontId="0" fillId="4" borderId="48" xfId="0" quotePrefix="1" applyFill="1" applyBorder="1" applyAlignment="1" applyProtection="1">
      <alignment vertical="top"/>
      <protection locked="0"/>
    </xf>
    <xf numFmtId="0" fontId="0" fillId="5" borderId="23" xfId="0" applyFill="1" applyBorder="1" applyAlignment="1" applyProtection="1">
      <alignment horizontal="left" vertical="top"/>
      <protection locked="0"/>
    </xf>
    <xf numFmtId="0" fontId="0" fillId="5" borderId="25" xfId="0" applyFill="1" applyBorder="1" applyAlignment="1" applyProtection="1">
      <alignment horizontal="left" vertical="top"/>
      <protection locked="0"/>
    </xf>
    <xf numFmtId="0" fontId="0" fillId="5" borderId="5"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0" borderId="58" xfId="0" applyBorder="1" applyAlignment="1" applyProtection="1">
      <alignment horizontal="left" vertical="center" wrapText="1"/>
      <protection hidden="1"/>
    </xf>
    <xf numFmtId="0" fontId="0" fillId="0" borderId="53" xfId="0" applyBorder="1" applyAlignment="1" applyProtection="1">
      <alignment horizontal="left" vertical="center" wrapText="1"/>
      <protection hidden="1"/>
    </xf>
    <xf numFmtId="0" fontId="0" fillId="0" borderId="51" xfId="0" applyBorder="1" applyAlignment="1" applyProtection="1">
      <alignment horizontal="left" vertical="center" wrapText="1"/>
      <protection hidden="1"/>
    </xf>
    <xf numFmtId="0" fontId="16" fillId="0" borderId="0" xfId="0" applyFont="1" applyAlignment="1" applyProtection="1">
      <alignment vertical="top" wrapText="1"/>
      <protection hidden="1"/>
    </xf>
    <xf numFmtId="0" fontId="16" fillId="0" borderId="13" xfId="0" applyFont="1" applyBorder="1" applyAlignment="1" applyProtection="1">
      <alignment vertical="top" wrapText="1"/>
      <protection hidden="1"/>
    </xf>
    <xf numFmtId="0" fontId="0" fillId="4" borderId="21" xfId="0" applyFill="1" applyBorder="1" applyAlignment="1" applyProtection="1">
      <alignment vertical="center" wrapText="1"/>
      <protection locked="0"/>
    </xf>
    <xf numFmtId="0" fontId="0" fillId="4" borderId="22"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23" fillId="0" borderId="45" xfId="0" applyFont="1" applyBorder="1" applyAlignment="1" applyProtection="1">
      <alignment vertical="top"/>
      <protection hidden="1"/>
    </xf>
    <xf numFmtId="0" fontId="23" fillId="0" borderId="0" xfId="0" applyFont="1" applyAlignment="1" applyProtection="1">
      <alignment vertical="top"/>
      <protection hidden="1"/>
    </xf>
    <xf numFmtId="16" fontId="0" fillId="0" borderId="58" xfId="0" quotePrefix="1" applyNumberFormat="1" applyBorder="1" applyAlignment="1" applyProtection="1">
      <alignment horizontal="left" vertical="top" wrapText="1"/>
      <protection hidden="1"/>
    </xf>
    <xf numFmtId="16" fontId="0" fillId="0" borderId="53" xfId="0" quotePrefix="1" applyNumberFormat="1" applyBorder="1" applyAlignment="1" applyProtection="1">
      <alignment horizontal="left" vertical="top" wrapText="1"/>
      <protection hidden="1"/>
    </xf>
    <xf numFmtId="16" fontId="0" fillId="0" borderId="0" xfId="0" quotePrefix="1" applyNumberFormat="1" applyAlignment="1" applyProtection="1">
      <alignment horizontal="left" vertical="top" wrapText="1"/>
      <protection hidden="1"/>
    </xf>
    <xf numFmtId="16" fontId="0" fillId="0" borderId="13" xfId="0" quotePrefix="1" applyNumberFormat="1" applyBorder="1" applyAlignment="1" applyProtection="1">
      <alignment horizontal="left" vertical="top" wrapText="1"/>
      <protection hidden="1"/>
    </xf>
    <xf numFmtId="16" fontId="0" fillId="0" borderId="22" xfId="0" quotePrefix="1" applyNumberFormat="1" applyBorder="1" applyAlignment="1" applyProtection="1">
      <alignment horizontal="left" vertical="top" wrapText="1"/>
      <protection hidden="1"/>
    </xf>
    <xf numFmtId="16" fontId="0" fillId="4" borderId="44" xfId="0" quotePrefix="1" applyNumberFormat="1" applyFill="1" applyBorder="1" applyAlignment="1" applyProtection="1">
      <alignment vertical="top"/>
      <protection locked="0"/>
    </xf>
    <xf numFmtId="16" fontId="0" fillId="4" borderId="45" xfId="0" quotePrefix="1" applyNumberFormat="1" applyFill="1" applyBorder="1" applyAlignment="1" applyProtection="1">
      <alignment vertical="top"/>
      <protection locked="0"/>
    </xf>
    <xf numFmtId="16" fontId="0" fillId="4" borderId="21" xfId="0" quotePrefix="1" applyNumberFormat="1" applyFill="1" applyBorder="1" applyAlignment="1" applyProtection="1">
      <alignment horizontal="left" vertical="top"/>
      <protection locked="0"/>
    </xf>
    <xf numFmtId="16" fontId="0" fillId="4" borderId="22" xfId="0" quotePrefix="1" applyNumberFormat="1" applyFill="1" applyBorder="1" applyAlignment="1" applyProtection="1">
      <alignment horizontal="left" vertical="top"/>
      <protection locked="0"/>
    </xf>
    <xf numFmtId="0" fontId="10" fillId="0" borderId="2"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8" fillId="0" borderId="45" xfId="0" applyFont="1" applyBorder="1" applyAlignment="1" applyProtection="1">
      <alignment vertical="center"/>
      <protection hidden="1"/>
    </xf>
    <xf numFmtId="0" fontId="8" fillId="0" borderId="46" xfId="0" applyFont="1" applyBorder="1" applyAlignment="1" applyProtection="1">
      <alignment vertical="center"/>
      <protection hidden="1"/>
    </xf>
    <xf numFmtId="4" fontId="23" fillId="3" borderId="6" xfId="0" applyNumberFormat="1" applyFont="1" applyFill="1" applyBorder="1" applyAlignment="1" applyProtection="1">
      <alignment horizontal="right" vertical="center"/>
      <protection hidden="1"/>
    </xf>
    <xf numFmtId="4" fontId="23" fillId="3" borderId="7" xfId="0" applyNumberFormat="1" applyFont="1" applyFill="1" applyBorder="1" applyAlignment="1" applyProtection="1">
      <alignment horizontal="right" vertical="center"/>
      <protection hidden="1"/>
    </xf>
    <xf numFmtId="0" fontId="6" fillId="0" borderId="8"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0" fillId="3" borderId="2" xfId="0" applyFill="1" applyBorder="1" applyAlignment="1" applyProtection="1">
      <alignment horizontal="left" vertical="top" wrapText="1"/>
      <protection hidden="1"/>
    </xf>
    <xf numFmtId="0" fontId="0" fillId="3" borderId="3" xfId="0" applyFill="1" applyBorder="1" applyAlignment="1" applyProtection="1">
      <alignment horizontal="left" vertical="top" wrapText="1"/>
      <protection hidden="1"/>
    </xf>
    <xf numFmtId="0" fontId="0" fillId="3" borderId="5" xfId="0" applyFill="1" applyBorder="1" applyAlignment="1" applyProtection="1">
      <alignment horizontal="left" vertical="top" wrapText="1"/>
      <protection hidden="1"/>
    </xf>
    <xf numFmtId="0" fontId="0" fillId="3" borderId="6" xfId="0" applyFill="1" applyBorder="1" applyAlignment="1" applyProtection="1">
      <alignment horizontal="left" vertical="top" wrapText="1"/>
      <protection hidden="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8" fillId="3" borderId="8" xfId="0" applyFont="1" applyFill="1" applyBorder="1" applyAlignment="1" applyProtection="1">
      <alignment vertical="center"/>
      <protection hidden="1"/>
    </xf>
    <xf numFmtId="0" fontId="8" fillId="3" borderId="10" xfId="0" applyFont="1" applyFill="1" applyBorder="1" applyAlignment="1" applyProtection="1">
      <alignment vertical="center"/>
      <protection hidden="1"/>
    </xf>
    <xf numFmtId="0" fontId="8" fillId="0" borderId="22" xfId="0" applyFont="1" applyBorder="1" applyAlignment="1" applyProtection="1">
      <alignment vertical="center"/>
      <protection hidden="1"/>
    </xf>
    <xf numFmtId="0" fontId="8" fillId="0" borderId="48" xfId="0" applyFont="1" applyBorder="1" applyAlignment="1" applyProtection="1">
      <alignment vertical="center"/>
      <protection hidden="1"/>
    </xf>
    <xf numFmtId="16" fontId="10" fillId="0" borderId="14" xfId="0" applyNumberFormat="1" applyFont="1" applyBorder="1" applyAlignment="1" applyProtection="1">
      <alignment horizontal="center" vertical="top" wrapText="1"/>
      <protection hidden="1"/>
    </xf>
    <xf numFmtId="16" fontId="10" fillId="0" borderId="12" xfId="0" applyNumberFormat="1" applyFont="1" applyBorder="1" applyAlignment="1" applyProtection="1">
      <alignment horizontal="center" vertical="top" wrapText="1"/>
      <protection hidden="1"/>
    </xf>
    <xf numFmtId="0" fontId="54" fillId="8" borderId="0" xfId="0" applyFont="1" applyFill="1" applyAlignment="1" applyProtection="1">
      <alignment horizontal="center" vertical="center" textRotation="90" wrapText="1"/>
      <protection hidden="1"/>
    </xf>
    <xf numFmtId="0" fontId="10" fillId="4" borderId="47" xfId="0" applyFont="1" applyFill="1" applyBorder="1" applyAlignment="1" applyProtection="1">
      <alignment vertical="center"/>
      <protection locked="0"/>
    </xf>
    <xf numFmtId="0" fontId="10" fillId="4" borderId="6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xf numFmtId="0" fontId="10" fillId="4" borderId="75" xfId="0" applyFont="1" applyFill="1" applyBorder="1" applyAlignment="1" applyProtection="1">
      <alignment vertical="center"/>
      <protection locked="0"/>
    </xf>
    <xf numFmtId="0" fontId="10" fillId="4" borderId="21" xfId="0" applyFont="1" applyFill="1" applyBorder="1" applyAlignment="1" applyProtection="1">
      <alignment vertical="center"/>
      <protection locked="0"/>
    </xf>
    <xf numFmtId="0" fontId="10" fillId="4" borderId="22" xfId="0" applyFont="1" applyFill="1" applyBorder="1" applyAlignment="1" applyProtection="1">
      <alignment vertical="center"/>
      <protection locked="0"/>
    </xf>
    <xf numFmtId="0" fontId="10" fillId="4" borderId="48"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4" borderId="4" xfId="0" applyFont="1" applyFill="1" applyBorder="1" applyAlignment="1" applyProtection="1">
      <alignment vertical="center"/>
      <protection locked="0"/>
    </xf>
    <xf numFmtId="0" fontId="10" fillId="3" borderId="2" xfId="0" applyFont="1" applyFill="1" applyBorder="1" applyAlignment="1" applyProtection="1">
      <alignment horizontal="center" vertical="top" wrapText="1"/>
      <protection hidden="1"/>
    </xf>
    <xf numFmtId="0" fontId="10" fillId="3" borderId="4" xfId="0" applyFont="1" applyFill="1" applyBorder="1" applyAlignment="1" applyProtection="1">
      <alignment horizontal="center" vertical="top" wrapText="1"/>
      <protection hidden="1"/>
    </xf>
    <xf numFmtId="0" fontId="10" fillId="4" borderId="43" xfId="0" applyFont="1" applyFill="1" applyBorder="1" applyAlignment="1" applyProtection="1">
      <alignment vertical="center"/>
      <protection locked="0"/>
    </xf>
    <xf numFmtId="0" fontId="10" fillId="4" borderId="49" xfId="0" applyFont="1" applyFill="1" applyBorder="1" applyAlignment="1" applyProtection="1">
      <alignment vertical="center"/>
      <protection locked="0"/>
    </xf>
    <xf numFmtId="0" fontId="8" fillId="0" borderId="8" xfId="0" applyFont="1" applyBorder="1" applyAlignment="1">
      <alignment horizontal="left"/>
    </xf>
    <xf numFmtId="0" fontId="8" fillId="0" borderId="9" xfId="0" applyFont="1" applyBorder="1" applyAlignment="1">
      <alignment horizontal="left"/>
    </xf>
    <xf numFmtId="0" fontId="8" fillId="4" borderId="22" xfId="0" applyFont="1" applyFill="1" applyBorder="1" applyAlignment="1" applyProtection="1">
      <alignment horizontal="left" vertical="center" indent="2"/>
      <protection locked="0"/>
    </xf>
    <xf numFmtId="0" fontId="8" fillId="4" borderId="48" xfId="0" applyFont="1" applyFill="1" applyBorder="1" applyAlignment="1" applyProtection="1">
      <alignment horizontal="left" vertical="center" indent="2"/>
      <protection locked="0"/>
    </xf>
    <xf numFmtId="0" fontId="40" fillId="0" borderId="9" xfId="0" applyFont="1" applyBorder="1"/>
    <xf numFmtId="0" fontId="10" fillId="3" borderId="2" xfId="0" applyFont="1" applyFill="1" applyBorder="1" applyAlignment="1" applyProtection="1">
      <alignment horizontal="left" vertical="center" wrapText="1"/>
      <protection hidden="1"/>
    </xf>
    <xf numFmtId="0" fontId="10" fillId="3" borderId="3" xfId="0" applyFont="1" applyFill="1" applyBorder="1" applyAlignment="1" applyProtection="1">
      <alignment horizontal="left" vertical="center" wrapText="1"/>
      <protection hidden="1"/>
    </xf>
    <xf numFmtId="0" fontId="10" fillId="3" borderId="4" xfId="0" applyFont="1" applyFill="1" applyBorder="1" applyAlignment="1" applyProtection="1">
      <alignment horizontal="left" vertical="center" wrapText="1"/>
      <protection hidden="1"/>
    </xf>
    <xf numFmtId="0" fontId="8" fillId="0" borderId="8" xfId="0" applyFont="1" applyBorder="1" applyAlignment="1" applyProtection="1">
      <alignment horizontal="center" vertical="top"/>
      <protection hidden="1"/>
    </xf>
    <xf numFmtId="0" fontId="8" fillId="0" borderId="9" xfId="0" applyFont="1" applyBorder="1" applyAlignment="1" applyProtection="1">
      <alignment horizontal="center" vertical="top"/>
      <protection hidden="1"/>
    </xf>
    <xf numFmtId="0" fontId="8" fillId="0" borderId="10" xfId="0" applyFont="1" applyBorder="1" applyAlignment="1" applyProtection="1">
      <alignment horizontal="center" vertical="top"/>
      <protection hidden="1"/>
    </xf>
    <xf numFmtId="0" fontId="40" fillId="8" borderId="13" xfId="0" applyFont="1" applyFill="1" applyBorder="1" applyAlignment="1" applyProtection="1">
      <alignment vertical="center"/>
      <protection hidden="1"/>
    </xf>
    <xf numFmtId="0" fontId="40" fillId="8" borderId="15" xfId="0" applyFont="1" applyFill="1" applyBorder="1" applyAlignment="1" applyProtection="1">
      <alignment vertical="center"/>
      <protection hidden="1"/>
    </xf>
    <xf numFmtId="0" fontId="40" fillId="8" borderId="11" xfId="0" applyFont="1" applyFill="1" applyBorder="1" applyAlignment="1" applyProtection="1">
      <alignment vertical="center"/>
      <protection hidden="1"/>
    </xf>
    <xf numFmtId="0" fontId="41" fillId="0" borderId="50" xfId="1" quotePrefix="1" applyFont="1" applyBorder="1" applyAlignment="1" applyProtection="1">
      <alignment vertical="top" wrapText="1"/>
      <protection hidden="1"/>
    </xf>
    <xf numFmtId="0" fontId="41" fillId="0" borderId="60" xfId="1" quotePrefix="1" applyFont="1" applyBorder="1" applyAlignment="1" applyProtection="1">
      <alignment vertical="top" wrapText="1"/>
      <protection hidden="1"/>
    </xf>
    <xf numFmtId="0" fontId="8" fillId="0" borderId="8" xfId="1" applyFont="1" applyBorder="1" applyAlignment="1" applyProtection="1">
      <alignment horizontal="left" vertical="center" wrapText="1"/>
      <protection hidden="1"/>
    </xf>
    <xf numFmtId="0" fontId="8" fillId="0" borderId="9" xfId="1" applyFont="1" applyBorder="1" applyAlignment="1" applyProtection="1">
      <alignment horizontal="left" vertical="center" wrapText="1"/>
      <protection hidden="1"/>
    </xf>
    <xf numFmtId="0" fontId="0" fillId="3" borderId="53" xfId="1" applyFont="1" applyFill="1" applyBorder="1" applyAlignment="1" applyProtection="1">
      <alignment vertical="top"/>
      <protection hidden="1"/>
    </xf>
    <xf numFmtId="0" fontId="23" fillId="3" borderId="0" xfId="1" quotePrefix="1" applyFont="1" applyFill="1" applyAlignment="1" applyProtection="1">
      <alignment vertical="top" wrapText="1"/>
      <protection hidden="1"/>
    </xf>
    <xf numFmtId="0" fontId="23" fillId="3" borderId="50" xfId="1" quotePrefix="1" applyFont="1" applyFill="1" applyBorder="1" applyAlignment="1" applyProtection="1">
      <alignment vertical="top" wrapText="1"/>
      <protection hidden="1"/>
    </xf>
    <xf numFmtId="0" fontId="23" fillId="0" borderId="53" xfId="0" applyFont="1" applyBorder="1" applyAlignment="1" applyProtection="1">
      <alignment vertical="center" wrapText="1"/>
      <protection hidden="1"/>
    </xf>
    <xf numFmtId="0" fontId="23" fillId="0" borderId="51" xfId="0" applyFont="1" applyBorder="1" applyAlignment="1" applyProtection="1">
      <alignment vertical="center" wrapText="1"/>
      <protection hidden="1"/>
    </xf>
    <xf numFmtId="0" fontId="8" fillId="0" borderId="22" xfId="0" applyFont="1" applyBorder="1" applyAlignment="1" applyProtection="1">
      <alignment horizontal="left" vertical="center" wrapText="1"/>
      <protection hidden="1"/>
    </xf>
    <xf numFmtId="0" fontId="8" fillId="0" borderId="48" xfId="0" applyFont="1" applyBorder="1" applyAlignment="1" applyProtection="1">
      <alignment horizontal="left" vertical="center" wrapText="1"/>
      <protection hidden="1"/>
    </xf>
    <xf numFmtId="0" fontId="23" fillId="4" borderId="50" xfId="1" quotePrefix="1" applyFont="1" applyFill="1" applyBorder="1" applyAlignment="1" applyProtection="1">
      <alignment vertical="top" wrapText="1"/>
      <protection locked="0"/>
    </xf>
    <xf numFmtId="0" fontId="54" fillId="15" borderId="0" xfId="0" applyFont="1" applyFill="1" applyAlignment="1" applyProtection="1">
      <alignment horizontal="center" vertical="center" textRotation="90"/>
      <protection hidden="1"/>
    </xf>
    <xf numFmtId="0" fontId="8" fillId="3" borderId="8" xfId="1" applyFont="1" applyFill="1" applyBorder="1" applyAlignment="1" applyProtection="1">
      <alignment horizontal="right" vertical="center"/>
      <protection hidden="1"/>
    </xf>
    <xf numFmtId="0" fontId="8" fillId="3" borderId="9" xfId="1" applyFont="1" applyFill="1" applyBorder="1" applyAlignment="1" applyProtection="1">
      <alignment horizontal="right" vertical="center"/>
      <protection hidden="1"/>
    </xf>
    <xf numFmtId="0" fontId="8" fillId="3" borderId="42" xfId="1" applyFont="1" applyFill="1" applyBorder="1" applyAlignment="1" applyProtection="1">
      <alignment horizontal="right" vertical="center"/>
      <protection hidden="1"/>
    </xf>
    <xf numFmtId="0" fontId="23" fillId="0" borderId="3" xfId="0" applyFont="1" applyBorder="1" applyAlignment="1" applyProtection="1">
      <alignment vertical="center" wrapText="1"/>
      <protection hidden="1"/>
    </xf>
    <xf numFmtId="0" fontId="23" fillId="0" borderId="4" xfId="0" applyFont="1" applyBorder="1" applyAlignment="1" applyProtection="1">
      <alignment vertical="center" wrapText="1"/>
      <protection hidden="1"/>
    </xf>
    <xf numFmtId="0" fontId="23" fillId="0" borderId="0" xfId="0" applyFont="1" applyAlignment="1" applyProtection="1">
      <alignment vertical="center" wrapText="1"/>
      <protection hidden="1"/>
    </xf>
    <xf numFmtId="0" fontId="23" fillId="0" borderId="13" xfId="0" applyFont="1" applyBorder="1" applyAlignment="1" applyProtection="1">
      <alignment vertical="center" wrapText="1"/>
      <protection hidden="1"/>
    </xf>
    <xf numFmtId="0" fontId="40" fillId="15" borderId="0" xfId="1" applyFont="1" applyFill="1" applyAlignment="1" applyProtection="1">
      <alignment horizontal="left" vertical="top" wrapText="1"/>
      <protection hidden="1"/>
    </xf>
    <xf numFmtId="0" fontId="40" fillId="15" borderId="37" xfId="1" applyFont="1" applyFill="1" applyBorder="1" applyAlignment="1" applyProtection="1">
      <alignment horizontal="left" vertical="top" wrapText="1"/>
      <protection hidden="1"/>
    </xf>
    <xf numFmtId="0" fontId="40" fillId="8" borderId="0" xfId="1" applyFont="1" applyFill="1" applyAlignment="1" applyProtection="1">
      <alignment horizontal="right" vertical="center" wrapText="1"/>
      <protection hidden="1"/>
    </xf>
    <xf numFmtId="0" fontId="40" fillId="8" borderId="37" xfId="1" applyFont="1" applyFill="1" applyBorder="1" applyAlignment="1" applyProtection="1">
      <alignment horizontal="right" vertical="center" wrapText="1"/>
      <protection hidden="1"/>
    </xf>
    <xf numFmtId="0" fontId="0" fillId="3" borderId="3" xfId="1" applyFont="1" applyFill="1" applyBorder="1" applyAlignment="1" applyProtection="1">
      <alignment vertical="center"/>
      <protection hidden="1"/>
    </xf>
    <xf numFmtId="0" fontId="0" fillId="3" borderId="3" xfId="1" applyFont="1" applyFill="1" applyBorder="1" applyAlignment="1" applyProtection="1">
      <alignment vertical="top"/>
      <protection hidden="1"/>
    </xf>
    <xf numFmtId="0" fontId="41" fillId="0" borderId="53" xfId="1" quotePrefix="1" applyFont="1" applyBorder="1" applyAlignment="1" applyProtection="1">
      <alignment vertical="top"/>
      <protection hidden="1"/>
    </xf>
    <xf numFmtId="0" fontId="41" fillId="0" borderId="59" xfId="1" quotePrefix="1" applyFont="1" applyBorder="1" applyAlignment="1" applyProtection="1">
      <alignment vertical="top"/>
      <protection hidden="1"/>
    </xf>
    <xf numFmtId="0" fontId="41" fillId="0" borderId="6" xfId="1" quotePrefix="1" applyFont="1" applyBorder="1" applyAlignment="1" applyProtection="1">
      <alignment vertical="top" wrapText="1"/>
      <protection hidden="1"/>
    </xf>
    <xf numFmtId="0" fontId="41" fillId="0" borderId="79" xfId="1" quotePrefix="1" applyFont="1" applyBorder="1" applyAlignment="1" applyProtection="1">
      <alignment vertical="top" wrapText="1"/>
      <protection hidden="1"/>
    </xf>
    <xf numFmtId="0" fontId="23" fillId="0" borderId="0" xfId="0" applyFont="1" applyAlignment="1" applyProtection="1">
      <alignment vertical="center"/>
      <protection hidden="1"/>
    </xf>
    <xf numFmtId="0" fontId="23" fillId="0" borderId="6" xfId="0" applyFont="1" applyBorder="1" applyAlignment="1" applyProtection="1">
      <alignment vertical="center" wrapText="1"/>
      <protection hidden="1"/>
    </xf>
    <xf numFmtId="0" fontId="23" fillId="0" borderId="7" xfId="0" applyFont="1" applyBorder="1" applyAlignment="1" applyProtection="1">
      <alignment vertical="center" wrapText="1"/>
      <protection hidden="1"/>
    </xf>
    <xf numFmtId="0" fontId="0" fillId="3" borderId="0" xfId="1" applyFont="1" applyFill="1" applyAlignment="1" applyProtection="1">
      <alignment vertical="top"/>
      <protection hidden="1"/>
    </xf>
    <xf numFmtId="0" fontId="23" fillId="4" borderId="0" xfId="1" quotePrefix="1" applyFont="1" applyFill="1" applyAlignment="1" applyProtection="1">
      <alignment vertical="top" wrapText="1"/>
      <protection locked="0"/>
    </xf>
    <xf numFmtId="0" fontId="54" fillId="16" borderId="0" xfId="0" applyFont="1" applyFill="1" applyAlignment="1" applyProtection="1">
      <alignment horizontal="center" vertical="center" textRotation="90"/>
      <protection hidden="1"/>
    </xf>
    <xf numFmtId="0" fontId="40" fillId="16" borderId="0" xfId="1" applyFont="1" applyFill="1" applyAlignment="1" applyProtection="1">
      <alignment horizontal="left" vertical="top" wrapText="1"/>
      <protection hidden="1"/>
    </xf>
    <xf numFmtId="0" fontId="40" fillId="16" borderId="37" xfId="1" applyFont="1" applyFill="1" applyBorder="1" applyAlignment="1" applyProtection="1">
      <alignment horizontal="left" vertical="top" wrapText="1"/>
      <protection hidden="1"/>
    </xf>
    <xf numFmtId="0" fontId="40" fillId="14" borderId="0" xfId="1" applyFont="1" applyFill="1" applyAlignment="1" applyProtection="1">
      <alignment horizontal="right" vertical="center" wrapText="1"/>
      <protection hidden="1"/>
    </xf>
    <xf numFmtId="0" fontId="40" fillId="14" borderId="0" xfId="1" applyFont="1" applyFill="1" applyAlignment="1" applyProtection="1">
      <alignment horizontal="right" vertical="center"/>
      <protection hidden="1"/>
    </xf>
    <xf numFmtId="0" fontId="40" fillId="14" borderId="37" xfId="1" applyFont="1" applyFill="1" applyBorder="1" applyAlignment="1" applyProtection="1">
      <alignment horizontal="right" vertical="center"/>
      <protection hidden="1"/>
    </xf>
    <xf numFmtId="0" fontId="0" fillId="3" borderId="53" xfId="1" applyFont="1" applyFill="1" applyBorder="1" applyAlignment="1" applyProtection="1">
      <alignment vertical="top" wrapText="1"/>
      <protection hidden="1"/>
    </xf>
    <xf numFmtId="0" fontId="54" fillId="10" borderId="0" xfId="0" applyFont="1" applyFill="1" applyAlignment="1" applyProtection="1">
      <alignment horizontal="center" vertical="center" textRotation="90"/>
      <protection hidden="1"/>
    </xf>
    <xf numFmtId="4" fontId="0" fillId="5" borderId="59" xfId="1" applyNumberFormat="1" applyFont="1" applyFill="1" applyBorder="1" applyAlignment="1" applyProtection="1">
      <alignment horizontal="center" vertical="top"/>
      <protection locked="0"/>
    </xf>
    <xf numFmtId="4" fontId="0" fillId="5" borderId="52" xfId="1" applyNumberFormat="1" applyFont="1" applyFill="1" applyBorder="1" applyAlignment="1" applyProtection="1">
      <alignment horizontal="center" vertical="top"/>
      <protection locked="0"/>
    </xf>
    <xf numFmtId="4" fontId="0" fillId="5" borderId="37" xfId="1" applyNumberFormat="1" applyFont="1" applyFill="1" applyBorder="1" applyAlignment="1" applyProtection="1">
      <alignment horizontal="center" vertical="top"/>
      <protection locked="0"/>
    </xf>
    <xf numFmtId="4" fontId="0" fillId="5" borderId="36" xfId="1" applyNumberFormat="1" applyFont="1" applyFill="1" applyBorder="1" applyAlignment="1" applyProtection="1">
      <alignment horizontal="center" vertical="top"/>
      <protection locked="0"/>
    </xf>
    <xf numFmtId="0" fontId="8" fillId="3" borderId="18" xfId="1" applyFont="1" applyFill="1" applyBorder="1" applyAlignment="1" applyProtection="1">
      <alignment horizontal="right" vertical="center"/>
      <protection hidden="1"/>
    </xf>
    <xf numFmtId="4" fontId="0" fillId="5" borderId="34" xfId="1" applyNumberFormat="1" applyFont="1" applyFill="1" applyBorder="1" applyAlignment="1" applyProtection="1">
      <alignment horizontal="center" vertical="top"/>
      <protection locked="0"/>
    </xf>
    <xf numFmtId="4" fontId="0" fillId="5" borderId="33" xfId="1" applyNumberFormat="1" applyFont="1" applyFill="1" applyBorder="1" applyAlignment="1" applyProtection="1">
      <alignment horizontal="center" vertical="top"/>
      <protection locked="0"/>
    </xf>
    <xf numFmtId="0" fontId="8" fillId="10" borderId="0" xfId="0" applyFont="1" applyFill="1" applyAlignment="1" applyProtection="1">
      <alignment horizontal="left" vertical="top" wrapText="1"/>
      <protection hidden="1"/>
    </xf>
    <xf numFmtId="0" fontId="53" fillId="10" borderId="0" xfId="0" applyFont="1" applyFill="1" applyAlignment="1" applyProtection="1">
      <alignment horizontal="right" wrapText="1"/>
      <protection hidden="1"/>
    </xf>
    <xf numFmtId="4" fontId="8" fillId="10" borderId="38" xfId="0" applyNumberFormat="1" applyFont="1" applyFill="1" applyBorder="1" applyAlignment="1" applyProtection="1">
      <alignment horizontal="center" vertical="top" wrapText="1"/>
      <protection hidden="1"/>
    </xf>
    <xf numFmtId="4" fontId="8" fillId="10" borderId="38" xfId="0" applyNumberFormat="1" applyFont="1" applyFill="1" applyBorder="1" applyAlignment="1" applyProtection="1">
      <alignment horizontal="center" vertical="top"/>
      <protection hidden="1"/>
    </xf>
    <xf numFmtId="0" fontId="40" fillId="8" borderId="0" xfId="1" applyFont="1" applyFill="1" applyAlignment="1" applyProtection="1">
      <alignment horizontal="right" vertical="center"/>
      <protection hidden="1"/>
    </xf>
    <xf numFmtId="0" fontId="40" fillId="8" borderId="66" xfId="1" applyFont="1" applyFill="1" applyBorder="1" applyAlignment="1" applyProtection="1">
      <alignment horizontal="right" vertical="center"/>
      <protection hidden="1"/>
    </xf>
    <xf numFmtId="167" fontId="23" fillId="0" borderId="0" xfId="0" applyNumberFormat="1" applyFont="1" applyAlignment="1" applyProtection="1">
      <alignment horizontal="left" vertical="top"/>
      <protection hidden="1"/>
    </xf>
    <xf numFmtId="0" fontId="54" fillId="11" borderId="0" xfId="0" applyFont="1" applyFill="1" applyAlignment="1" applyProtection="1">
      <alignment horizontal="center" vertical="center" textRotation="90"/>
      <protection hidden="1"/>
    </xf>
    <xf numFmtId="0" fontId="53" fillId="11" borderId="0" xfId="0" applyFont="1" applyFill="1" applyAlignment="1" applyProtection="1">
      <alignment horizontal="right" wrapText="1"/>
      <protection hidden="1"/>
    </xf>
    <xf numFmtId="0" fontId="8" fillId="11" borderId="0" xfId="0" applyFont="1" applyFill="1" applyAlignment="1" applyProtection="1">
      <alignment horizontal="left" vertical="top" wrapText="1"/>
      <protection hidden="1"/>
    </xf>
    <xf numFmtId="4" fontId="8" fillId="11" borderId="38" xfId="0" applyNumberFormat="1" applyFont="1" applyFill="1" applyBorder="1" applyAlignment="1" applyProtection="1">
      <alignment horizontal="center" vertical="top" wrapText="1"/>
      <protection hidden="1"/>
    </xf>
    <xf numFmtId="4" fontId="8" fillId="11" borderId="38" xfId="0" applyNumberFormat="1" applyFont="1" applyFill="1" applyBorder="1" applyAlignment="1" applyProtection="1">
      <alignment horizontal="center" vertical="top"/>
      <protection hidden="1"/>
    </xf>
  </cellXfs>
  <cellStyles count="11">
    <cellStyle name="Link" xfId="3" builtinId="8"/>
    <cellStyle name="Standard" xfId="0" builtinId="0"/>
    <cellStyle name="Standard 2" xfId="1"/>
    <cellStyle name="Standard 2 2" xfId="2"/>
    <cellStyle name="Standard 2 2 2" xfId="5"/>
    <cellStyle name="Standard 2 2 2 2" xfId="9"/>
    <cellStyle name="Standard 2 2 3" xfId="7"/>
    <cellStyle name="Standard 2 3" xfId="4"/>
    <cellStyle name="Standard 2 3 2" xfId="8"/>
    <cellStyle name="Standard 2 4" xfId="6"/>
    <cellStyle name="Währung" xfId="10" builtinId="4"/>
  </cellStyles>
  <dxfs count="1910">
    <dxf>
      <numFmt numFmtId="167" formatCode="#,##0.00;;;@"/>
    </dxf>
    <dxf>
      <numFmt numFmtId="167" formatCode="#,##0.00;;;@"/>
    </dxf>
    <dxf>
      <numFmt numFmtId="167" formatCode="#,##0.00;;;@"/>
    </dxf>
    <dxf>
      <numFmt numFmtId="167" formatCode="#,##0.00;;;@"/>
    </dxf>
    <dxf>
      <numFmt numFmtId="0" formatCode="General"/>
    </dxf>
    <dxf>
      <border outline="0">
        <top style="thin">
          <color theme="4" tint="0.39997558519241921"/>
        </top>
      </border>
    </dxf>
    <dxf>
      <border outline="0">
        <bottom style="thin">
          <color theme="4" tint="0.39997558519241921"/>
        </bottom>
      </border>
    </dxf>
    <dxf>
      <fill>
        <patternFill patternType="solid">
          <fgColor theme="4" tint="0.79998168889431442"/>
          <bgColor theme="4" tint="-0.249977111117893"/>
        </patternFill>
      </fill>
    </dxf>
    <dxf>
      <numFmt numFmtId="0" formatCode="General"/>
    </dxf>
    <dxf>
      <numFmt numFmtId="167" formatCode="#,##0.00;;;@"/>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b/>
        <i val="0"/>
      </font>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b/>
        <i val="0"/>
      </font>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b val="0"/>
        <i/>
      </font>
    </dxf>
    <dxf>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strike/>
        <color theme="0"/>
      </font>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border>
        <left style="thin">
          <color auto="1"/>
        </left>
        <right style="thin">
          <color auto="1"/>
        </right>
        <top style="thin">
          <color auto="1"/>
        </top>
        <bottom style="thin">
          <color auto="1"/>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val="0"/>
        <color auto="1"/>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color theme="0"/>
      </font>
    </dxf>
    <dxf>
      <font>
        <strike/>
        <color theme="0"/>
      </font>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theme="0"/>
      </font>
      <fill>
        <patternFill patternType="solid">
          <bgColor theme="0"/>
        </patternFill>
      </fill>
    </dxf>
    <dxf>
      <font>
        <b/>
        <i val="0"/>
      </font>
    </dxf>
    <dxf>
      <font>
        <b/>
        <i val="0"/>
      </font>
    </dxf>
    <dxf>
      <font>
        <strike/>
        <color rgb="FFC00000"/>
      </font>
      <fill>
        <patternFill>
          <bgColor theme="0"/>
        </patternFill>
      </fill>
    </dxf>
    <dxf>
      <font>
        <b val="0"/>
        <i/>
      </font>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0"/>
        </patternFill>
      </fill>
    </dxf>
    <dxf>
      <fill>
        <patternFill>
          <bgColor theme="0"/>
        </patternFill>
      </fill>
    </dxf>
    <dxf>
      <fill>
        <patternFill>
          <bgColor theme="0"/>
        </patternFill>
      </fill>
    </dxf>
    <dxf>
      <fill>
        <patternFill>
          <bgColor theme="0"/>
        </patternFill>
      </fill>
    </dxf>
    <dxf>
      <font>
        <strike/>
        <color theme="0"/>
      </font>
      <fill>
        <patternFill>
          <bgColor theme="0"/>
        </patternFill>
      </fill>
    </dxf>
    <dxf>
      <font>
        <strike/>
        <color theme="0"/>
      </font>
      <fill>
        <patternFill>
          <bgColor theme="0"/>
        </patternFill>
      </fill>
    </dxf>
    <dxf>
      <font>
        <strike/>
        <color theme="0"/>
      </font>
    </dxf>
    <dxf>
      <font>
        <strike/>
        <color theme="0"/>
      </font>
      <fill>
        <patternFill>
          <bgColor theme="0"/>
        </patternFill>
      </fill>
    </dxf>
    <dxf>
      <font>
        <b/>
        <i val="0"/>
      </font>
    </dxf>
    <dxf>
      <font>
        <b/>
        <i val="0"/>
      </font>
    </dxf>
    <dxf>
      <font>
        <b/>
        <i val="0"/>
      </font>
    </dxf>
    <dxf>
      <font>
        <b/>
        <i val="0"/>
      </font>
    </dxf>
    <dxf>
      <font>
        <strike/>
        <color rgb="FFC00000"/>
      </font>
      <fill>
        <patternFill>
          <bgColor theme="0"/>
        </patternFill>
      </fill>
    </dxf>
    <dxf>
      <font>
        <b val="0"/>
        <i/>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FF0000"/>
        </left>
        <right style="thin">
          <color rgb="FFFF0000"/>
        </right>
        <top style="thin">
          <color rgb="FFFF0000"/>
        </top>
        <bottom style="thin">
          <color rgb="FFFF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b/>
        <i val="0"/>
      </font>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rgb="FFC00000"/>
      </font>
      <fill>
        <patternFill>
          <bgColor theme="0" tint="-4.9989318521683403E-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0" tint="-4.9989318521683403E-2"/>
        </patternFill>
      </fill>
    </dxf>
    <dxf>
      <border>
        <left style="thin">
          <color rgb="FFC00000"/>
        </left>
        <right style="thin">
          <color rgb="FFC00000"/>
        </right>
        <top style="thin">
          <color rgb="FFC00000"/>
        </top>
        <bottom style="thin">
          <color rgb="FFC00000"/>
        </bottom>
        <vertical/>
        <horizontal/>
      </border>
    </dxf>
    <dxf>
      <font>
        <b/>
        <i val="0"/>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theme="0" tint="-0.14996795556505021"/>
      </font>
    </dxf>
    <dxf>
      <fill>
        <patternFill patternType="none">
          <bgColor auto="1"/>
        </patternFill>
      </fill>
    </dxf>
    <dxf>
      <border>
        <left style="thin">
          <color rgb="FFC00000"/>
        </left>
        <right style="thin">
          <color rgb="FFC00000"/>
        </right>
        <top style="thin">
          <color rgb="FFC00000"/>
        </top>
        <bottom style="thin">
          <color rgb="FFC00000"/>
        </bottom>
        <vertical/>
        <horizontal/>
      </border>
    </dxf>
    <dxf>
      <fill>
        <patternFill patternType="none">
          <bgColor auto="1"/>
        </patternFill>
      </fill>
    </dxf>
    <dxf>
      <fill>
        <patternFill>
          <bgColor theme="0"/>
        </patternFill>
      </fill>
      <border>
        <left style="thin">
          <color auto="1"/>
        </left>
        <right style="thin">
          <color auto="1"/>
        </right>
        <top style="thin">
          <color auto="1"/>
        </top>
        <bottom style="thin">
          <color auto="1"/>
        </bottom>
      </border>
    </dxf>
    <dxf>
      <font>
        <strike/>
        <color theme="0" tint="-0.14996795556505021"/>
      </font>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24994659260841701"/>
      </font>
      <fill>
        <patternFill patternType="none">
          <bgColor auto="1"/>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5" tint="0.79998168889431442"/>
        </patternFill>
      </fill>
    </dxf>
    <dxf>
      <border>
        <left style="thin">
          <color rgb="FFC00000"/>
        </left>
        <right style="thin">
          <color rgb="FFC00000"/>
        </right>
        <top style="thin">
          <color rgb="FFC00000"/>
        </top>
        <bottom style="thin">
          <color rgb="FFC00000"/>
        </bottom>
        <vertical/>
        <horizontal/>
      </border>
    </dxf>
    <dxf>
      <font>
        <color theme="0"/>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theme="0" tint="-0.14996795556505021"/>
      </font>
    </dxf>
    <dxf>
      <font>
        <strike/>
        <color theme="0" tint="-0.14996795556505021"/>
      </font>
    </dxf>
  </dxfs>
  <tableStyles count="0" defaultTableStyle="TableStyleMedium2" defaultPivotStyle="PivotStyleLight16"/>
  <colors>
    <mruColors>
      <color rgb="FF0000FF"/>
      <color rgb="FFFFFFCC"/>
      <color rgb="FFFFCC99"/>
      <color rgb="FFFF9966"/>
      <color rgb="FFE7EEF5"/>
      <color rgb="FFF9EBEB"/>
      <color rgb="FFFCF6F6"/>
      <color rgb="FFC8D7EA"/>
      <color rgb="FFEAF0F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I$13" lockText="1" noThreeD="1"/>
</file>

<file path=xl/ctrlProps/ctrlProp10.xml><?xml version="1.0" encoding="utf-8"?>
<formControlPr xmlns="http://schemas.microsoft.com/office/spreadsheetml/2009/9/main" objectType="CheckBox" fmlaLink="$I$17" lockText="1" noThreeD="1"/>
</file>

<file path=xl/ctrlProps/ctrlProp100.xml><?xml version="1.0" encoding="utf-8"?>
<formControlPr xmlns="http://schemas.microsoft.com/office/spreadsheetml/2009/9/main" objectType="CheckBox" fmlaLink="$M$156" lockText="1" noThreeD="1"/>
</file>

<file path=xl/ctrlProps/ctrlProp101.xml><?xml version="1.0" encoding="utf-8"?>
<formControlPr xmlns="http://schemas.microsoft.com/office/spreadsheetml/2009/9/main" objectType="CheckBox" fmlaLink="$M$158" lockText="1" noThreeD="1"/>
</file>

<file path=xl/ctrlProps/ctrlProp102.xml><?xml version="1.0" encoding="utf-8"?>
<formControlPr xmlns="http://schemas.microsoft.com/office/spreadsheetml/2009/9/main" objectType="CheckBox" fmlaLink="$M$160" lockText="1" noThreeD="1"/>
</file>

<file path=xl/ctrlProps/ctrlProp103.xml><?xml version="1.0" encoding="utf-8"?>
<formControlPr xmlns="http://schemas.microsoft.com/office/spreadsheetml/2009/9/main" objectType="CheckBox" fmlaLink="$M$162" lockText="1" noThreeD="1"/>
</file>

<file path=xl/ctrlProps/ctrlProp104.xml><?xml version="1.0" encoding="utf-8"?>
<formControlPr xmlns="http://schemas.microsoft.com/office/spreadsheetml/2009/9/main" objectType="CheckBox" fmlaLink="$M$164" lockText="1" noThreeD="1"/>
</file>

<file path=xl/ctrlProps/ctrlProp105.xml><?xml version="1.0" encoding="utf-8"?>
<formControlPr xmlns="http://schemas.microsoft.com/office/spreadsheetml/2009/9/main" objectType="CheckBox" fmlaLink="$M$166" lockText="1" noThreeD="1"/>
</file>

<file path=xl/ctrlProps/ctrlProp106.xml><?xml version="1.0" encoding="utf-8"?>
<formControlPr xmlns="http://schemas.microsoft.com/office/spreadsheetml/2009/9/main" objectType="CheckBox" fmlaLink="$M$171" lockText="1" noThreeD="1"/>
</file>

<file path=xl/ctrlProps/ctrlProp107.xml><?xml version="1.0" encoding="utf-8"?>
<formControlPr xmlns="http://schemas.microsoft.com/office/spreadsheetml/2009/9/main" objectType="CheckBox" fmlaLink="$M$173" lockText="1" noThreeD="1"/>
</file>

<file path=xl/ctrlProps/ctrlProp108.xml><?xml version="1.0" encoding="utf-8"?>
<formControlPr xmlns="http://schemas.microsoft.com/office/spreadsheetml/2009/9/main" objectType="CheckBox" fmlaLink="$M$66" lockText="1" noThreeD="1"/>
</file>

<file path=xl/ctrlProps/ctrlProp109.xml><?xml version="1.0" encoding="utf-8"?>
<formControlPr xmlns="http://schemas.microsoft.com/office/spreadsheetml/2009/9/main" objectType="CheckBox" fmlaLink="$M$68" lockText="1" noThreeD="1"/>
</file>

<file path=xl/ctrlProps/ctrlProp11.xml><?xml version="1.0" encoding="utf-8"?>
<formControlPr xmlns="http://schemas.microsoft.com/office/spreadsheetml/2009/9/main" objectType="CheckBox" fmlaLink="$I$18" lockText="1" noThreeD="1"/>
</file>

<file path=xl/ctrlProps/ctrlProp110.xml><?xml version="1.0" encoding="utf-8"?>
<formControlPr xmlns="http://schemas.microsoft.com/office/spreadsheetml/2009/9/main" objectType="CheckBox" fmlaLink="$M$70" lockText="1" noThreeD="1"/>
</file>

<file path=xl/ctrlProps/ctrlProp111.xml><?xml version="1.0" encoding="utf-8"?>
<formControlPr xmlns="http://schemas.microsoft.com/office/spreadsheetml/2009/9/main" objectType="CheckBox" fmlaLink="$M$130" lockText="1" noThreeD="1"/>
</file>

<file path=xl/ctrlProps/ctrlProp112.xml><?xml version="1.0" encoding="utf-8"?>
<formControlPr xmlns="http://schemas.microsoft.com/office/spreadsheetml/2009/9/main" objectType="CheckBox" fmlaLink="$M$128" lockText="1" noThreeD="1"/>
</file>

<file path=xl/ctrlProps/ctrlProp113.xml><?xml version="1.0" encoding="utf-8"?>
<formControlPr xmlns="http://schemas.microsoft.com/office/spreadsheetml/2009/9/main" objectType="CheckBox" fmlaLink="$M$126" lockText="1" noThreeD="1"/>
</file>

<file path=xl/ctrlProps/ctrlProp114.xml><?xml version="1.0" encoding="utf-8"?>
<formControlPr xmlns="http://schemas.microsoft.com/office/spreadsheetml/2009/9/main" objectType="CheckBox" fmlaLink="$M$143" lockText="1" noThreeD="1"/>
</file>

<file path=xl/ctrlProps/ctrlProp115.xml><?xml version="1.0" encoding="utf-8"?>
<formControlPr xmlns="http://schemas.microsoft.com/office/spreadsheetml/2009/9/main" objectType="CheckBox" fmlaLink="$M$141" lockText="1" noThreeD="1"/>
</file>

<file path=xl/ctrlProps/ctrlProp116.xml><?xml version="1.0" encoding="utf-8"?>
<formControlPr xmlns="http://schemas.microsoft.com/office/spreadsheetml/2009/9/main" objectType="CheckBox" fmlaLink="$M$42" lockText="1" noThreeD="1"/>
</file>

<file path=xl/ctrlProps/ctrlProp117.xml><?xml version="1.0" encoding="utf-8"?>
<formControlPr xmlns="http://schemas.microsoft.com/office/spreadsheetml/2009/9/main" objectType="CheckBox" fmlaLink="$M$40" lockText="1" noThreeD="1"/>
</file>

<file path=xl/ctrlProps/ctrlProp118.xml><?xml version="1.0" encoding="utf-8"?>
<formControlPr xmlns="http://schemas.microsoft.com/office/spreadsheetml/2009/9/main" objectType="CheckBox" fmlaLink="$M$88" lockText="1" noThreeD="1"/>
</file>

<file path=xl/ctrlProps/ctrlProp119.xml><?xml version="1.0" encoding="utf-8"?>
<formControlPr xmlns="http://schemas.microsoft.com/office/spreadsheetml/2009/9/main" objectType="CheckBox" fmlaLink="$M$94" lockText="1" noThreeD="1"/>
</file>

<file path=xl/ctrlProps/ctrlProp12.xml><?xml version="1.0" encoding="utf-8"?>
<formControlPr xmlns="http://schemas.microsoft.com/office/spreadsheetml/2009/9/main" objectType="CheckBox" checked="Checked" fmlaLink="$I$19" lockText="1" noThreeD="1"/>
</file>

<file path=xl/ctrlProps/ctrlProp120.xml><?xml version="1.0" encoding="utf-8"?>
<formControlPr xmlns="http://schemas.microsoft.com/office/spreadsheetml/2009/9/main" objectType="CheckBox" fmlaLink="$M$76" lockText="1" noThreeD="1"/>
</file>

<file path=xl/ctrlProps/ctrlProp121.xml><?xml version="1.0" encoding="utf-8"?>
<formControlPr xmlns="http://schemas.microsoft.com/office/spreadsheetml/2009/9/main" objectType="CheckBox" fmlaLink="$M$85" lockText="1" noThreeD="1"/>
</file>

<file path=xl/ctrlProps/ctrlProp122.xml><?xml version="1.0" encoding="utf-8"?>
<formControlPr xmlns="http://schemas.microsoft.com/office/spreadsheetml/2009/9/main" objectType="CheckBox" fmlaLink="$M$79" lockText="1" noThreeD="1"/>
</file>

<file path=xl/ctrlProps/ctrlProp123.xml><?xml version="1.0" encoding="utf-8"?>
<formControlPr xmlns="http://schemas.microsoft.com/office/spreadsheetml/2009/9/main" objectType="CheckBox" fmlaLink="$M$80" lockText="1" noThreeD="1"/>
</file>

<file path=xl/ctrlProps/ctrlProp124.xml><?xml version="1.0" encoding="utf-8"?>
<formControlPr xmlns="http://schemas.microsoft.com/office/spreadsheetml/2009/9/main" objectType="CheckBox" fmlaLink="$M$81" lockText="1" noThreeD="1"/>
</file>

<file path=xl/ctrlProps/ctrlProp125.xml><?xml version="1.0" encoding="utf-8"?>
<formControlPr xmlns="http://schemas.microsoft.com/office/spreadsheetml/2009/9/main" objectType="CheckBox" fmlaLink="$M$83" lockText="1" noThreeD="1"/>
</file>

<file path=xl/ctrlProps/ctrlProp126.xml><?xml version="1.0" encoding="utf-8"?>
<formControlPr xmlns="http://schemas.microsoft.com/office/spreadsheetml/2009/9/main" objectType="CheckBox" fmlaLink="$M$91" lockText="1" noThreeD="1"/>
</file>

<file path=xl/ctrlProps/ctrlProp127.xml><?xml version="1.0" encoding="utf-8"?>
<formControlPr xmlns="http://schemas.microsoft.com/office/spreadsheetml/2009/9/main" objectType="CheckBox" fmlaLink="$M$97" lockText="1" noThreeD="1"/>
</file>

<file path=xl/ctrlProps/ctrlProp128.xml><?xml version="1.0" encoding="utf-8"?>
<formControlPr xmlns="http://schemas.microsoft.com/office/spreadsheetml/2009/9/main" objectType="CheckBox" fmlaLink="$M$98" lockText="1" noThreeD="1"/>
</file>

<file path=xl/ctrlProps/ctrlProp129.xml><?xml version="1.0" encoding="utf-8"?>
<formControlPr xmlns="http://schemas.microsoft.com/office/spreadsheetml/2009/9/main" objectType="CheckBox" fmlaLink="$M$99" lockText="1" noThreeD="1"/>
</file>

<file path=xl/ctrlProps/ctrlProp13.xml><?xml version="1.0" encoding="utf-8"?>
<formControlPr xmlns="http://schemas.microsoft.com/office/spreadsheetml/2009/9/main" objectType="CheckBox" fmlaLink="$I$20" lockText="1" noThreeD="1"/>
</file>

<file path=xl/ctrlProps/ctrlProp130.xml><?xml version="1.0" encoding="utf-8"?>
<formControlPr xmlns="http://schemas.microsoft.com/office/spreadsheetml/2009/9/main" objectType="CheckBox" fmlaLink="$L$72" lockText="1" noThreeD="1"/>
</file>

<file path=xl/ctrlProps/ctrlProp131.xml><?xml version="1.0" encoding="utf-8"?>
<formControlPr xmlns="http://schemas.microsoft.com/office/spreadsheetml/2009/9/main" objectType="CheckBox" checked="Checked" fmlaLink="$L$71" lockText="1" noThreeD="1"/>
</file>

<file path=xl/ctrlProps/ctrlProp132.xml><?xml version="1.0" encoding="utf-8"?>
<formControlPr xmlns="http://schemas.microsoft.com/office/spreadsheetml/2009/9/main" objectType="CheckBox" fmlaLink="$L$27" lockText="1" noThreeD="1"/>
</file>

<file path=xl/ctrlProps/ctrlProp133.xml><?xml version="1.0" encoding="utf-8"?>
<formControlPr xmlns="http://schemas.microsoft.com/office/spreadsheetml/2009/9/main" objectType="CheckBox" fmlaLink="$L$58" lockText="1" noThreeD="1"/>
</file>

<file path=xl/ctrlProps/ctrlProp134.xml><?xml version="1.0" encoding="utf-8"?>
<formControlPr xmlns="http://schemas.microsoft.com/office/spreadsheetml/2009/9/main" objectType="CheckBox" fmlaLink="$L$52" lockText="1" noThreeD="1"/>
</file>

<file path=xl/ctrlProps/ctrlProp135.xml><?xml version="1.0" encoding="utf-8"?>
<formControlPr xmlns="http://schemas.microsoft.com/office/spreadsheetml/2009/9/main" objectType="CheckBox" fmlaLink="L32" lockText="1" noThreeD="1"/>
</file>

<file path=xl/ctrlProps/ctrlProp136.xml><?xml version="1.0" encoding="utf-8"?>
<formControlPr xmlns="http://schemas.microsoft.com/office/spreadsheetml/2009/9/main" objectType="CheckBox" checked="Checked" fmlaLink="L99" lockText="1" noThreeD="1"/>
</file>

<file path=xl/ctrlProps/ctrlProp137.xml><?xml version="1.0" encoding="utf-8"?>
<formControlPr xmlns="http://schemas.microsoft.com/office/spreadsheetml/2009/9/main" objectType="CheckBox" checked="Checked" fmlaLink="L100" lockText="1" noThreeD="1"/>
</file>

<file path=xl/ctrlProps/ctrlProp138.xml><?xml version="1.0" encoding="utf-8"?>
<formControlPr xmlns="http://schemas.microsoft.com/office/spreadsheetml/2009/9/main" objectType="CheckBox" checked="Checked" fmlaLink="L101" lockText="1" noThreeD="1"/>
</file>

<file path=xl/ctrlProps/ctrlProp139.xml><?xml version="1.0" encoding="utf-8"?>
<formControlPr xmlns="http://schemas.microsoft.com/office/spreadsheetml/2009/9/main" objectType="CheckBox" fmlaLink="L88" lockText="1" noThreeD="1"/>
</file>

<file path=xl/ctrlProps/ctrlProp14.xml><?xml version="1.0" encoding="utf-8"?>
<formControlPr xmlns="http://schemas.microsoft.com/office/spreadsheetml/2009/9/main" objectType="CheckBox" fmlaLink="$I$21" lockText="1" noThreeD="1"/>
</file>

<file path=xl/ctrlProps/ctrlProp140.xml><?xml version="1.0" encoding="utf-8"?>
<formControlPr xmlns="http://schemas.microsoft.com/office/spreadsheetml/2009/9/main" objectType="CheckBox" fmlaLink="L89" lockText="1" noThreeD="1"/>
</file>

<file path=xl/ctrlProps/ctrlProp141.xml><?xml version="1.0" encoding="utf-8"?>
<formControlPr xmlns="http://schemas.microsoft.com/office/spreadsheetml/2009/9/main" objectType="CheckBox" fmlaLink="$L$85" lockText="1" noThreeD="1"/>
</file>

<file path=xl/ctrlProps/ctrlProp142.xml><?xml version="1.0" encoding="utf-8"?>
<formControlPr xmlns="http://schemas.microsoft.com/office/spreadsheetml/2009/9/main" objectType="CheckBox" checked="Checked" fmlaLink="$L$17" lockText="1" noThreeD="1"/>
</file>

<file path=xl/ctrlProps/ctrlProp143.xml><?xml version="1.0" encoding="utf-8"?>
<formControlPr xmlns="http://schemas.microsoft.com/office/spreadsheetml/2009/9/main" objectType="CheckBox" fmlaLink="$L$126" lockText="1" noThreeD="1"/>
</file>

<file path=xl/ctrlProps/ctrlProp144.xml><?xml version="1.0" encoding="utf-8"?>
<formControlPr xmlns="http://schemas.microsoft.com/office/spreadsheetml/2009/9/main" objectType="CheckBox" fmlaLink="$L$18" lockText="1" noThreeD="1"/>
</file>

<file path=xl/ctrlProps/ctrlProp145.xml><?xml version="1.0" encoding="utf-8"?>
<formControlPr xmlns="http://schemas.microsoft.com/office/spreadsheetml/2009/9/main" objectType="CheckBox" checked="Checked" fmlaLink="$L$50" lockText="1" noThreeD="1"/>
</file>

<file path=xl/ctrlProps/ctrlProp146.xml><?xml version="1.0" encoding="utf-8"?>
<formControlPr xmlns="http://schemas.microsoft.com/office/spreadsheetml/2009/9/main" objectType="CheckBox" fmlaLink="$L$70" lockText="1" noThreeD="1"/>
</file>

<file path=xl/ctrlProps/ctrlProp147.xml><?xml version="1.0" encoding="utf-8"?>
<formControlPr xmlns="http://schemas.microsoft.com/office/spreadsheetml/2009/9/main" objectType="CheckBox" fmlaLink="L106" lockText="1" noThreeD="1"/>
</file>

<file path=xl/ctrlProps/ctrlProp148.xml><?xml version="1.0" encoding="utf-8"?>
<formControlPr xmlns="http://schemas.microsoft.com/office/spreadsheetml/2009/9/main" objectType="CheckBox" fmlaLink="L105" lockText="1" noThreeD="1"/>
</file>

<file path=xl/ctrlProps/ctrlProp149.xml><?xml version="1.0" encoding="utf-8"?>
<formControlPr xmlns="http://schemas.microsoft.com/office/spreadsheetml/2009/9/main" objectType="CheckBox" fmlaLink="$L$73" lockText="1" noThreeD="1"/>
</file>

<file path=xl/ctrlProps/ctrlProp15.xml><?xml version="1.0" encoding="utf-8"?>
<formControlPr xmlns="http://schemas.microsoft.com/office/spreadsheetml/2009/9/main" objectType="CheckBox" checked="Checked" fmlaLink="$K$12" lockText="1" noThreeD="1"/>
</file>

<file path=xl/ctrlProps/ctrlProp150.xml><?xml version="1.0" encoding="utf-8"?>
<formControlPr xmlns="http://schemas.microsoft.com/office/spreadsheetml/2009/9/main" objectType="CheckBox" fmlaLink="L86" lockText="1" noThreeD="1"/>
</file>

<file path=xl/ctrlProps/ctrlProp151.xml><?xml version="1.0" encoding="utf-8"?>
<formControlPr xmlns="http://schemas.microsoft.com/office/spreadsheetml/2009/9/main" objectType="CheckBox" fmlaLink="$K$18" lockText="1" noThreeD="1"/>
</file>

<file path=xl/ctrlProps/ctrlProp152.xml><?xml version="1.0" encoding="utf-8"?>
<formControlPr xmlns="http://schemas.microsoft.com/office/spreadsheetml/2009/9/main" objectType="CheckBox" fmlaLink="$K$19" lockText="1" noThreeD="1"/>
</file>

<file path=xl/ctrlProps/ctrlProp153.xml><?xml version="1.0" encoding="utf-8"?>
<formControlPr xmlns="http://schemas.microsoft.com/office/spreadsheetml/2009/9/main" objectType="CheckBox" fmlaLink="$K$20" lockText="1" noThreeD="1"/>
</file>

<file path=xl/ctrlProps/ctrlProp154.xml><?xml version="1.0" encoding="utf-8"?>
<formControlPr xmlns="http://schemas.microsoft.com/office/spreadsheetml/2009/9/main" objectType="CheckBox" fmlaLink="$K$21" lockText="1" noThreeD="1"/>
</file>

<file path=xl/ctrlProps/ctrlProp155.xml><?xml version="1.0" encoding="utf-8"?>
<formControlPr xmlns="http://schemas.microsoft.com/office/spreadsheetml/2009/9/main" objectType="CheckBox" fmlaLink="$K$22" lockText="1" noThreeD="1"/>
</file>

<file path=xl/ctrlProps/ctrlProp156.xml><?xml version="1.0" encoding="utf-8"?>
<formControlPr xmlns="http://schemas.microsoft.com/office/spreadsheetml/2009/9/main" objectType="CheckBox" fmlaLink="$K$23" lockText="1" noThreeD="1"/>
</file>

<file path=xl/ctrlProps/ctrlProp157.xml><?xml version="1.0" encoding="utf-8"?>
<formControlPr xmlns="http://schemas.microsoft.com/office/spreadsheetml/2009/9/main" objectType="CheckBox" fmlaLink="$K$24" lockText="1" noThreeD="1"/>
</file>

<file path=xl/ctrlProps/ctrlProp158.xml><?xml version="1.0" encoding="utf-8"?>
<formControlPr xmlns="http://schemas.microsoft.com/office/spreadsheetml/2009/9/main" objectType="CheckBox" fmlaLink="$K$25" lockText="1" noThreeD="1"/>
</file>

<file path=xl/ctrlProps/ctrlProp159.xml><?xml version="1.0" encoding="utf-8"?>
<formControlPr xmlns="http://schemas.microsoft.com/office/spreadsheetml/2009/9/main" objectType="CheckBox" fmlaLink="$K$26" lockText="1" noThreeD="1"/>
</file>

<file path=xl/ctrlProps/ctrlProp16.xml><?xml version="1.0" encoding="utf-8"?>
<formControlPr xmlns="http://schemas.microsoft.com/office/spreadsheetml/2009/9/main" objectType="CheckBox" fmlaLink="$L$19" lockText="1" noThreeD="1"/>
</file>

<file path=xl/ctrlProps/ctrlProp160.xml><?xml version="1.0" encoding="utf-8"?>
<formControlPr xmlns="http://schemas.microsoft.com/office/spreadsheetml/2009/9/main" objectType="CheckBox" fmlaLink="$K$27" lockText="1" noThreeD="1"/>
</file>

<file path=xl/ctrlProps/ctrlProp161.xml><?xml version="1.0" encoding="utf-8"?>
<formControlPr xmlns="http://schemas.microsoft.com/office/spreadsheetml/2009/9/main" objectType="CheckBox" fmlaLink="$K$28" lockText="1" noThreeD="1"/>
</file>

<file path=xl/ctrlProps/ctrlProp162.xml><?xml version="1.0" encoding="utf-8"?>
<formControlPr xmlns="http://schemas.microsoft.com/office/spreadsheetml/2009/9/main" objectType="CheckBox" fmlaLink="$L$19" lockText="1" noThreeD="1"/>
</file>

<file path=xl/ctrlProps/ctrlProp163.xml><?xml version="1.0" encoding="utf-8"?>
<formControlPr xmlns="http://schemas.microsoft.com/office/spreadsheetml/2009/9/main" objectType="CheckBox" fmlaLink="$L$21" lockText="1" noThreeD="1"/>
</file>

<file path=xl/ctrlProps/ctrlProp164.xml><?xml version="1.0" encoding="utf-8"?>
<formControlPr xmlns="http://schemas.microsoft.com/office/spreadsheetml/2009/9/main" objectType="CheckBox" fmlaLink="$L$30" lockText="1" noThreeD="1"/>
</file>

<file path=xl/ctrlProps/ctrlProp165.xml><?xml version="1.0" encoding="utf-8"?>
<formControlPr xmlns="http://schemas.microsoft.com/office/spreadsheetml/2009/9/main" objectType="CheckBox" fmlaLink="$L$32" lockText="1" noThreeD="1"/>
</file>

<file path=xl/ctrlProps/ctrlProp166.xml><?xml version="1.0" encoding="utf-8"?>
<formControlPr xmlns="http://schemas.microsoft.com/office/spreadsheetml/2009/9/main" objectType="CheckBox" fmlaLink="$L$34" lockText="1" noThreeD="1"/>
</file>

<file path=xl/ctrlProps/ctrlProp167.xml><?xml version="1.0" encoding="utf-8"?>
<formControlPr xmlns="http://schemas.microsoft.com/office/spreadsheetml/2009/9/main" objectType="CheckBox" fmlaLink="$L$36" lockText="1" noThreeD="1"/>
</file>

<file path=xl/ctrlProps/ctrlProp168.xml><?xml version="1.0" encoding="utf-8"?>
<formControlPr xmlns="http://schemas.microsoft.com/office/spreadsheetml/2009/9/main" objectType="CheckBox" fmlaLink="$L$38" lockText="1" noThreeD="1"/>
</file>

<file path=xl/ctrlProps/ctrlProp169.xml><?xml version="1.0" encoding="utf-8"?>
<formControlPr xmlns="http://schemas.microsoft.com/office/spreadsheetml/2009/9/main" objectType="CheckBox" fmlaLink="$L$40" lockText="1" noThreeD="1"/>
</file>

<file path=xl/ctrlProps/ctrlProp17.xml><?xml version="1.0" encoding="utf-8"?>
<formControlPr xmlns="http://schemas.microsoft.com/office/spreadsheetml/2009/9/main" objectType="CheckBox" fmlaLink="$L$24" lockText="1" noThreeD="1"/>
</file>

<file path=xl/ctrlProps/ctrlProp170.xml><?xml version="1.0" encoding="utf-8"?>
<formControlPr xmlns="http://schemas.microsoft.com/office/spreadsheetml/2009/9/main" objectType="CheckBox" fmlaLink="$L$47" lockText="1" noThreeD="1"/>
</file>

<file path=xl/ctrlProps/ctrlProp171.xml><?xml version="1.0" encoding="utf-8"?>
<formControlPr xmlns="http://schemas.microsoft.com/office/spreadsheetml/2009/9/main" objectType="CheckBox" fmlaLink="$L$49" lockText="1" noThreeD="1"/>
</file>

<file path=xl/ctrlProps/ctrlProp172.xml><?xml version="1.0" encoding="utf-8"?>
<formControlPr xmlns="http://schemas.microsoft.com/office/spreadsheetml/2009/9/main" objectType="CheckBox" fmlaLink="$L$51" lockText="1" noThreeD="1"/>
</file>

<file path=xl/ctrlProps/ctrlProp173.xml><?xml version="1.0" encoding="utf-8"?>
<formControlPr xmlns="http://schemas.microsoft.com/office/spreadsheetml/2009/9/main" objectType="CheckBox" fmlaLink="$L$57" lockText="1" noThreeD="1"/>
</file>

<file path=xl/ctrlProps/ctrlProp174.xml><?xml version="1.0" encoding="utf-8"?>
<formControlPr xmlns="http://schemas.microsoft.com/office/spreadsheetml/2009/9/main" objectType="CheckBox" fmlaLink="$L$68" lockText="1" noThreeD="1"/>
</file>

<file path=xl/ctrlProps/ctrlProp175.xml><?xml version="1.0" encoding="utf-8"?>
<formControlPr xmlns="http://schemas.microsoft.com/office/spreadsheetml/2009/9/main" objectType="CheckBox" fmlaLink="$L$72" lockText="1" noThreeD="1"/>
</file>

<file path=xl/ctrlProps/ctrlProp176.xml><?xml version="1.0" encoding="utf-8"?>
<formControlPr xmlns="http://schemas.microsoft.com/office/spreadsheetml/2009/9/main" objectType="CheckBox" fmlaLink="$L$70" lockText="1" noThreeD="1"/>
</file>

<file path=xl/ctrlProps/ctrlProp177.xml><?xml version="1.0" encoding="utf-8"?>
<formControlPr xmlns="http://schemas.microsoft.com/office/spreadsheetml/2009/9/main" objectType="CheckBox" fmlaLink="$L$75" lockText="1" noThreeD="1"/>
</file>

<file path=xl/ctrlProps/ctrlProp178.xml><?xml version="1.0" encoding="utf-8"?>
<formControlPr xmlns="http://schemas.microsoft.com/office/spreadsheetml/2009/9/main" objectType="CheckBox" fmlaLink="$L$77" lockText="1" noThreeD="1"/>
</file>

<file path=xl/ctrlProps/ctrlProp179.xml><?xml version="1.0" encoding="utf-8"?>
<formControlPr xmlns="http://schemas.microsoft.com/office/spreadsheetml/2009/9/main" objectType="CheckBox" fmlaLink="$L$82" lockText="1" noThreeD="1"/>
</file>

<file path=xl/ctrlProps/ctrlProp18.xml><?xml version="1.0" encoding="utf-8"?>
<formControlPr xmlns="http://schemas.microsoft.com/office/spreadsheetml/2009/9/main" objectType="CheckBox" checked="Checked" fmlaLink="$L$40" lockText="1" noThreeD="1"/>
</file>

<file path=xl/ctrlProps/ctrlProp180.xml><?xml version="1.0" encoding="utf-8"?>
<formControlPr xmlns="http://schemas.microsoft.com/office/spreadsheetml/2009/9/main" objectType="CheckBox" fmlaLink="$L$85" lockText="1" noThreeD="1"/>
</file>

<file path=xl/ctrlProps/ctrlProp181.xml><?xml version="1.0" encoding="utf-8"?>
<formControlPr xmlns="http://schemas.microsoft.com/office/spreadsheetml/2009/9/main" objectType="CheckBox" fmlaLink="$L$88" lockText="1" noThreeD="1"/>
</file>

<file path=xl/ctrlProps/ctrlProp182.xml><?xml version="1.0" encoding="utf-8"?>
<formControlPr xmlns="http://schemas.microsoft.com/office/spreadsheetml/2009/9/main" objectType="CheckBox" fmlaLink="$L$94" lockText="1" noThreeD="1"/>
</file>

<file path=xl/ctrlProps/ctrlProp183.xml><?xml version="1.0" encoding="utf-8"?>
<formControlPr xmlns="http://schemas.microsoft.com/office/spreadsheetml/2009/9/main" objectType="CheckBox" fmlaLink="$L$100" lockText="1" noThreeD="1"/>
</file>

<file path=xl/ctrlProps/ctrlProp184.xml><?xml version="1.0" encoding="utf-8"?>
<formControlPr xmlns="http://schemas.microsoft.com/office/spreadsheetml/2009/9/main" objectType="CheckBox" fmlaLink="$L$102" lockText="1" noThreeD="1"/>
</file>

<file path=xl/ctrlProps/ctrlProp185.xml><?xml version="1.0" encoding="utf-8"?>
<formControlPr xmlns="http://schemas.microsoft.com/office/spreadsheetml/2009/9/main" objectType="CheckBox" fmlaLink="$L$104" lockText="1" noThreeD="1"/>
</file>

<file path=xl/ctrlProps/ctrlProp186.xml><?xml version="1.0" encoding="utf-8"?>
<formControlPr xmlns="http://schemas.microsoft.com/office/spreadsheetml/2009/9/main" objectType="CheckBox" fmlaLink="$L$61" lockText="1" noThreeD="1"/>
</file>

<file path=xl/ctrlProps/ctrlProp187.xml><?xml version="1.0" encoding="utf-8"?>
<formControlPr xmlns="http://schemas.microsoft.com/office/spreadsheetml/2009/9/main" objectType="CheckBox" fmlaLink="$L$66" lockText="1" noThreeD="1"/>
</file>

<file path=xl/ctrlProps/ctrlProp188.xml><?xml version="1.0" encoding="utf-8"?>
<formControlPr xmlns="http://schemas.microsoft.com/office/spreadsheetml/2009/9/main" objectType="CheckBox" fmlaLink="$L$45" lockText="1" noThreeD="1"/>
</file>

<file path=xl/ctrlProps/ctrlProp189.xml><?xml version="1.0" encoding="utf-8"?>
<formControlPr xmlns="http://schemas.microsoft.com/office/spreadsheetml/2009/9/main" objectType="CheckBox" fmlaLink="$L$59" lockText="1" noThreeD="1"/>
</file>

<file path=xl/ctrlProps/ctrlProp19.xml><?xml version="1.0" encoding="utf-8"?>
<formControlPr xmlns="http://schemas.microsoft.com/office/spreadsheetml/2009/9/main" objectType="CheckBox" checked="Checked" fmlaLink="$L$46" lockText="1" noThreeD="1"/>
</file>

<file path=xl/ctrlProps/ctrlProp190.xml><?xml version="1.0" encoding="utf-8"?>
<formControlPr xmlns="http://schemas.microsoft.com/office/spreadsheetml/2009/9/main" objectType="CheckBox" fmlaLink="$L$15" lockText="1" noThreeD="1"/>
</file>

<file path=xl/ctrlProps/ctrlProp191.xml><?xml version="1.0" encoding="utf-8"?>
<formControlPr xmlns="http://schemas.microsoft.com/office/spreadsheetml/2009/9/main" objectType="CheckBox" fmlaLink="$L$53" lockText="1" noThreeD="1"/>
</file>

<file path=xl/ctrlProps/ctrlProp192.xml><?xml version="1.0" encoding="utf-8"?>
<formControlPr xmlns="http://schemas.microsoft.com/office/spreadsheetml/2009/9/main" objectType="CheckBox" fmlaLink="$L$55" lockText="1" noThreeD="1"/>
</file>

<file path=xl/ctrlProps/ctrlProp193.xml><?xml version="1.0" encoding="utf-8"?>
<formControlPr xmlns="http://schemas.microsoft.com/office/spreadsheetml/2009/9/main" objectType="CheckBox" fmlaLink="$L$91" lockText="1" noThreeD="1"/>
</file>

<file path=xl/ctrlProps/ctrlProp194.xml><?xml version="1.0" encoding="utf-8"?>
<formControlPr xmlns="http://schemas.microsoft.com/office/spreadsheetml/2009/9/main" objectType="CheckBox" fmlaLink="$L$23" lockText="1" noThreeD="1"/>
</file>

<file path=xl/ctrlProps/ctrlProp195.xml><?xml version="1.0" encoding="utf-8"?>
<formControlPr xmlns="http://schemas.microsoft.com/office/spreadsheetml/2009/9/main" objectType="CheckBox" fmlaLink="$L$13" lockText="1" noThreeD="1"/>
</file>

<file path=xl/ctrlProps/ctrlProp196.xml><?xml version="1.0" encoding="utf-8"?>
<formControlPr xmlns="http://schemas.microsoft.com/office/spreadsheetml/2009/9/main" objectType="CheckBox" fmlaLink="$L$13" lockText="1" noThreeD="1"/>
</file>

<file path=xl/ctrlProps/ctrlProp197.xml><?xml version="1.0" encoding="utf-8"?>
<formControlPr xmlns="http://schemas.microsoft.com/office/spreadsheetml/2009/9/main" objectType="CheckBox" fmlaLink="$L$30" lockText="1" noThreeD="1"/>
</file>

<file path=xl/ctrlProps/ctrlProp198.xml><?xml version="1.0" encoding="utf-8"?>
<formControlPr xmlns="http://schemas.microsoft.com/office/spreadsheetml/2009/9/main" objectType="CheckBox" fmlaLink="$L$32" lockText="1" noThreeD="1"/>
</file>

<file path=xl/ctrlProps/ctrlProp199.xml><?xml version="1.0" encoding="utf-8"?>
<formControlPr xmlns="http://schemas.microsoft.com/office/spreadsheetml/2009/9/main" objectType="CheckBox" fmlaLink="$L$34"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checked="Checked" fmlaLink="$L$49" lockText="1" noThreeD="1"/>
</file>

<file path=xl/ctrlProps/ctrlProp200.xml><?xml version="1.0" encoding="utf-8"?>
<formControlPr xmlns="http://schemas.microsoft.com/office/spreadsheetml/2009/9/main" objectType="CheckBox" fmlaLink="$L$36" lockText="1" noThreeD="1"/>
</file>

<file path=xl/ctrlProps/ctrlProp201.xml><?xml version="1.0" encoding="utf-8"?>
<formControlPr xmlns="http://schemas.microsoft.com/office/spreadsheetml/2009/9/main" objectType="CheckBox" fmlaLink="$L$38" lockText="1" noThreeD="1"/>
</file>

<file path=xl/ctrlProps/ctrlProp202.xml><?xml version="1.0" encoding="utf-8"?>
<formControlPr xmlns="http://schemas.microsoft.com/office/spreadsheetml/2009/9/main" objectType="CheckBox" fmlaLink="$L$40" lockText="1" noThreeD="1"/>
</file>

<file path=xl/ctrlProps/ctrlProp203.xml><?xml version="1.0" encoding="utf-8"?>
<formControlPr xmlns="http://schemas.microsoft.com/office/spreadsheetml/2009/9/main" objectType="CheckBox" fmlaLink="$L$47" lockText="1" noThreeD="1"/>
</file>

<file path=xl/ctrlProps/ctrlProp204.xml><?xml version="1.0" encoding="utf-8"?>
<formControlPr xmlns="http://schemas.microsoft.com/office/spreadsheetml/2009/9/main" objectType="CheckBox" fmlaLink="$L$49" lockText="1" noThreeD="1"/>
</file>

<file path=xl/ctrlProps/ctrlProp205.xml><?xml version="1.0" encoding="utf-8"?>
<formControlPr xmlns="http://schemas.microsoft.com/office/spreadsheetml/2009/9/main" objectType="CheckBox" fmlaLink="$L$51" lockText="1" noThreeD="1"/>
</file>

<file path=xl/ctrlProps/ctrlProp206.xml><?xml version="1.0" encoding="utf-8"?>
<formControlPr xmlns="http://schemas.microsoft.com/office/spreadsheetml/2009/9/main" objectType="CheckBox" fmlaLink="$L$57" lockText="1" noThreeD="1"/>
</file>

<file path=xl/ctrlProps/ctrlProp207.xml><?xml version="1.0" encoding="utf-8"?>
<formControlPr xmlns="http://schemas.microsoft.com/office/spreadsheetml/2009/9/main" objectType="CheckBox" fmlaLink="$L$70" lockText="1" noThreeD="1"/>
</file>

<file path=xl/ctrlProps/ctrlProp208.xml><?xml version="1.0" encoding="utf-8"?>
<formControlPr xmlns="http://schemas.microsoft.com/office/spreadsheetml/2009/9/main" objectType="CheckBox" fmlaLink="$L$74" lockText="1" noThreeD="1"/>
</file>

<file path=xl/ctrlProps/ctrlProp209.xml><?xml version="1.0" encoding="utf-8"?>
<formControlPr xmlns="http://schemas.microsoft.com/office/spreadsheetml/2009/9/main" objectType="CheckBox" fmlaLink="$L$72" lockText="1" noThreeD="1"/>
</file>

<file path=xl/ctrlProps/ctrlProp21.xml><?xml version="1.0" encoding="utf-8"?>
<formControlPr xmlns="http://schemas.microsoft.com/office/spreadsheetml/2009/9/main" objectType="CheckBox" checked="Checked" fmlaLink="$L$55" lockText="1" noThreeD="1"/>
</file>

<file path=xl/ctrlProps/ctrlProp210.xml><?xml version="1.0" encoding="utf-8"?>
<formControlPr xmlns="http://schemas.microsoft.com/office/spreadsheetml/2009/9/main" objectType="CheckBox" fmlaLink="$L$77" lockText="1" noThreeD="1"/>
</file>

<file path=xl/ctrlProps/ctrlProp211.xml><?xml version="1.0" encoding="utf-8"?>
<formControlPr xmlns="http://schemas.microsoft.com/office/spreadsheetml/2009/9/main" objectType="CheckBox" fmlaLink="$L$79" lockText="1" noThreeD="1"/>
</file>

<file path=xl/ctrlProps/ctrlProp212.xml><?xml version="1.0" encoding="utf-8"?>
<formControlPr xmlns="http://schemas.microsoft.com/office/spreadsheetml/2009/9/main" objectType="CheckBox" fmlaLink="$L$86" lockText="1" noThreeD="1"/>
</file>

<file path=xl/ctrlProps/ctrlProp213.xml><?xml version="1.0" encoding="utf-8"?>
<formControlPr xmlns="http://schemas.microsoft.com/office/spreadsheetml/2009/9/main" objectType="CheckBox" fmlaLink="$L$89" lockText="1" noThreeD="1"/>
</file>

<file path=xl/ctrlProps/ctrlProp214.xml><?xml version="1.0" encoding="utf-8"?>
<formControlPr xmlns="http://schemas.microsoft.com/office/spreadsheetml/2009/9/main" objectType="CheckBox" fmlaLink="$L$92" lockText="1" noThreeD="1"/>
</file>

<file path=xl/ctrlProps/ctrlProp215.xml><?xml version="1.0" encoding="utf-8"?>
<formControlPr xmlns="http://schemas.microsoft.com/office/spreadsheetml/2009/9/main" objectType="CheckBox" fmlaLink="$L$98" lockText="1" noThreeD="1"/>
</file>

<file path=xl/ctrlProps/ctrlProp216.xml><?xml version="1.0" encoding="utf-8"?>
<formControlPr xmlns="http://schemas.microsoft.com/office/spreadsheetml/2009/9/main" objectType="CheckBox" fmlaLink="$L$104" lockText="1" noThreeD="1"/>
</file>

<file path=xl/ctrlProps/ctrlProp217.xml><?xml version="1.0" encoding="utf-8"?>
<formControlPr xmlns="http://schemas.microsoft.com/office/spreadsheetml/2009/9/main" objectType="CheckBox" fmlaLink="$L$106" lockText="1" noThreeD="1"/>
</file>

<file path=xl/ctrlProps/ctrlProp218.xml><?xml version="1.0" encoding="utf-8"?>
<formControlPr xmlns="http://schemas.microsoft.com/office/spreadsheetml/2009/9/main" objectType="CheckBox" fmlaLink="$L$108" lockText="1" noThreeD="1"/>
</file>

<file path=xl/ctrlProps/ctrlProp219.xml><?xml version="1.0" encoding="utf-8"?>
<formControlPr xmlns="http://schemas.microsoft.com/office/spreadsheetml/2009/9/main" objectType="CheckBox" fmlaLink="$L$61" lockText="1" noThreeD="1"/>
</file>

<file path=xl/ctrlProps/ctrlProp22.xml><?xml version="1.0" encoding="utf-8"?>
<formControlPr xmlns="http://schemas.microsoft.com/office/spreadsheetml/2009/9/main" objectType="CheckBox" checked="Checked" fmlaLink="$L$58" lockText="1" noThreeD="1"/>
</file>

<file path=xl/ctrlProps/ctrlProp220.xml><?xml version="1.0" encoding="utf-8"?>
<formControlPr xmlns="http://schemas.microsoft.com/office/spreadsheetml/2009/9/main" objectType="CheckBox" fmlaLink="$L$68" lockText="1" noThreeD="1"/>
</file>

<file path=xl/ctrlProps/ctrlProp221.xml><?xml version="1.0" encoding="utf-8"?>
<formControlPr xmlns="http://schemas.microsoft.com/office/spreadsheetml/2009/9/main" objectType="CheckBox" fmlaLink="$L$45" lockText="1" noThreeD="1"/>
</file>

<file path=xl/ctrlProps/ctrlProp222.xml><?xml version="1.0" encoding="utf-8"?>
<formControlPr xmlns="http://schemas.microsoft.com/office/spreadsheetml/2009/9/main" objectType="CheckBox" fmlaLink="$L$59" lockText="1" noThreeD="1"/>
</file>

<file path=xl/ctrlProps/ctrlProp223.xml><?xml version="1.0" encoding="utf-8"?>
<formControlPr xmlns="http://schemas.microsoft.com/office/spreadsheetml/2009/9/main" objectType="CheckBox" fmlaLink="$L$55" lockText="1" noThreeD="1"/>
</file>

<file path=xl/ctrlProps/ctrlProp224.xml><?xml version="1.0" encoding="utf-8"?>
<formControlPr xmlns="http://schemas.microsoft.com/office/spreadsheetml/2009/9/main" objectType="CheckBox" fmlaLink="$L$53" lockText="1" noThreeD="1"/>
</file>

<file path=xl/ctrlProps/ctrlProp225.xml><?xml version="1.0" encoding="utf-8"?>
<formControlPr xmlns="http://schemas.microsoft.com/office/spreadsheetml/2009/9/main" objectType="CheckBox" fmlaLink="$L$19" lockText="1" noThreeD="1"/>
</file>

<file path=xl/ctrlProps/ctrlProp226.xml><?xml version="1.0" encoding="utf-8"?>
<formControlPr xmlns="http://schemas.microsoft.com/office/spreadsheetml/2009/9/main" objectType="CheckBox" fmlaLink="$L$21" lockText="1" noThreeD="1"/>
</file>

<file path=xl/ctrlProps/ctrlProp227.xml><?xml version="1.0" encoding="utf-8"?>
<formControlPr xmlns="http://schemas.microsoft.com/office/spreadsheetml/2009/9/main" objectType="CheckBox" fmlaLink="$L$23" lockText="1" noThreeD="1"/>
</file>

<file path=xl/ctrlProps/ctrlProp228.xml><?xml version="1.0" encoding="utf-8"?>
<formControlPr xmlns="http://schemas.microsoft.com/office/spreadsheetml/2009/9/main" objectType="CheckBox" fmlaLink="$L$95" lockText="1" noThreeD="1"/>
</file>

<file path=xl/ctrlProps/ctrlProp229.xml><?xml version="1.0" encoding="utf-8"?>
<formControlPr xmlns="http://schemas.microsoft.com/office/spreadsheetml/2009/9/main" objectType="CheckBox" fmlaLink="$L$13" lockText="1" noThreeD="1"/>
</file>

<file path=xl/ctrlProps/ctrlProp23.xml><?xml version="1.0" encoding="utf-8"?>
<formControlPr xmlns="http://schemas.microsoft.com/office/spreadsheetml/2009/9/main" objectType="CheckBox" checked="Checked" fmlaLink="$L$62" lockText="1" noThreeD="1"/>
</file>

<file path=xl/ctrlProps/ctrlProp230.xml><?xml version="1.0" encoding="utf-8"?>
<formControlPr xmlns="http://schemas.microsoft.com/office/spreadsheetml/2009/9/main" objectType="CheckBox" fmlaLink="$L$15" lockText="1" noThreeD="1"/>
</file>

<file path=xl/ctrlProps/ctrlProp231.xml><?xml version="1.0" encoding="utf-8"?>
<formControlPr xmlns="http://schemas.microsoft.com/office/spreadsheetml/2009/9/main" objectType="CheckBox" fmlaLink="$M$14" lockText="1" noThreeD="1"/>
</file>

<file path=xl/ctrlProps/ctrlProp232.xml><?xml version="1.0" encoding="utf-8"?>
<formControlPr xmlns="http://schemas.microsoft.com/office/spreadsheetml/2009/9/main" objectType="CheckBox" fmlaLink="$M$27" lockText="1" noThreeD="1"/>
</file>

<file path=xl/ctrlProps/ctrlProp233.xml><?xml version="1.0" encoding="utf-8"?>
<formControlPr xmlns="http://schemas.microsoft.com/office/spreadsheetml/2009/9/main" objectType="CheckBox" fmlaLink="$M$25" lockText="1" noThreeD="1"/>
</file>

<file path=xl/ctrlProps/ctrlProp234.xml><?xml version="1.0" encoding="utf-8"?>
<formControlPr xmlns="http://schemas.microsoft.com/office/spreadsheetml/2009/9/main" objectType="CheckBox" fmlaLink="$M$45" lockText="1" noThreeD="1"/>
</file>

<file path=xl/ctrlProps/ctrlProp235.xml><?xml version="1.0" encoding="utf-8"?>
<formControlPr xmlns="http://schemas.microsoft.com/office/spreadsheetml/2009/9/main" objectType="CheckBox" fmlaLink="$M$51" lockText="1" noThreeD="1"/>
</file>

<file path=xl/ctrlProps/ctrlProp236.xml><?xml version="1.0" encoding="utf-8"?>
<formControlPr xmlns="http://schemas.microsoft.com/office/spreadsheetml/2009/9/main" objectType="CheckBox" fmlaLink="$M$58" lockText="1" noThreeD="1"/>
</file>

<file path=xl/ctrlProps/ctrlProp237.xml><?xml version="1.0" encoding="utf-8"?>
<formControlPr xmlns="http://schemas.microsoft.com/office/spreadsheetml/2009/9/main" objectType="CheckBox" fmlaLink="$M$60" lockText="1" noThreeD="1"/>
</file>

<file path=xl/ctrlProps/ctrlProp238.xml><?xml version="1.0" encoding="utf-8"?>
<formControlPr xmlns="http://schemas.microsoft.com/office/spreadsheetml/2009/9/main" objectType="CheckBox" fmlaLink="$M$65" lockText="1" noThreeD="1"/>
</file>

<file path=xl/ctrlProps/ctrlProp239.xml><?xml version="1.0" encoding="utf-8"?>
<formControlPr xmlns="http://schemas.microsoft.com/office/spreadsheetml/2009/9/main" objectType="CheckBox" fmlaLink="$M$67" lockText="1" noThreeD="1"/>
</file>

<file path=xl/ctrlProps/ctrlProp24.xml><?xml version="1.0" encoding="utf-8"?>
<formControlPr xmlns="http://schemas.microsoft.com/office/spreadsheetml/2009/9/main" objectType="CheckBox" checked="Checked" fmlaLink="$L$74" lockText="1" noThreeD="1"/>
</file>

<file path=xl/ctrlProps/ctrlProp240.xml><?xml version="1.0" encoding="utf-8"?>
<formControlPr xmlns="http://schemas.microsoft.com/office/spreadsheetml/2009/9/main" objectType="CheckBox" fmlaLink="$M$69" lockText="1" noThreeD="1"/>
</file>

<file path=xl/ctrlProps/ctrlProp241.xml><?xml version="1.0" encoding="utf-8"?>
<formControlPr xmlns="http://schemas.microsoft.com/office/spreadsheetml/2009/9/main" objectType="CheckBox" fmlaLink="$M$74" lockText="1" noThreeD="1"/>
</file>

<file path=xl/ctrlProps/ctrlProp242.xml><?xml version="1.0" encoding="utf-8"?>
<formControlPr xmlns="http://schemas.microsoft.com/office/spreadsheetml/2009/9/main" objectType="CheckBox" fmlaLink="$M$78" lockText="1" noThreeD="1"/>
</file>

<file path=xl/ctrlProps/ctrlProp243.xml><?xml version="1.0" encoding="utf-8"?>
<formControlPr xmlns="http://schemas.microsoft.com/office/spreadsheetml/2009/9/main" objectType="CheckBox" fmlaLink="$M$80" lockText="1" noThreeD="1"/>
</file>

<file path=xl/ctrlProps/ctrlProp244.xml><?xml version="1.0" encoding="utf-8"?>
<formControlPr xmlns="http://schemas.microsoft.com/office/spreadsheetml/2009/9/main" objectType="CheckBox" fmlaLink="$M$96" lockText="1" noThreeD="1"/>
</file>

<file path=xl/ctrlProps/ctrlProp245.xml><?xml version="1.0" encoding="utf-8"?>
<formControlPr xmlns="http://schemas.microsoft.com/office/spreadsheetml/2009/9/main" objectType="CheckBox" fmlaLink="$M$98" lockText="1" noThreeD="1"/>
</file>

<file path=xl/ctrlProps/ctrlProp246.xml><?xml version="1.0" encoding="utf-8"?>
<formControlPr xmlns="http://schemas.microsoft.com/office/spreadsheetml/2009/9/main" objectType="CheckBox" fmlaLink="$M$87" lockText="1" noThreeD="1"/>
</file>

<file path=xl/ctrlProps/ctrlProp247.xml><?xml version="1.0" encoding="utf-8"?>
<formControlPr xmlns="http://schemas.microsoft.com/office/spreadsheetml/2009/9/main" objectType="CheckBox" fmlaLink="$M$85" lockText="1" noThreeD="1"/>
</file>

<file path=xl/ctrlProps/ctrlProp248.xml><?xml version="1.0" encoding="utf-8"?>
<formControlPr xmlns="http://schemas.microsoft.com/office/spreadsheetml/2009/9/main" objectType="CheckBox" fmlaLink="$M$89" lockText="1" noThreeD="1"/>
</file>

<file path=xl/ctrlProps/ctrlProp249.xml><?xml version="1.0" encoding="utf-8"?>
<formControlPr xmlns="http://schemas.microsoft.com/office/spreadsheetml/2009/9/main" objectType="CheckBox" fmlaLink="$M$91" lockText="1" noThreeD="1"/>
</file>

<file path=xl/ctrlProps/ctrlProp25.xml><?xml version="1.0" encoding="utf-8"?>
<formControlPr xmlns="http://schemas.microsoft.com/office/spreadsheetml/2009/9/main" objectType="CheckBox" checked="Checked" fmlaLink="$L$95" lockText="1" noThreeD="1"/>
</file>

<file path=xl/ctrlProps/ctrlProp250.xml><?xml version="1.0" encoding="utf-8"?>
<formControlPr xmlns="http://schemas.microsoft.com/office/spreadsheetml/2009/9/main" objectType="CheckBox" fmlaLink="$M$56" lockText="1" noThreeD="1"/>
</file>

<file path=xl/ctrlProps/ctrlProp251.xml><?xml version="1.0" encoding="utf-8"?>
<formControlPr xmlns="http://schemas.microsoft.com/office/spreadsheetml/2009/9/main" objectType="CheckBox" fmlaLink="$M$38" lockText="1" noThreeD="1"/>
</file>

<file path=xl/ctrlProps/ctrlProp252.xml><?xml version="1.0" encoding="utf-8"?>
<formControlPr xmlns="http://schemas.microsoft.com/office/spreadsheetml/2009/9/main" objectType="CheckBox" fmlaLink="$M$18" lockText="1" noThreeD="1"/>
</file>

<file path=xl/ctrlProps/ctrlProp253.xml><?xml version="1.0" encoding="utf-8"?>
<formControlPr xmlns="http://schemas.microsoft.com/office/spreadsheetml/2009/9/main" objectType="CheckBox" fmlaLink="$M$16" lockText="1" noThreeD="1"/>
</file>

<file path=xl/ctrlProps/ctrlProp254.xml><?xml version="1.0" encoding="utf-8"?>
<formControlPr xmlns="http://schemas.microsoft.com/office/spreadsheetml/2009/9/main" objectType="CheckBox" fmlaLink="$M$23" lockText="1" noThreeD="1"/>
</file>

<file path=xl/ctrlProps/ctrlProp255.xml><?xml version="1.0" encoding="utf-8"?>
<formControlPr xmlns="http://schemas.microsoft.com/office/spreadsheetml/2009/9/main" objectType="CheckBox" fmlaLink="$M$32" lockText="1" noThreeD="1"/>
</file>

<file path=xl/ctrlProps/ctrlProp256.xml><?xml version="1.0" encoding="utf-8"?>
<formControlPr xmlns="http://schemas.microsoft.com/office/spreadsheetml/2009/9/main" objectType="CheckBox" fmlaLink="$M$40" lockText="1" noThreeD="1"/>
</file>

<file path=xl/ctrlProps/ctrlProp257.xml><?xml version="1.0" encoding="utf-8"?>
<formControlPr xmlns="http://schemas.microsoft.com/office/spreadsheetml/2009/9/main" objectType="CheckBox" fmlaLink="$M$49" lockText="1" noThreeD="1"/>
</file>

<file path=xl/ctrlProps/ctrlProp258.xml><?xml version="1.0" encoding="utf-8"?>
<formControlPr xmlns="http://schemas.microsoft.com/office/spreadsheetml/2009/9/main" objectType="CheckBox" fmlaLink="$M$100" lockText="1" noThreeD="1"/>
</file>

<file path=xl/ctrlProps/ctrlProp259.xml><?xml version="1.0" encoding="utf-8"?>
<formControlPr xmlns="http://schemas.microsoft.com/office/spreadsheetml/2009/9/main" objectType="CheckBox" fmlaLink="$M$16" lockText="1" noThreeD="1"/>
</file>

<file path=xl/ctrlProps/ctrlProp26.xml><?xml version="1.0" encoding="utf-8"?>
<formControlPr xmlns="http://schemas.microsoft.com/office/spreadsheetml/2009/9/main" objectType="CheckBox" checked="Checked" fmlaLink="$L$98" lockText="1" noThreeD="1"/>
</file>

<file path=xl/ctrlProps/ctrlProp260.xml><?xml version="1.0" encoding="utf-8"?>
<formControlPr xmlns="http://schemas.microsoft.com/office/spreadsheetml/2009/9/main" objectType="CheckBox" fmlaLink="$M$16" lockText="1" noThreeD="1"/>
</file>

<file path=xl/ctrlProps/ctrlProp261.xml><?xml version="1.0" encoding="utf-8"?>
<formControlPr xmlns="http://schemas.microsoft.com/office/spreadsheetml/2009/9/main" objectType="CheckBox" fmlaLink="$M$18" lockText="1" noThreeD="1"/>
</file>

<file path=xl/ctrlProps/ctrlProp262.xml><?xml version="1.0" encoding="utf-8"?>
<formControlPr xmlns="http://schemas.microsoft.com/office/spreadsheetml/2009/9/main" objectType="CheckBox" fmlaLink="$M$25" lockText="1" noThreeD="1"/>
</file>

<file path=xl/ctrlProps/ctrlProp263.xml><?xml version="1.0" encoding="utf-8"?>
<formControlPr xmlns="http://schemas.microsoft.com/office/spreadsheetml/2009/9/main" objectType="CheckBox" fmlaLink="$M$27" lockText="1" noThreeD="1"/>
</file>

<file path=xl/ctrlProps/ctrlProp264.xml><?xml version="1.0" encoding="utf-8"?>
<formControlPr xmlns="http://schemas.microsoft.com/office/spreadsheetml/2009/9/main" objectType="CheckBox" fmlaLink="$M$36" lockText="1" noThreeD="1"/>
</file>

<file path=xl/ctrlProps/ctrlProp265.xml><?xml version="1.0" encoding="utf-8"?>
<formControlPr xmlns="http://schemas.microsoft.com/office/spreadsheetml/2009/9/main" objectType="CheckBox" fmlaLink="$M$34" lockText="1" noThreeD="1"/>
</file>

<file path=xl/ctrlProps/ctrlProp266.xml><?xml version="1.0" encoding="utf-8"?>
<formControlPr xmlns="http://schemas.microsoft.com/office/spreadsheetml/2009/9/main" objectType="CheckBox" fmlaLink="$M$47" lockText="1" noThreeD="1"/>
</file>

<file path=xl/ctrlProps/ctrlProp267.xml><?xml version="1.0" encoding="utf-8"?>
<formControlPr xmlns="http://schemas.microsoft.com/office/spreadsheetml/2009/9/main" objectType="CheckBox" fmlaLink="$M$76" lockText="1" noThreeD="1"/>
</file>

<file path=xl/ctrlProps/ctrlProp268.xml><?xml version="1.0" encoding="utf-8"?>
<formControlPr xmlns="http://schemas.microsoft.com/office/spreadsheetml/2009/9/main" objectType="CheckBox" fmlaLink="$M$14" lockText="1" noThreeD="1"/>
</file>

<file path=xl/ctrlProps/ctrlProp269.xml><?xml version="1.0" encoding="utf-8"?>
<formControlPr xmlns="http://schemas.microsoft.com/office/spreadsheetml/2009/9/main" objectType="CheckBox" fmlaLink="$M$26" lockText="1" noThreeD="1"/>
</file>

<file path=xl/ctrlProps/ctrlProp27.xml><?xml version="1.0" encoding="utf-8"?>
<formControlPr xmlns="http://schemas.microsoft.com/office/spreadsheetml/2009/9/main" objectType="CheckBox" checked="Checked" fmlaLink="$L$101" lockText="1" noThreeD="1"/>
</file>

<file path=xl/ctrlProps/ctrlProp270.xml><?xml version="1.0" encoding="utf-8"?>
<formControlPr xmlns="http://schemas.microsoft.com/office/spreadsheetml/2009/9/main" objectType="CheckBox" fmlaLink="$M$22" lockText="1" noThreeD="1"/>
</file>

<file path=xl/ctrlProps/ctrlProp271.xml><?xml version="1.0" encoding="utf-8"?>
<formControlPr xmlns="http://schemas.microsoft.com/office/spreadsheetml/2009/9/main" objectType="CheckBox" fmlaLink="$M$37" lockText="1" noThreeD="1"/>
</file>

<file path=xl/ctrlProps/ctrlProp272.xml><?xml version="1.0" encoding="utf-8"?>
<formControlPr xmlns="http://schemas.microsoft.com/office/spreadsheetml/2009/9/main" objectType="CheckBox" fmlaLink="$M$41" lockText="1" noThreeD="1"/>
</file>

<file path=xl/ctrlProps/ctrlProp273.xml><?xml version="1.0" encoding="utf-8"?>
<formControlPr xmlns="http://schemas.microsoft.com/office/spreadsheetml/2009/9/main" objectType="CheckBox" fmlaLink="$M$48" lockText="1" noThreeD="1"/>
</file>

<file path=xl/ctrlProps/ctrlProp274.xml><?xml version="1.0" encoding="utf-8"?>
<formControlPr xmlns="http://schemas.microsoft.com/office/spreadsheetml/2009/9/main" objectType="CheckBox" fmlaLink="$M$50" lockText="1" noThreeD="1"/>
</file>

<file path=xl/ctrlProps/ctrlProp275.xml><?xml version="1.0" encoding="utf-8"?>
<formControlPr xmlns="http://schemas.microsoft.com/office/spreadsheetml/2009/9/main" objectType="CheckBox" fmlaLink="$M$52" lockText="1" noThreeD="1"/>
</file>

<file path=xl/ctrlProps/ctrlProp276.xml><?xml version="1.0" encoding="utf-8"?>
<formControlPr xmlns="http://schemas.microsoft.com/office/spreadsheetml/2009/9/main" objectType="CheckBox" fmlaLink="$M$54" lockText="1" noThreeD="1"/>
</file>

<file path=xl/ctrlProps/ctrlProp277.xml><?xml version="1.0" encoding="utf-8"?>
<formControlPr xmlns="http://schemas.microsoft.com/office/spreadsheetml/2009/9/main" objectType="CheckBox" fmlaLink="$M$56" lockText="1" noThreeD="1"/>
</file>

<file path=xl/ctrlProps/ctrlProp278.xml><?xml version="1.0" encoding="utf-8"?>
<formControlPr xmlns="http://schemas.microsoft.com/office/spreadsheetml/2009/9/main" objectType="CheckBox" fmlaLink="$M$76" lockText="1" noThreeD="1"/>
</file>

<file path=xl/ctrlProps/ctrlProp279.xml><?xml version="1.0" encoding="utf-8"?>
<formControlPr xmlns="http://schemas.microsoft.com/office/spreadsheetml/2009/9/main" objectType="CheckBox" fmlaLink="$M$78" lockText="1" noThreeD="1"/>
</file>

<file path=xl/ctrlProps/ctrlProp28.xml><?xml version="1.0" encoding="utf-8"?>
<formControlPr xmlns="http://schemas.microsoft.com/office/spreadsheetml/2009/9/main" objectType="CheckBox" checked="Checked" fmlaLink="$L$104" lockText="1" noThreeD="1"/>
</file>

<file path=xl/ctrlProps/ctrlProp280.xml><?xml version="1.0" encoding="utf-8"?>
<formControlPr xmlns="http://schemas.microsoft.com/office/spreadsheetml/2009/9/main" objectType="CheckBox" fmlaLink="$M$63" lockText="1" noThreeD="1"/>
</file>

<file path=xl/ctrlProps/ctrlProp281.xml><?xml version="1.0" encoding="utf-8"?>
<formControlPr xmlns="http://schemas.microsoft.com/office/spreadsheetml/2009/9/main" objectType="CheckBox" fmlaLink="$M$61" lockText="1" noThreeD="1"/>
</file>

<file path=xl/ctrlProps/ctrlProp282.xml><?xml version="1.0" encoding="utf-8"?>
<formControlPr xmlns="http://schemas.microsoft.com/office/spreadsheetml/2009/9/main" objectType="CheckBox" fmlaLink="$M$46" lockText="1" noThreeD="1"/>
</file>

<file path=xl/ctrlProps/ctrlProp283.xml><?xml version="1.0" encoding="utf-8"?>
<formControlPr xmlns="http://schemas.microsoft.com/office/spreadsheetml/2009/9/main" objectType="CheckBox" fmlaLink="$M$33" lockText="1" noThreeD="1"/>
</file>

<file path=xl/ctrlProps/ctrlProp284.xml><?xml version="1.0" encoding="utf-8"?>
<formControlPr xmlns="http://schemas.microsoft.com/office/spreadsheetml/2009/9/main" objectType="CheckBox" fmlaLink="$M$18" lockText="1" noThreeD="1"/>
</file>

<file path=xl/ctrlProps/ctrlProp285.xml><?xml version="1.0" encoding="utf-8"?>
<formControlPr xmlns="http://schemas.microsoft.com/office/spreadsheetml/2009/9/main" objectType="CheckBox" fmlaLink="$M$16" lockText="1" noThreeD="1"/>
</file>

<file path=xl/ctrlProps/ctrlProp286.xml><?xml version="1.0" encoding="utf-8"?>
<formControlPr xmlns="http://schemas.microsoft.com/office/spreadsheetml/2009/9/main" objectType="CheckBox" fmlaLink="$M$20" lockText="1" noThreeD="1"/>
</file>

<file path=xl/ctrlProps/ctrlProp287.xml><?xml version="1.0" encoding="utf-8"?>
<formControlPr xmlns="http://schemas.microsoft.com/office/spreadsheetml/2009/9/main" objectType="CheckBox" fmlaLink="$M$31" lockText="1" noThreeD="1"/>
</file>

<file path=xl/ctrlProps/ctrlProp288.xml><?xml version="1.0" encoding="utf-8"?>
<formControlPr xmlns="http://schemas.microsoft.com/office/spreadsheetml/2009/9/main" objectType="CheckBox" fmlaLink="$M$35" lockText="1" noThreeD="1"/>
</file>

<file path=xl/ctrlProps/ctrlProp289.xml><?xml version="1.0" encoding="utf-8"?>
<formControlPr xmlns="http://schemas.microsoft.com/office/spreadsheetml/2009/9/main" objectType="CheckBox" fmlaLink="$M$39" lockText="1" noThreeD="1"/>
</file>

<file path=xl/ctrlProps/ctrlProp29.xml><?xml version="1.0" encoding="utf-8"?>
<formControlPr xmlns="http://schemas.microsoft.com/office/spreadsheetml/2009/9/main" objectType="CheckBox" checked="Checked" fmlaLink="$L$110" lockText="1" noThreeD="1"/>
</file>

<file path=xl/ctrlProps/ctrlProp290.xml><?xml version="1.0" encoding="utf-8"?>
<formControlPr xmlns="http://schemas.microsoft.com/office/spreadsheetml/2009/9/main" objectType="CheckBox" fmlaLink="$M$65" lockText="1" noThreeD="1"/>
</file>

<file path=xl/ctrlProps/ctrlProp291.xml><?xml version="1.0" encoding="utf-8"?>
<formControlPr xmlns="http://schemas.microsoft.com/office/spreadsheetml/2009/9/main" objectType="CheckBox" fmlaLink="$M$67" lockText="1" noThreeD="1"/>
</file>

<file path=xl/ctrlProps/ctrlProp292.xml><?xml version="1.0" encoding="utf-8"?>
<formControlPr xmlns="http://schemas.microsoft.com/office/spreadsheetml/2009/9/main" objectType="CheckBox" fmlaLink="$M$71" lockText="1" noThreeD="1"/>
</file>

<file path=xl/ctrlProps/ctrlProp293.xml><?xml version="1.0" encoding="utf-8"?>
<formControlPr xmlns="http://schemas.microsoft.com/office/spreadsheetml/2009/9/main" objectType="CheckBox" fmlaLink="$M$80" lockText="1" noThreeD="1"/>
</file>

<file path=xl/ctrlProps/ctrlProp294.xml><?xml version="1.0" encoding="utf-8"?>
<formControlPr xmlns="http://schemas.microsoft.com/office/spreadsheetml/2009/9/main" objectType="CheckBox" fmlaLink="$M$69" lockText="1" noThreeD="1"/>
</file>

<file path=xl/ctrlProps/ctrlProp295.xml><?xml version="1.0" encoding="utf-8"?>
<formControlPr xmlns="http://schemas.microsoft.com/office/spreadsheetml/2009/9/main" objectType="CheckBox" fmlaLink="$M$24" lockText="1" noThreeD="1"/>
</file>

<file path=xl/ctrlProps/ctrlProp3.xml><?xml version="1.0" encoding="utf-8"?>
<formControlPr xmlns="http://schemas.microsoft.com/office/spreadsheetml/2009/9/main" objectType="CheckBox" checked="Checked" fmlaLink="$I$16" lockText="1" noThreeD="1"/>
</file>

<file path=xl/ctrlProps/ctrlProp30.xml><?xml version="1.0" encoding="utf-8"?>
<formControlPr xmlns="http://schemas.microsoft.com/office/spreadsheetml/2009/9/main" objectType="CheckBox" fmlaLink="$L$149" lockText="1" noThreeD="1"/>
</file>

<file path=xl/ctrlProps/ctrlProp31.xml><?xml version="1.0" encoding="utf-8"?>
<formControlPr xmlns="http://schemas.microsoft.com/office/spreadsheetml/2009/9/main" objectType="CheckBox" fmlaLink="$L$159" lockText="1" noThreeD="1"/>
</file>

<file path=xl/ctrlProps/ctrlProp32.xml><?xml version="1.0" encoding="utf-8"?>
<formControlPr xmlns="http://schemas.microsoft.com/office/spreadsheetml/2009/9/main" objectType="CheckBox" fmlaLink="$L$152" lockText="1" noThreeD="1"/>
</file>

<file path=xl/ctrlProps/ctrlProp33.xml><?xml version="1.0" encoding="utf-8"?>
<formControlPr xmlns="http://schemas.microsoft.com/office/spreadsheetml/2009/9/main" objectType="CheckBox" fmlaLink="$L$163" lockText="1" noThreeD="1"/>
</file>

<file path=xl/ctrlProps/ctrlProp34.xml><?xml version="1.0" encoding="utf-8"?>
<formControlPr xmlns="http://schemas.microsoft.com/office/spreadsheetml/2009/9/main" objectType="CheckBox" fmlaLink="$L$167" lockText="1" noThreeD="1"/>
</file>

<file path=xl/ctrlProps/ctrlProp35.xml><?xml version="1.0" encoding="utf-8"?>
<formControlPr xmlns="http://schemas.microsoft.com/office/spreadsheetml/2009/9/main" objectType="CheckBox" fmlaLink="$L$175" lockText="1" noThreeD="1"/>
</file>

<file path=xl/ctrlProps/ctrlProp36.xml><?xml version="1.0" encoding="utf-8"?>
<formControlPr xmlns="http://schemas.microsoft.com/office/spreadsheetml/2009/9/main" objectType="CheckBox" fmlaLink="$L$180" lockText="1" noThreeD="1"/>
</file>

<file path=xl/ctrlProps/ctrlProp37.xml><?xml version="1.0" encoding="utf-8"?>
<formControlPr xmlns="http://schemas.microsoft.com/office/spreadsheetml/2009/9/main" objectType="CheckBox" fmlaLink="$L$184" lockText="1" noThreeD="1"/>
</file>

<file path=xl/ctrlProps/ctrlProp38.xml><?xml version="1.0" encoding="utf-8"?>
<formControlPr xmlns="http://schemas.microsoft.com/office/spreadsheetml/2009/9/main" objectType="CheckBox" fmlaLink="$L$197" lockText="1" noThreeD="1"/>
</file>

<file path=xl/ctrlProps/ctrlProp39.xml><?xml version="1.0" encoding="utf-8"?>
<formControlPr xmlns="http://schemas.microsoft.com/office/spreadsheetml/2009/9/main" objectType="CheckBox" fmlaLink="$L$206" lockText="1" noThreeD="1"/>
</file>

<file path=xl/ctrlProps/ctrlProp4.xml><?xml version="1.0" encoding="utf-8"?>
<formControlPr xmlns="http://schemas.microsoft.com/office/spreadsheetml/2009/9/main" objectType="CheckBox" fmlaLink="$I$17" lockText="1" noThreeD="1"/>
</file>

<file path=xl/ctrlProps/ctrlProp40.xml><?xml version="1.0" encoding="utf-8"?>
<formControlPr xmlns="http://schemas.microsoft.com/office/spreadsheetml/2009/9/main" objectType="CheckBox" fmlaLink="$L$213" lockText="1" noThreeD="1"/>
</file>

<file path=xl/ctrlProps/ctrlProp41.xml><?xml version="1.0" encoding="utf-8"?>
<formControlPr xmlns="http://schemas.microsoft.com/office/spreadsheetml/2009/9/main" objectType="CheckBox" fmlaLink="$L$217" lockText="1" noThreeD="1"/>
</file>

<file path=xl/ctrlProps/ctrlProp42.xml><?xml version="1.0" encoding="utf-8"?>
<formControlPr xmlns="http://schemas.microsoft.com/office/spreadsheetml/2009/9/main" objectType="CheckBox" checked="Checked" fmlaLink="$L$117" lockText="1" noThreeD="1"/>
</file>

<file path=xl/ctrlProps/ctrlProp43.xml><?xml version="1.0" encoding="utf-8"?>
<formControlPr xmlns="http://schemas.microsoft.com/office/spreadsheetml/2009/9/main" objectType="CheckBox" fmlaLink="$L$123" lockText="1" noThreeD="1"/>
</file>

<file path=xl/ctrlProps/ctrlProp44.xml><?xml version="1.0" encoding="utf-8"?>
<formControlPr xmlns="http://schemas.microsoft.com/office/spreadsheetml/2009/9/main" objectType="CheckBox" checked="Checked" fmlaLink="$L$69" lockText="1" noThreeD="1"/>
</file>

<file path=xl/ctrlProps/ctrlProp45.xml><?xml version="1.0" encoding="utf-8"?>
<formControlPr xmlns="http://schemas.microsoft.com/office/spreadsheetml/2009/9/main" objectType="CheckBox" checked="Checked" fmlaLink="$L$114" lockText="1" noThreeD="1"/>
</file>

<file path=xl/ctrlProps/ctrlProp46.xml><?xml version="1.0" encoding="utf-8"?>
<formControlPr xmlns="http://schemas.microsoft.com/office/spreadsheetml/2009/9/main" objectType="CheckBox" fmlaLink="$L$28" lockText="1" noThreeD="1"/>
</file>

<file path=xl/ctrlProps/ctrlProp47.xml><?xml version="1.0" encoding="utf-8"?>
<formControlPr xmlns="http://schemas.microsoft.com/office/spreadsheetml/2009/9/main" objectType="CheckBox" checked="Checked" fmlaLink="$L$62" lockText="1" noThreeD="1"/>
</file>

<file path=xl/ctrlProps/ctrlProp48.xml><?xml version="1.0" encoding="utf-8"?>
<formControlPr xmlns="http://schemas.microsoft.com/office/spreadsheetml/2009/9/main" objectType="CheckBox" fmlaLink="$L$15" lockText="1" noThreeD="1"/>
</file>

<file path=xl/ctrlProps/ctrlProp49.xml><?xml version="1.0" encoding="utf-8"?>
<formControlPr xmlns="http://schemas.microsoft.com/office/spreadsheetml/2009/9/main" objectType="CheckBox" fmlaLink="$L$16" lockText="1" noThreeD="1"/>
</file>

<file path=xl/ctrlProps/ctrlProp5.xml><?xml version="1.0" encoding="utf-8"?>
<formControlPr xmlns="http://schemas.microsoft.com/office/spreadsheetml/2009/9/main" objectType="CheckBox" checked="Checked" fmlaLink="$I$12" lockText="1" noThreeD="1"/>
</file>

<file path=xl/ctrlProps/ctrlProp50.xml><?xml version="1.0" encoding="utf-8"?>
<formControlPr xmlns="http://schemas.microsoft.com/office/spreadsheetml/2009/9/main" objectType="CheckBox" fmlaLink="$L$193" lockText="1" noThreeD="1"/>
</file>

<file path=xl/ctrlProps/ctrlProp51.xml><?xml version="1.0" encoding="utf-8"?>
<formControlPr xmlns="http://schemas.microsoft.com/office/spreadsheetml/2009/9/main" objectType="CheckBox" fmlaLink="$L$13" lockText="1" noThreeD="1"/>
</file>

<file path=xl/ctrlProps/ctrlProp52.xml><?xml version="1.0" encoding="utf-8"?>
<formControlPr xmlns="http://schemas.microsoft.com/office/spreadsheetml/2009/9/main" objectType="CheckBox" fmlaLink="$L$127" lockText="1" noThreeD="1"/>
</file>

<file path=xl/ctrlProps/ctrlProp53.xml><?xml version="1.0" encoding="utf-8"?>
<formControlPr xmlns="http://schemas.microsoft.com/office/spreadsheetml/2009/9/main" objectType="CheckBox" fmlaLink="$L$129" lockText="1" noThreeD="1"/>
</file>

<file path=xl/ctrlProps/ctrlProp54.xml><?xml version="1.0" encoding="utf-8"?>
<formControlPr xmlns="http://schemas.microsoft.com/office/spreadsheetml/2009/9/main" objectType="CheckBox" fmlaLink="$L$137" lockText="1" noThreeD="1"/>
</file>

<file path=xl/ctrlProps/ctrlProp55.xml><?xml version="1.0" encoding="utf-8"?>
<formControlPr xmlns="http://schemas.microsoft.com/office/spreadsheetml/2009/9/main" objectType="CheckBox" fmlaLink="$L$140" lockText="1" noThreeD="1"/>
</file>

<file path=xl/ctrlProps/ctrlProp56.xml><?xml version="1.0" encoding="utf-8"?>
<formControlPr xmlns="http://schemas.microsoft.com/office/spreadsheetml/2009/9/main" objectType="CheckBox" fmlaLink="$L$141" lockText="1" noThreeD="1"/>
</file>

<file path=xl/ctrlProps/ctrlProp57.xml><?xml version="1.0" encoding="utf-8"?>
<formControlPr xmlns="http://schemas.microsoft.com/office/spreadsheetml/2009/9/main" objectType="CheckBox" fmlaLink="$L$142" lockText="1" noThreeD="1"/>
</file>

<file path=xl/ctrlProps/ctrlProp58.xml><?xml version="1.0" encoding="utf-8"?>
<formControlPr xmlns="http://schemas.microsoft.com/office/spreadsheetml/2009/9/main" objectType="CheckBox" fmlaLink="$L$144" lockText="1" noThreeD="1"/>
</file>

<file path=xl/ctrlProps/ctrlProp59.xml><?xml version="1.0" encoding="utf-8"?>
<formControlPr xmlns="http://schemas.microsoft.com/office/spreadsheetml/2009/9/main" objectType="CheckBox" fmlaLink="$L$147" lockText="1" noThreeD="1"/>
</file>

<file path=xl/ctrlProps/ctrlProp6.xml><?xml version="1.0" encoding="utf-8"?>
<formControlPr xmlns="http://schemas.microsoft.com/office/spreadsheetml/2009/9/main" objectType="CheckBox" fmlaLink="$I$13" lockText="1" noThreeD="1"/>
</file>

<file path=xl/ctrlProps/ctrlProp60.xml><?xml version="1.0" encoding="utf-8"?>
<formControlPr xmlns="http://schemas.microsoft.com/office/spreadsheetml/2009/9/main" objectType="CheckBox" fmlaLink="$L$132" lockText="1" noThreeD="1"/>
</file>

<file path=xl/ctrlProps/ctrlProp61.xml><?xml version="1.0" encoding="utf-8"?>
<formControlPr xmlns="http://schemas.microsoft.com/office/spreadsheetml/2009/9/main" objectType="CheckBox" fmlaLink="$L$133" lockText="1" noThreeD="1"/>
</file>

<file path=xl/ctrlProps/ctrlProp62.xml><?xml version="1.0" encoding="utf-8"?>
<formControlPr xmlns="http://schemas.microsoft.com/office/spreadsheetml/2009/9/main" objectType="CheckBox" fmlaLink="$L$134" lockText="1" noThreeD="1"/>
</file>

<file path=xl/ctrlProps/ctrlProp63.xml><?xml version="1.0" encoding="utf-8"?>
<formControlPr xmlns="http://schemas.microsoft.com/office/spreadsheetml/2009/9/main" objectType="CheckBox" fmlaLink="$L$130" lockText="1" noThreeD="1"/>
</file>

<file path=xl/ctrlProps/ctrlProp64.xml><?xml version="1.0" encoding="utf-8"?>
<formControlPr xmlns="http://schemas.microsoft.com/office/spreadsheetml/2009/9/main" objectType="CheckBox" fmlaLink="$M$17" lockText="1" noThreeD="1"/>
</file>

<file path=xl/ctrlProps/ctrlProp65.xml><?xml version="1.0" encoding="utf-8"?>
<formControlPr xmlns="http://schemas.microsoft.com/office/spreadsheetml/2009/9/main" objectType="CheckBox" fmlaLink="$M$14" lockText="1" noThreeD="1"/>
</file>

<file path=xl/ctrlProps/ctrlProp66.xml><?xml version="1.0" encoding="utf-8"?>
<formControlPr xmlns="http://schemas.microsoft.com/office/spreadsheetml/2009/9/main" objectType="CheckBox" fmlaLink="$M$19" lockText="1" noThreeD="1"/>
</file>

<file path=xl/ctrlProps/ctrlProp67.xml><?xml version="1.0" encoding="utf-8"?>
<formControlPr xmlns="http://schemas.microsoft.com/office/spreadsheetml/2009/9/main" objectType="CheckBox" fmlaLink="$M$21" lockText="1" noThreeD="1"/>
</file>

<file path=xl/ctrlProps/ctrlProp68.xml><?xml version="1.0" encoding="utf-8"?>
<formControlPr xmlns="http://schemas.microsoft.com/office/spreadsheetml/2009/9/main" objectType="CheckBox" fmlaLink="$M$26" lockText="1" noThreeD="1"/>
</file>

<file path=xl/ctrlProps/ctrlProp69.xml><?xml version="1.0" encoding="utf-8"?>
<formControlPr xmlns="http://schemas.microsoft.com/office/spreadsheetml/2009/9/main" objectType="CheckBox" checked="Checked" fmlaLink="$M$28" lockText="1" noThreeD="1"/>
</file>

<file path=xl/ctrlProps/ctrlProp7.xml><?xml version="1.0" encoding="utf-8"?>
<formControlPr xmlns="http://schemas.microsoft.com/office/spreadsheetml/2009/9/main" objectType="CheckBox" fmlaLink="I28" lockText="1" noThreeD="1"/>
</file>

<file path=xl/ctrlProps/ctrlProp70.xml><?xml version="1.0" encoding="utf-8"?>
<formControlPr xmlns="http://schemas.microsoft.com/office/spreadsheetml/2009/9/main" objectType="CheckBox" fmlaLink="$M$30" lockText="1" noThreeD="1"/>
</file>

<file path=xl/ctrlProps/ctrlProp71.xml><?xml version="1.0" encoding="utf-8"?>
<formControlPr xmlns="http://schemas.microsoft.com/office/spreadsheetml/2009/9/main" objectType="CheckBox" fmlaLink="$M$32" lockText="1" noThreeD="1"/>
</file>

<file path=xl/ctrlProps/ctrlProp72.xml><?xml version="1.0" encoding="utf-8"?>
<formControlPr xmlns="http://schemas.microsoft.com/office/spreadsheetml/2009/9/main" objectType="CheckBox" fmlaLink="$M$34" lockText="1" noThreeD="1"/>
</file>

<file path=xl/ctrlProps/ctrlProp73.xml><?xml version="1.0" encoding="utf-8"?>
<formControlPr xmlns="http://schemas.microsoft.com/office/spreadsheetml/2009/9/main" objectType="CheckBox" fmlaLink="$M$37" lockText="1" noThreeD="1"/>
</file>

<file path=xl/ctrlProps/ctrlProp74.xml><?xml version="1.0" encoding="utf-8"?>
<formControlPr xmlns="http://schemas.microsoft.com/office/spreadsheetml/2009/9/main" objectType="CheckBox" fmlaLink="$M$47" lockText="1" noThreeD="1"/>
</file>

<file path=xl/ctrlProps/ctrlProp75.xml><?xml version="1.0" encoding="utf-8"?>
<formControlPr xmlns="http://schemas.microsoft.com/office/spreadsheetml/2009/9/main" objectType="CheckBox" fmlaLink="$M$49" lockText="1" noThreeD="1"/>
</file>

<file path=xl/ctrlProps/ctrlProp76.xml><?xml version="1.0" encoding="utf-8"?>
<formControlPr xmlns="http://schemas.microsoft.com/office/spreadsheetml/2009/9/main" objectType="CheckBox" fmlaLink="$M$51" lockText="1" noThreeD="1"/>
</file>

<file path=xl/ctrlProps/ctrlProp77.xml><?xml version="1.0" encoding="utf-8"?>
<formControlPr xmlns="http://schemas.microsoft.com/office/spreadsheetml/2009/9/main" objectType="CheckBox" fmlaLink="$M$53" lockText="1" noThreeD="1"/>
</file>

<file path=xl/ctrlProps/ctrlProp78.xml><?xml version="1.0" encoding="utf-8"?>
<formControlPr xmlns="http://schemas.microsoft.com/office/spreadsheetml/2009/9/main" objectType="CheckBox" fmlaLink="$M$55" lockText="1" noThreeD="1"/>
</file>

<file path=xl/ctrlProps/ctrlProp79.xml><?xml version="1.0" encoding="utf-8"?>
<formControlPr xmlns="http://schemas.microsoft.com/office/spreadsheetml/2009/9/main" objectType="CheckBox" checked="Checked" fmlaLink="$M$57" lockText="1" noThreeD="1"/>
</file>

<file path=xl/ctrlProps/ctrlProp8.xml><?xml version="1.0" encoding="utf-8"?>
<formControlPr xmlns="http://schemas.microsoft.com/office/spreadsheetml/2009/9/main" objectType="CheckBox" fmlaLink="$I$11" lockText="1" noThreeD="1"/>
</file>

<file path=xl/ctrlProps/ctrlProp80.xml><?xml version="1.0" encoding="utf-8"?>
<formControlPr xmlns="http://schemas.microsoft.com/office/spreadsheetml/2009/9/main" objectType="CheckBox" fmlaLink="$M$59" lockText="1" noThreeD="1"/>
</file>

<file path=xl/ctrlProps/ctrlProp81.xml><?xml version="1.0" encoding="utf-8"?>
<formControlPr xmlns="http://schemas.microsoft.com/office/spreadsheetml/2009/9/main" objectType="CheckBox" fmlaLink="$M$64" lockText="1" noThreeD="1"/>
</file>

<file path=xl/ctrlProps/ctrlProp82.xml><?xml version="1.0" encoding="utf-8"?>
<formControlPr xmlns="http://schemas.microsoft.com/office/spreadsheetml/2009/9/main" objectType="CheckBox" fmlaLink="$M$72" lockText="1" noThreeD="1"/>
</file>

<file path=xl/ctrlProps/ctrlProp83.xml><?xml version="1.0" encoding="utf-8"?>
<formControlPr xmlns="http://schemas.microsoft.com/office/spreadsheetml/2009/9/main" objectType="CheckBox" fmlaLink="$M$74" lockText="1" noThreeD="1"/>
</file>

<file path=xl/ctrlProps/ctrlProp84.xml><?xml version="1.0" encoding="utf-8"?>
<formControlPr xmlns="http://schemas.microsoft.com/office/spreadsheetml/2009/9/main" objectType="CheckBox" fmlaLink="$M$101" lockText="1" noThreeD="1"/>
</file>

<file path=xl/ctrlProps/ctrlProp85.xml><?xml version="1.0" encoding="utf-8"?>
<formControlPr xmlns="http://schemas.microsoft.com/office/spreadsheetml/2009/9/main" objectType="CheckBox" fmlaLink="$M$103" lockText="1" noThreeD="1"/>
</file>

<file path=xl/ctrlProps/ctrlProp86.xml><?xml version="1.0" encoding="utf-8"?>
<formControlPr xmlns="http://schemas.microsoft.com/office/spreadsheetml/2009/9/main" objectType="CheckBox" fmlaLink="$M$108" lockText="1" noThreeD="1"/>
</file>

<file path=xl/ctrlProps/ctrlProp87.xml><?xml version="1.0" encoding="utf-8"?>
<formControlPr xmlns="http://schemas.microsoft.com/office/spreadsheetml/2009/9/main" objectType="CheckBox" fmlaLink="$M$110" lockText="1" noThreeD="1"/>
</file>

<file path=xl/ctrlProps/ctrlProp88.xml><?xml version="1.0" encoding="utf-8"?>
<formControlPr xmlns="http://schemas.microsoft.com/office/spreadsheetml/2009/9/main" objectType="CheckBox" fmlaLink="$M$112" lockText="1" noThreeD="1"/>
</file>

<file path=xl/ctrlProps/ctrlProp89.xml><?xml version="1.0" encoding="utf-8"?>
<formControlPr xmlns="http://schemas.microsoft.com/office/spreadsheetml/2009/9/main" objectType="CheckBox" fmlaLink="$M$114" lockText="1" noThreeD="1"/>
</file>

<file path=xl/ctrlProps/ctrlProp9.xml><?xml version="1.0" encoding="utf-8"?>
<formControlPr xmlns="http://schemas.microsoft.com/office/spreadsheetml/2009/9/main" objectType="CheckBox" fmlaLink="$I$16" lockText="1" noThreeD="1"/>
</file>

<file path=xl/ctrlProps/ctrlProp90.xml><?xml version="1.0" encoding="utf-8"?>
<formControlPr xmlns="http://schemas.microsoft.com/office/spreadsheetml/2009/9/main" objectType="CheckBox" fmlaLink="$M$116" lockText="1" noThreeD="1"/>
</file>

<file path=xl/ctrlProps/ctrlProp91.xml><?xml version="1.0" encoding="utf-8"?>
<formControlPr xmlns="http://schemas.microsoft.com/office/spreadsheetml/2009/9/main" objectType="CheckBox" fmlaLink="$M$118" lockText="1" noThreeD="1"/>
</file>

<file path=xl/ctrlProps/ctrlProp92.xml><?xml version="1.0" encoding="utf-8"?>
<formControlPr xmlns="http://schemas.microsoft.com/office/spreadsheetml/2009/9/main" objectType="CheckBox" fmlaLink="$M$123" lockText="1" noThreeD="1"/>
</file>

<file path=xl/ctrlProps/ctrlProp93.xml><?xml version="1.0" encoding="utf-8"?>
<formControlPr xmlns="http://schemas.microsoft.com/office/spreadsheetml/2009/9/main" objectType="CheckBox" fmlaLink="$M$132" lockText="1" noThreeD="1"/>
</file>

<file path=xl/ctrlProps/ctrlProp94.xml><?xml version="1.0" encoding="utf-8"?>
<formControlPr xmlns="http://schemas.microsoft.com/office/spreadsheetml/2009/9/main" objectType="CheckBox" fmlaLink="$M$134" lockText="1" noThreeD="1"/>
</file>

<file path=xl/ctrlProps/ctrlProp95.xml><?xml version="1.0" encoding="utf-8"?>
<formControlPr xmlns="http://schemas.microsoft.com/office/spreadsheetml/2009/9/main" objectType="CheckBox" fmlaLink="$M$139" lockText="1" noThreeD="1"/>
</file>

<file path=xl/ctrlProps/ctrlProp96.xml><?xml version="1.0" encoding="utf-8"?>
<formControlPr xmlns="http://schemas.microsoft.com/office/spreadsheetml/2009/9/main" objectType="CheckBox" fmlaLink="$M$145" lockText="1" noThreeD="1"/>
</file>

<file path=xl/ctrlProps/ctrlProp97.xml><?xml version="1.0" encoding="utf-8"?>
<formControlPr xmlns="http://schemas.microsoft.com/office/spreadsheetml/2009/9/main" objectType="CheckBox" fmlaLink="$M$147" lockText="1" noThreeD="1"/>
</file>

<file path=xl/ctrlProps/ctrlProp98.xml><?xml version="1.0" encoding="utf-8"?>
<formControlPr xmlns="http://schemas.microsoft.com/office/spreadsheetml/2009/9/main" objectType="CheckBox" fmlaLink="$M$152" lockText="1" noThreeD="1"/>
</file>

<file path=xl/ctrlProps/ctrlProp99.xml><?xml version="1.0" encoding="utf-8"?>
<formControlPr xmlns="http://schemas.microsoft.com/office/spreadsheetml/2009/9/main" objectType="CheckBox" fmlaLink="$M$15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14</xdr:row>
          <xdr:rowOff>0</xdr:rowOff>
        </xdr:to>
        <xdr:sp macro="" textlink="">
          <xdr:nvSpPr>
            <xdr:cNvPr id="12613" name="Kontrollkästchen 2" hidden="1">
              <a:extLst>
                <a:ext uri="{63B3BB69-23CF-44E3-9099-C40C66FF867C}">
                  <a14:compatExt spid="_x0000_s12613"/>
                </a:ext>
                <a:ext uri="{FF2B5EF4-FFF2-40B4-BE49-F238E27FC236}">
                  <a16:creationId xmlns:a16="http://schemas.microsoft.com/office/drawing/2014/main" id="{00000000-0008-0000-07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7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7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7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7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58</xdr:row>
          <xdr:rowOff>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7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7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7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7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7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0</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7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7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0</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7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95</xdr:row>
          <xdr:rowOff>209550</xdr:rowOff>
        </xdr:to>
        <xdr:sp macro="" textlink="">
          <xdr:nvSpPr>
            <xdr:cNvPr id="12695" name="Check Box 407" descr="3 Fahrstreifen" hidden="1">
              <a:extLst>
                <a:ext uri="{63B3BB69-23CF-44E3-9099-C40C66FF867C}">
                  <a14:compatExt spid="_x0000_s12695"/>
                </a:ext>
                <a:ext uri="{FF2B5EF4-FFF2-40B4-BE49-F238E27FC236}">
                  <a16:creationId xmlns:a16="http://schemas.microsoft.com/office/drawing/2014/main" id="{00000000-0008-0000-0700-00009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12696" name="Check Box 408" descr="3 Fahrstreifen" hidden="1">
              <a:extLst>
                <a:ext uri="{63B3BB69-23CF-44E3-9099-C40C66FF867C}">
                  <a14:compatExt spid="_x0000_s12696"/>
                </a:ext>
                <a:ext uri="{FF2B5EF4-FFF2-40B4-BE49-F238E27FC236}">
                  <a16:creationId xmlns:a16="http://schemas.microsoft.com/office/drawing/2014/main" id="{00000000-0008-0000-0700-00009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0</xdr:rowOff>
        </xdr:to>
        <xdr:sp macro="" textlink="">
          <xdr:nvSpPr>
            <xdr:cNvPr id="12700" name="Check Box 412" hidden="1">
              <a:extLst>
                <a:ext uri="{63B3BB69-23CF-44E3-9099-C40C66FF867C}">
                  <a14:compatExt spid="_x0000_s12700"/>
                </a:ext>
                <a:ext uri="{FF2B5EF4-FFF2-40B4-BE49-F238E27FC236}">
                  <a16:creationId xmlns:a16="http://schemas.microsoft.com/office/drawing/2014/main" id="{00000000-0008-0000-0700-00009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0</xdr:rowOff>
        </xdr:to>
        <xdr:sp macro="" textlink="">
          <xdr:nvSpPr>
            <xdr:cNvPr id="12703" name="Check Box 415" hidden="1">
              <a:extLst>
                <a:ext uri="{63B3BB69-23CF-44E3-9099-C40C66FF867C}">
                  <a14:compatExt spid="_x0000_s12703"/>
                </a:ext>
                <a:ext uri="{FF2B5EF4-FFF2-40B4-BE49-F238E27FC236}">
                  <a16:creationId xmlns:a16="http://schemas.microsoft.com/office/drawing/2014/main" id="{00000000-0008-0000-0700-00009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0</xdr:rowOff>
        </xdr:to>
        <xdr:sp macro="" textlink="">
          <xdr:nvSpPr>
            <xdr:cNvPr id="12704" name="Check Box 416" hidden="1">
              <a:extLst>
                <a:ext uri="{63B3BB69-23CF-44E3-9099-C40C66FF867C}">
                  <a14:compatExt spid="_x0000_s12704"/>
                </a:ext>
                <a:ext uri="{FF2B5EF4-FFF2-40B4-BE49-F238E27FC236}">
                  <a16:creationId xmlns:a16="http://schemas.microsoft.com/office/drawing/2014/main" id="{00000000-0008-0000-0700-0000A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0</xdr:rowOff>
        </xdr:to>
        <xdr:sp macro="" textlink="">
          <xdr:nvSpPr>
            <xdr:cNvPr id="12706" name="Check Box 418" hidden="1">
              <a:extLst>
                <a:ext uri="{63B3BB69-23CF-44E3-9099-C40C66FF867C}">
                  <a14:compatExt spid="_x0000_s12706"/>
                </a:ext>
                <a:ext uri="{FF2B5EF4-FFF2-40B4-BE49-F238E27FC236}">
                  <a16:creationId xmlns:a16="http://schemas.microsoft.com/office/drawing/2014/main" id="{00000000-0008-0000-0700-0000A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56</xdr:row>
          <xdr:rowOff>0</xdr:rowOff>
        </xdr:to>
        <xdr:sp macro="" textlink="">
          <xdr:nvSpPr>
            <xdr:cNvPr id="12781" name="Check Box 493" hidden="1">
              <a:extLst>
                <a:ext uri="{63B3BB69-23CF-44E3-9099-C40C66FF867C}">
                  <a14:compatExt spid="_x0000_s12781"/>
                </a:ext>
                <a:ext uri="{FF2B5EF4-FFF2-40B4-BE49-F238E27FC236}">
                  <a16:creationId xmlns:a16="http://schemas.microsoft.com/office/drawing/2014/main" id="{00000000-0008-0000-0700-0000E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12824" name="Check Box 536" hidden="1">
              <a:extLst>
                <a:ext uri="{63B3BB69-23CF-44E3-9099-C40C66FF867C}">
                  <a14:compatExt spid="_x0000_s12824"/>
                </a:ext>
                <a:ext uri="{FF2B5EF4-FFF2-40B4-BE49-F238E27FC236}">
                  <a16:creationId xmlns:a16="http://schemas.microsoft.com/office/drawing/2014/main" id="{00000000-0008-0000-07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12835" name="Kontrollkästchen 5" hidden="1">
              <a:extLst>
                <a:ext uri="{63B3BB69-23CF-44E3-9099-C40C66FF867C}">
                  <a14:compatExt spid="_x0000_s12835"/>
                </a:ext>
                <a:ext uri="{FF2B5EF4-FFF2-40B4-BE49-F238E27FC236}">
                  <a16:creationId xmlns:a16="http://schemas.microsoft.com/office/drawing/2014/main" id="{00000000-0008-0000-07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0</xdr:rowOff>
        </xdr:to>
        <xdr:sp macro="" textlink="">
          <xdr:nvSpPr>
            <xdr:cNvPr id="12836" name="Kontrollkästchen 5" hidden="1">
              <a:extLst>
                <a:ext uri="{63B3BB69-23CF-44E3-9099-C40C66FF867C}">
                  <a14:compatExt spid="_x0000_s12836"/>
                </a:ext>
                <a:ext uri="{FF2B5EF4-FFF2-40B4-BE49-F238E27FC236}">
                  <a16:creationId xmlns:a16="http://schemas.microsoft.com/office/drawing/2014/main" id="{00000000-0008-0000-07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12837" name="Check Box 549" hidden="1">
              <a:extLst>
                <a:ext uri="{63B3BB69-23CF-44E3-9099-C40C66FF867C}">
                  <a14:compatExt spid="_x0000_s12837"/>
                </a:ext>
                <a:ext uri="{FF2B5EF4-FFF2-40B4-BE49-F238E27FC236}">
                  <a16:creationId xmlns:a16="http://schemas.microsoft.com/office/drawing/2014/main" id="{00000000-0008-0000-07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32</xdr:row>
          <xdr:rowOff>0</xdr:rowOff>
        </xdr:to>
        <xdr:sp macro="" textlink="">
          <xdr:nvSpPr>
            <xdr:cNvPr id="12853" name="Check Box 565" hidden="1">
              <a:extLst>
                <a:ext uri="{63B3BB69-23CF-44E3-9099-C40C66FF867C}">
                  <a14:compatExt spid="_x0000_s12853"/>
                </a:ext>
                <a:ext uri="{FF2B5EF4-FFF2-40B4-BE49-F238E27FC236}">
                  <a16:creationId xmlns:a16="http://schemas.microsoft.com/office/drawing/2014/main" id="{00000000-0008-0000-0700-00003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0</xdr:rowOff>
        </xdr:to>
        <xdr:sp macro="" textlink="">
          <xdr:nvSpPr>
            <xdr:cNvPr id="12858" name="Check Box 570" hidden="1">
              <a:extLst>
                <a:ext uri="{63B3BB69-23CF-44E3-9099-C40C66FF867C}">
                  <a14:compatExt spid="_x0000_s12858"/>
                </a:ext>
                <a:ext uri="{FF2B5EF4-FFF2-40B4-BE49-F238E27FC236}">
                  <a16:creationId xmlns:a16="http://schemas.microsoft.com/office/drawing/2014/main" id="{00000000-0008-0000-0700-00003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49</xdr:row>
          <xdr:rowOff>0</xdr:rowOff>
        </xdr:to>
        <xdr:sp macro="" textlink="">
          <xdr:nvSpPr>
            <xdr:cNvPr id="12903" name="Check Box 615" hidden="1">
              <a:extLst>
                <a:ext uri="{63B3BB69-23CF-44E3-9099-C40C66FF867C}">
                  <a14:compatExt spid="_x0000_s12903"/>
                </a:ext>
                <a:ext uri="{FF2B5EF4-FFF2-40B4-BE49-F238E27FC236}">
                  <a16:creationId xmlns:a16="http://schemas.microsoft.com/office/drawing/2014/main" id="{00000000-0008-0000-0700-00006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0</xdr:rowOff>
        </xdr:to>
        <xdr:sp macro="" textlink="">
          <xdr:nvSpPr>
            <xdr:cNvPr id="12922" name="Check Box 634" descr="3 Fahrstreifen" hidden="1">
              <a:extLst>
                <a:ext uri="{63B3BB69-23CF-44E3-9099-C40C66FF867C}">
                  <a14:compatExt spid="_x0000_s12922"/>
                </a:ext>
                <a:ext uri="{FF2B5EF4-FFF2-40B4-BE49-F238E27FC236}">
                  <a16:creationId xmlns:a16="http://schemas.microsoft.com/office/drawing/2014/main" id="{00000000-0008-0000-0700-00007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0</xdr:rowOff>
        </xdr:to>
        <xdr:sp macro="" textlink="">
          <xdr:nvSpPr>
            <xdr:cNvPr id="12926" name="Kontrollkästchen 2" hidden="1">
              <a:extLst>
                <a:ext uri="{63B3BB69-23CF-44E3-9099-C40C66FF867C}">
                  <a14:compatExt spid="_x0000_s12926"/>
                </a:ext>
                <a:ext uri="{FF2B5EF4-FFF2-40B4-BE49-F238E27FC236}">
                  <a16:creationId xmlns:a16="http://schemas.microsoft.com/office/drawing/2014/main" id="{00000000-0008-0000-0700-00007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12927" name="Check Box 639" hidden="1">
              <a:extLst>
                <a:ext uri="{63B3BB69-23CF-44E3-9099-C40C66FF867C}">
                  <a14:compatExt spid="_x0000_s12927"/>
                </a:ext>
                <a:ext uri="{FF2B5EF4-FFF2-40B4-BE49-F238E27FC236}">
                  <a16:creationId xmlns:a16="http://schemas.microsoft.com/office/drawing/2014/main" id="{00000000-0008-0000-0700-00007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12928" name="Kontrollkästchen 2" hidden="1">
              <a:extLst>
                <a:ext uri="{63B3BB69-23CF-44E3-9099-C40C66FF867C}">
                  <a14:compatExt spid="_x0000_s12928"/>
                </a:ext>
                <a:ext uri="{FF2B5EF4-FFF2-40B4-BE49-F238E27FC236}">
                  <a16:creationId xmlns:a16="http://schemas.microsoft.com/office/drawing/2014/main" id="{00000000-0008-0000-0700-00008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12932" name="Check Box 644" hidden="1">
              <a:extLst>
                <a:ext uri="{63B3BB69-23CF-44E3-9099-C40C66FF867C}">
                  <a14:compatExt spid="_x0000_s12932"/>
                </a:ext>
                <a:ext uri="{FF2B5EF4-FFF2-40B4-BE49-F238E27FC236}">
                  <a16:creationId xmlns:a16="http://schemas.microsoft.com/office/drawing/2014/main" id="{00000000-0008-0000-0700-00008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12933" name="Check Box 645" hidden="1">
              <a:extLst>
                <a:ext uri="{63B3BB69-23CF-44E3-9099-C40C66FF867C}">
                  <a14:compatExt spid="_x0000_s12933"/>
                </a:ext>
                <a:ext uri="{FF2B5EF4-FFF2-40B4-BE49-F238E27FC236}">
                  <a16:creationId xmlns:a16="http://schemas.microsoft.com/office/drawing/2014/main" id="{00000000-0008-0000-0700-00008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13007" name="Check Box 719" hidden="1">
              <a:extLst>
                <a:ext uri="{63B3BB69-23CF-44E3-9099-C40C66FF867C}">
                  <a14:compatExt spid="_x0000_s13007"/>
                </a:ext>
                <a:ext uri="{FF2B5EF4-FFF2-40B4-BE49-F238E27FC236}">
                  <a16:creationId xmlns:a16="http://schemas.microsoft.com/office/drawing/2014/main" id="{00000000-0008-0000-0700-0000C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13008" name="Check Box 720" hidden="1">
              <a:extLst>
                <a:ext uri="{63B3BB69-23CF-44E3-9099-C40C66FF867C}">
                  <a14:compatExt spid="_x0000_s13008"/>
                </a:ext>
                <a:ext uri="{FF2B5EF4-FFF2-40B4-BE49-F238E27FC236}">
                  <a16:creationId xmlns:a16="http://schemas.microsoft.com/office/drawing/2014/main" id="{00000000-0008-0000-0700-0000D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0</xdr:rowOff>
        </xdr:to>
        <xdr:sp macro="" textlink="">
          <xdr:nvSpPr>
            <xdr:cNvPr id="13009" name="Check Box 721" hidden="1">
              <a:extLst>
                <a:ext uri="{63B3BB69-23CF-44E3-9099-C40C66FF867C}">
                  <a14:compatExt spid="_x0000_s13009"/>
                </a:ext>
                <a:ext uri="{FF2B5EF4-FFF2-40B4-BE49-F238E27FC236}">
                  <a16:creationId xmlns:a16="http://schemas.microsoft.com/office/drawing/2014/main" id="{00000000-0008-0000-0700-0000D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0</xdr:rowOff>
        </xdr:to>
        <xdr:sp macro="" textlink="">
          <xdr:nvSpPr>
            <xdr:cNvPr id="13014" name="Check Box 726" hidden="1">
              <a:extLst>
                <a:ext uri="{63B3BB69-23CF-44E3-9099-C40C66FF867C}">
                  <a14:compatExt spid="_x0000_s13014"/>
                </a:ext>
                <a:ext uri="{FF2B5EF4-FFF2-40B4-BE49-F238E27FC236}">
                  <a16:creationId xmlns:a16="http://schemas.microsoft.com/office/drawing/2014/main" id="{00000000-0008-0000-0700-0000D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14</xdr:row>
          <xdr:rowOff>0</xdr:rowOff>
        </xdr:to>
        <xdr:sp macro="" textlink="">
          <xdr:nvSpPr>
            <xdr:cNvPr id="40961" name="Kontrollkästchen 2"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8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8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48</xdr:row>
          <xdr:rowOff>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8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8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0</xdr:colOff>
          <xdr:row>52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8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8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56</xdr:row>
          <xdr:rowOff>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8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0</xdr:rowOff>
        </xdr:to>
        <xdr:sp macro="" textlink="">
          <xdr:nvSpPr>
            <xdr:cNvPr id="40974" name="Check Box 14" descr="3 Fahrstreifen" hidden="1">
              <a:extLst>
                <a:ext uri="{63B3BB69-23CF-44E3-9099-C40C66FF867C}">
                  <a14:compatExt spid="_x0000_s40974"/>
                </a:ext>
                <a:ext uri="{FF2B5EF4-FFF2-40B4-BE49-F238E27FC236}">
                  <a16:creationId xmlns:a16="http://schemas.microsoft.com/office/drawing/2014/main" id="{00000000-0008-0000-08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0</xdr:rowOff>
        </xdr:to>
        <xdr:sp macro="" textlink="">
          <xdr:nvSpPr>
            <xdr:cNvPr id="40975" name="Check Box 15" descr="3 Fahrstreifen" hidden="1">
              <a:extLst>
                <a:ext uri="{63B3BB69-23CF-44E3-9099-C40C66FF867C}">
                  <a14:compatExt spid="_x0000_s40975"/>
                </a:ext>
                <a:ext uri="{FF2B5EF4-FFF2-40B4-BE49-F238E27FC236}">
                  <a16:creationId xmlns:a16="http://schemas.microsoft.com/office/drawing/2014/main" id="{00000000-0008-0000-08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63</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8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61</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40987" name="Kontrollkästchen 5" hidden="1">
              <a:extLst>
                <a:ext uri="{63B3BB69-23CF-44E3-9099-C40C66FF867C}">
                  <a14:compatExt spid="_x0000_s40987"/>
                </a:ext>
                <a:ext uri="{FF2B5EF4-FFF2-40B4-BE49-F238E27FC236}">
                  <a16:creationId xmlns:a16="http://schemas.microsoft.com/office/drawing/2014/main" id="{00000000-0008-0000-0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9525</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8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66</xdr:row>
          <xdr:rowOff>209550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8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9525</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0</xdr:rowOff>
        </xdr:to>
        <xdr:sp macro="" textlink="">
          <xdr:nvSpPr>
            <xdr:cNvPr id="41005" name="Check Box 45" descr="3 Fahrstreifen" hidden="1">
              <a:extLst>
                <a:ext uri="{63B3BB69-23CF-44E3-9099-C40C66FF867C}">
                  <a14:compatExt spid="_x0000_s41005"/>
                </a:ext>
                <a:ext uri="{FF2B5EF4-FFF2-40B4-BE49-F238E27FC236}">
                  <a16:creationId xmlns:a16="http://schemas.microsoft.com/office/drawing/2014/main" id="{00000000-0008-0000-08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9525</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8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8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219075</xdr:rowOff>
        </xdr:from>
        <xdr:to>
          <xdr:col>3</xdr:col>
          <xdr:colOff>0</xdr:colOff>
          <xdr:row>13</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3</xdr:col>
          <xdr:colOff>9525</xdr:colOff>
          <xdr:row>28</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9525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219075</xdr:rowOff>
        </xdr:from>
        <xdr:to>
          <xdr:col>3</xdr:col>
          <xdr:colOff>0</xdr:colOff>
          <xdr:row>16</xdr:row>
          <xdr:rowOff>9525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219075</xdr:rowOff>
        </xdr:from>
        <xdr:to>
          <xdr:col>3</xdr:col>
          <xdr:colOff>0</xdr:colOff>
          <xdr:row>17</xdr:row>
          <xdr:rowOff>9525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219075</xdr:rowOff>
        </xdr:from>
        <xdr:to>
          <xdr:col>3</xdr:col>
          <xdr:colOff>0</xdr:colOff>
          <xdr:row>18</xdr:row>
          <xdr:rowOff>9525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219075</xdr:rowOff>
        </xdr:from>
        <xdr:to>
          <xdr:col>3</xdr:col>
          <xdr:colOff>0</xdr:colOff>
          <xdr:row>19</xdr:row>
          <xdr:rowOff>9525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219075</xdr:rowOff>
        </xdr:from>
        <xdr:to>
          <xdr:col>3</xdr:col>
          <xdr:colOff>0</xdr:colOff>
          <xdr:row>20</xdr:row>
          <xdr:rowOff>9525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9525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9525</xdr:rowOff>
        </xdr:to>
        <xdr:sp macro="" textlink="">
          <xdr:nvSpPr>
            <xdr:cNvPr id="20485" name="Check Box 5" descr="3 Fahrstreifen"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9525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9525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3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49</xdr:row>
          <xdr:rowOff>9525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3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9525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3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58</xdr:row>
          <xdr:rowOff>9525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3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9525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3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9525</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3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0</xdr:colOff>
          <xdr:row>94</xdr:row>
          <xdr:rowOff>190500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3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9525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3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0</xdr:colOff>
          <xdr:row>101</xdr:row>
          <xdr:rowOff>9525</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3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9525</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3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110</xdr:row>
          <xdr:rowOff>9525</xdr:rowOff>
        </xdr:to>
        <xdr:sp macro="" textlink="">
          <xdr:nvSpPr>
            <xdr:cNvPr id="53270" name="Check Box 22" descr="3 Fahrstreifen" hidden="1">
              <a:extLst>
                <a:ext uri="{63B3BB69-23CF-44E3-9099-C40C66FF867C}">
                  <a14:compatExt spid="_x0000_s53270"/>
                </a:ext>
                <a:ext uri="{FF2B5EF4-FFF2-40B4-BE49-F238E27FC236}">
                  <a16:creationId xmlns:a16="http://schemas.microsoft.com/office/drawing/2014/main" id="{00000000-0008-0000-03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2</xdr:col>
          <xdr:colOff>0</xdr:colOff>
          <xdr:row>149</xdr:row>
          <xdr:rowOff>9525</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3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158</xdr:row>
          <xdr:rowOff>0</xdr:rowOff>
        </xdr:from>
        <xdr:to>
          <xdr:col>2</xdr:col>
          <xdr:colOff>0</xdr:colOff>
          <xdr:row>159</xdr:row>
          <xdr:rowOff>9525</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03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9525</xdr:rowOff>
        </xdr:to>
        <xdr:sp macro="" textlink="">
          <xdr:nvSpPr>
            <xdr:cNvPr id="53273" name="Check Box 25" descr="3 Fahrstreifen" hidden="1">
              <a:extLst>
                <a:ext uri="{63B3BB69-23CF-44E3-9099-C40C66FF867C}">
                  <a14:compatExt spid="_x0000_s53273"/>
                </a:ext>
                <a:ext uri="{FF2B5EF4-FFF2-40B4-BE49-F238E27FC236}">
                  <a16:creationId xmlns:a16="http://schemas.microsoft.com/office/drawing/2014/main" id="{00000000-0008-0000-03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0</xdr:colOff>
          <xdr:row>163</xdr:row>
          <xdr:rowOff>9525</xdr:rowOff>
        </xdr:to>
        <xdr:sp macro="" textlink="">
          <xdr:nvSpPr>
            <xdr:cNvPr id="53274" name="Check Box 26" descr="3 Fahrstreifen" hidden="1">
              <a:extLst>
                <a:ext uri="{63B3BB69-23CF-44E3-9099-C40C66FF867C}">
                  <a14:compatExt spid="_x0000_s53274"/>
                </a:ext>
                <a:ext uri="{FF2B5EF4-FFF2-40B4-BE49-F238E27FC236}">
                  <a16:creationId xmlns:a16="http://schemas.microsoft.com/office/drawing/2014/main" id="{00000000-0008-0000-03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0</xdr:rowOff>
        </xdr:from>
        <xdr:to>
          <xdr:col>2</xdr:col>
          <xdr:colOff>0</xdr:colOff>
          <xdr:row>167</xdr:row>
          <xdr:rowOff>9525</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03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174</xdr:row>
          <xdr:rowOff>0</xdr:rowOff>
        </xdr:from>
        <xdr:to>
          <xdr:col>2</xdr:col>
          <xdr:colOff>0</xdr:colOff>
          <xdr:row>175</xdr:row>
          <xdr:rowOff>9525</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3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179</xdr:row>
          <xdr:rowOff>0</xdr:rowOff>
        </xdr:from>
        <xdr:to>
          <xdr:col>2</xdr:col>
          <xdr:colOff>0</xdr:colOff>
          <xdr:row>180</xdr:row>
          <xdr:rowOff>9525</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3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0</xdr:colOff>
          <xdr:row>184</xdr:row>
          <xdr:rowOff>9525</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3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196</xdr:row>
          <xdr:rowOff>0</xdr:rowOff>
        </xdr:from>
        <xdr:to>
          <xdr:col>2</xdr:col>
          <xdr:colOff>0</xdr:colOff>
          <xdr:row>197</xdr:row>
          <xdr:rowOff>9525</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3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0</xdr:rowOff>
        </xdr:from>
        <xdr:to>
          <xdr:col>2</xdr:col>
          <xdr:colOff>0</xdr:colOff>
          <xdr:row>206</xdr:row>
          <xdr:rowOff>9525</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3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0</xdr:colOff>
          <xdr:row>213</xdr:row>
          <xdr:rowOff>9525</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3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0</xdr:colOff>
          <xdr:row>217</xdr:row>
          <xdr:rowOff>9525</xdr:rowOff>
        </xdr:to>
        <xdr:sp macro="" textlink="">
          <xdr:nvSpPr>
            <xdr:cNvPr id="53282" name="Check Box 34" descr="3 Fahrstreifen" hidden="1">
              <a:extLst>
                <a:ext uri="{63B3BB69-23CF-44E3-9099-C40C66FF867C}">
                  <a14:compatExt spid="_x0000_s53282"/>
                </a:ext>
                <a:ext uri="{FF2B5EF4-FFF2-40B4-BE49-F238E27FC236}">
                  <a16:creationId xmlns:a16="http://schemas.microsoft.com/office/drawing/2014/main" id="{00000000-0008-0000-03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2</xdr:col>
          <xdr:colOff>0</xdr:colOff>
          <xdr:row>117</xdr:row>
          <xdr:rowOff>9525</xdr:rowOff>
        </xdr:to>
        <xdr:sp macro="" textlink="">
          <xdr:nvSpPr>
            <xdr:cNvPr id="53308" name="Check Box 60" hidden="1">
              <a:extLst>
                <a:ext uri="{63B3BB69-23CF-44E3-9099-C40C66FF867C}">
                  <a14:compatExt spid="_x0000_s53308"/>
                </a:ext>
                <a:ext uri="{FF2B5EF4-FFF2-40B4-BE49-F238E27FC236}">
                  <a16:creationId xmlns:a16="http://schemas.microsoft.com/office/drawing/2014/main" id="{00000000-0008-0000-0300-00003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122</xdr:row>
          <xdr:rowOff>209550</xdr:rowOff>
        </xdr:to>
        <xdr:sp macro="" textlink="">
          <xdr:nvSpPr>
            <xdr:cNvPr id="53309" name="Check Box 61" hidden="1">
              <a:extLst>
                <a:ext uri="{63B3BB69-23CF-44E3-9099-C40C66FF867C}">
                  <a14:compatExt spid="_x0000_s53309"/>
                </a:ext>
                <a:ext uri="{FF2B5EF4-FFF2-40B4-BE49-F238E27FC236}">
                  <a16:creationId xmlns:a16="http://schemas.microsoft.com/office/drawing/2014/main" id="{00000000-0008-0000-0300-00003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9525</xdr:rowOff>
        </xdr:to>
        <xdr:sp macro="" textlink="">
          <xdr:nvSpPr>
            <xdr:cNvPr id="53310" name="Check Box 62" descr="3 Fahrstreifen" hidden="1">
              <a:extLst>
                <a:ext uri="{63B3BB69-23CF-44E3-9099-C40C66FF867C}">
                  <a14:compatExt spid="_x0000_s53310"/>
                </a:ext>
                <a:ext uri="{FF2B5EF4-FFF2-40B4-BE49-F238E27FC236}">
                  <a16:creationId xmlns:a16="http://schemas.microsoft.com/office/drawing/2014/main" id="{00000000-0008-0000-0300-00003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0</xdr:colOff>
          <xdr:row>114</xdr:row>
          <xdr:rowOff>9525</xdr:rowOff>
        </xdr:to>
        <xdr:sp macro="" textlink="">
          <xdr:nvSpPr>
            <xdr:cNvPr id="53311" name="Check Box 63" hidden="1">
              <a:extLst>
                <a:ext uri="{63B3BB69-23CF-44E3-9099-C40C66FF867C}">
                  <a14:compatExt spid="_x0000_s53311"/>
                </a:ext>
                <a:ext uri="{FF2B5EF4-FFF2-40B4-BE49-F238E27FC236}">
                  <a16:creationId xmlns:a16="http://schemas.microsoft.com/office/drawing/2014/main" id="{00000000-0008-0000-0300-00003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9525</xdr:rowOff>
        </xdr:to>
        <xdr:sp macro="" textlink="">
          <xdr:nvSpPr>
            <xdr:cNvPr id="53312" name="Check Box 64" hidden="1">
              <a:extLst>
                <a:ext uri="{63B3BB69-23CF-44E3-9099-C40C66FF867C}">
                  <a14:compatExt spid="_x0000_s53312"/>
                </a:ext>
                <a:ext uri="{FF2B5EF4-FFF2-40B4-BE49-F238E27FC236}">
                  <a16:creationId xmlns:a16="http://schemas.microsoft.com/office/drawing/2014/main" id="{00000000-0008-0000-0300-00004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9525</xdr:rowOff>
        </xdr:to>
        <xdr:sp macro="" textlink="">
          <xdr:nvSpPr>
            <xdr:cNvPr id="53321" name="Check Box 73" hidden="1">
              <a:extLst>
                <a:ext uri="{63B3BB69-23CF-44E3-9099-C40C66FF867C}">
                  <a14:compatExt spid="_x0000_s53321"/>
                </a:ext>
                <a:ext uri="{FF2B5EF4-FFF2-40B4-BE49-F238E27FC236}">
                  <a16:creationId xmlns:a16="http://schemas.microsoft.com/office/drawing/2014/main" id="{00000000-0008-0000-0300-00004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9525</xdr:colOff>
          <xdr:row>15</xdr:row>
          <xdr:rowOff>0</xdr:rowOff>
        </xdr:to>
        <xdr:sp macro="" textlink="">
          <xdr:nvSpPr>
            <xdr:cNvPr id="53322" name="Check Box 74" hidden="1">
              <a:extLst>
                <a:ext uri="{63B3BB69-23CF-44E3-9099-C40C66FF867C}">
                  <a14:compatExt spid="_x0000_s53322"/>
                </a:ext>
                <a:ext uri="{FF2B5EF4-FFF2-40B4-BE49-F238E27FC236}">
                  <a16:creationId xmlns:a16="http://schemas.microsoft.com/office/drawing/2014/main" id="{00000000-0008-0000-0300-00004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2</xdr:col>
          <xdr:colOff>9525</xdr:colOff>
          <xdr:row>16</xdr:row>
          <xdr:rowOff>0</xdr:rowOff>
        </xdr:to>
        <xdr:sp macro="" textlink="">
          <xdr:nvSpPr>
            <xdr:cNvPr id="53324" name="Check Box 76" hidden="1">
              <a:extLst>
                <a:ext uri="{63B3BB69-23CF-44E3-9099-C40C66FF867C}">
                  <a14:compatExt spid="_x0000_s53324"/>
                </a:ext>
                <a:ext uri="{FF2B5EF4-FFF2-40B4-BE49-F238E27FC236}">
                  <a16:creationId xmlns:a16="http://schemas.microsoft.com/office/drawing/2014/main" id="{00000000-0008-0000-0300-00004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0</xdr:colOff>
          <xdr:row>193</xdr:row>
          <xdr:rowOff>9525</xdr:rowOff>
        </xdr:to>
        <xdr:sp macro="" textlink="">
          <xdr:nvSpPr>
            <xdr:cNvPr id="53329" name="Check Box 81" hidden="1">
              <a:extLst>
                <a:ext uri="{63B3BB69-23CF-44E3-9099-C40C66FF867C}">
                  <a14:compatExt spid="_x0000_s53329"/>
                </a:ext>
                <a:ext uri="{FF2B5EF4-FFF2-40B4-BE49-F238E27FC236}">
                  <a16:creationId xmlns:a16="http://schemas.microsoft.com/office/drawing/2014/main" id="{00000000-0008-0000-0300-00005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2</xdr:col>
          <xdr:colOff>9525</xdr:colOff>
          <xdr:row>13</xdr:row>
          <xdr:rowOff>0</xdr:rowOff>
        </xdr:to>
        <xdr:sp macro="" textlink="">
          <xdr:nvSpPr>
            <xdr:cNvPr id="53330" name="Check Box 82" hidden="1">
              <a:extLst>
                <a:ext uri="{63B3BB69-23CF-44E3-9099-C40C66FF867C}">
                  <a14:compatExt spid="_x0000_s53330"/>
                </a:ext>
                <a:ext uri="{FF2B5EF4-FFF2-40B4-BE49-F238E27FC236}">
                  <a16:creationId xmlns:a16="http://schemas.microsoft.com/office/drawing/2014/main" id="{A08C14AF-DF05-42F9-9E10-C98A2A4A2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4</xdr:col>
          <xdr:colOff>0</xdr:colOff>
          <xdr:row>127</xdr:row>
          <xdr:rowOff>19050</xdr:rowOff>
        </xdr:to>
        <xdr:sp macro="" textlink="">
          <xdr:nvSpPr>
            <xdr:cNvPr id="53331" name="Check Box 83" hidden="1">
              <a:extLst>
                <a:ext uri="{63B3BB69-23CF-44E3-9099-C40C66FF867C}">
                  <a14:compatExt spid="_x0000_s53331"/>
                </a:ext>
                <a:ext uri="{FF2B5EF4-FFF2-40B4-BE49-F238E27FC236}">
                  <a16:creationId xmlns:a16="http://schemas.microsoft.com/office/drawing/2014/main" id="{F63EEF27-60A7-4472-A46D-6233102E6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5</xdr:col>
          <xdr:colOff>0</xdr:colOff>
          <xdr:row>129</xdr:row>
          <xdr:rowOff>0</xdr:rowOff>
        </xdr:to>
        <xdr:sp macro="" textlink="">
          <xdr:nvSpPr>
            <xdr:cNvPr id="53332" name="Check Box 84" hidden="1">
              <a:extLst>
                <a:ext uri="{63B3BB69-23CF-44E3-9099-C40C66FF867C}">
                  <a14:compatExt spid="_x0000_s53332"/>
                </a:ext>
                <a:ext uri="{FF2B5EF4-FFF2-40B4-BE49-F238E27FC236}">
                  <a16:creationId xmlns:a16="http://schemas.microsoft.com/office/drawing/2014/main" id="{CC505810-5D6D-416A-8D56-CC46EA35B7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5</xdr:col>
          <xdr:colOff>0</xdr:colOff>
          <xdr:row>137</xdr:row>
          <xdr:rowOff>0</xdr:rowOff>
        </xdr:to>
        <xdr:sp macro="" textlink="">
          <xdr:nvSpPr>
            <xdr:cNvPr id="53336" name="Check Box 88" hidden="1">
              <a:extLst>
                <a:ext uri="{63B3BB69-23CF-44E3-9099-C40C66FF867C}">
                  <a14:compatExt spid="_x0000_s53336"/>
                </a:ext>
                <a:ext uri="{FF2B5EF4-FFF2-40B4-BE49-F238E27FC236}">
                  <a16:creationId xmlns:a16="http://schemas.microsoft.com/office/drawing/2014/main" id="{113DE7F2-7E8C-4038-A0A8-B7DA1703A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0</xdr:rowOff>
        </xdr:from>
        <xdr:to>
          <xdr:col>5</xdr:col>
          <xdr:colOff>0</xdr:colOff>
          <xdr:row>140</xdr:row>
          <xdr:rowOff>0</xdr:rowOff>
        </xdr:to>
        <xdr:sp macro="" textlink="">
          <xdr:nvSpPr>
            <xdr:cNvPr id="53337" name="Check Box 89" hidden="1">
              <a:extLst>
                <a:ext uri="{63B3BB69-23CF-44E3-9099-C40C66FF867C}">
                  <a14:compatExt spid="_x0000_s53337"/>
                </a:ext>
                <a:ext uri="{FF2B5EF4-FFF2-40B4-BE49-F238E27FC236}">
                  <a16:creationId xmlns:a16="http://schemas.microsoft.com/office/drawing/2014/main" id="{131FE4D1-0C3D-408D-B8CA-3AF97F97B8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140</xdr:row>
          <xdr:rowOff>0</xdr:rowOff>
        </xdr:from>
        <xdr:to>
          <xdr:col>5</xdr:col>
          <xdr:colOff>0</xdr:colOff>
          <xdr:row>141</xdr:row>
          <xdr:rowOff>0</xdr:rowOff>
        </xdr:to>
        <xdr:sp macro="" textlink="">
          <xdr:nvSpPr>
            <xdr:cNvPr id="53338" name="Check Box 90" hidden="1">
              <a:extLst>
                <a:ext uri="{63B3BB69-23CF-44E3-9099-C40C66FF867C}">
                  <a14:compatExt spid="_x0000_s53338"/>
                </a:ext>
                <a:ext uri="{FF2B5EF4-FFF2-40B4-BE49-F238E27FC236}">
                  <a16:creationId xmlns:a16="http://schemas.microsoft.com/office/drawing/2014/main" id="{B2C79B61-88D3-48A9-B090-16D04B6A20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141</xdr:row>
          <xdr:rowOff>0</xdr:rowOff>
        </xdr:from>
        <xdr:to>
          <xdr:col>5</xdr:col>
          <xdr:colOff>0</xdr:colOff>
          <xdr:row>142</xdr:row>
          <xdr:rowOff>0</xdr:rowOff>
        </xdr:to>
        <xdr:sp macro="" textlink="">
          <xdr:nvSpPr>
            <xdr:cNvPr id="53339" name="Check Box 91" hidden="1">
              <a:extLst>
                <a:ext uri="{63B3BB69-23CF-44E3-9099-C40C66FF867C}">
                  <a14:compatExt spid="_x0000_s53339"/>
                </a:ext>
                <a:ext uri="{FF2B5EF4-FFF2-40B4-BE49-F238E27FC236}">
                  <a16:creationId xmlns:a16="http://schemas.microsoft.com/office/drawing/2014/main" id="{F0374848-AB40-48ED-9A42-5E351354C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0</xdr:colOff>
          <xdr:row>144</xdr:row>
          <xdr:rowOff>0</xdr:rowOff>
        </xdr:to>
        <xdr:sp macro="" textlink="">
          <xdr:nvSpPr>
            <xdr:cNvPr id="53340" name="Check Box 92" hidden="1">
              <a:extLst>
                <a:ext uri="{63B3BB69-23CF-44E3-9099-C40C66FF867C}">
                  <a14:compatExt spid="_x0000_s53340"/>
                </a:ext>
                <a:ext uri="{FF2B5EF4-FFF2-40B4-BE49-F238E27FC236}">
                  <a16:creationId xmlns:a16="http://schemas.microsoft.com/office/drawing/2014/main" id="{1D8882A2-3BF9-4137-A6E6-D9221214FB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4</xdr:col>
          <xdr:colOff>0</xdr:colOff>
          <xdr:row>147</xdr:row>
          <xdr:rowOff>0</xdr:rowOff>
        </xdr:to>
        <xdr:sp macro="" textlink="">
          <xdr:nvSpPr>
            <xdr:cNvPr id="53341" name="Check Box 93" hidden="1">
              <a:extLst>
                <a:ext uri="{63B3BB69-23CF-44E3-9099-C40C66FF867C}">
                  <a14:compatExt spid="_x0000_s53341"/>
                </a:ext>
                <a:ext uri="{FF2B5EF4-FFF2-40B4-BE49-F238E27FC236}">
                  <a16:creationId xmlns:a16="http://schemas.microsoft.com/office/drawing/2014/main" id="{9CB53F19-B377-468A-9784-8D5D2D4819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0</xdr:rowOff>
        </xdr:from>
        <xdr:to>
          <xdr:col>5</xdr:col>
          <xdr:colOff>0</xdr:colOff>
          <xdr:row>132</xdr:row>
          <xdr:rowOff>0</xdr:rowOff>
        </xdr:to>
        <xdr:sp macro="" textlink="">
          <xdr:nvSpPr>
            <xdr:cNvPr id="53343" name="Check Box 95" hidden="1">
              <a:extLst>
                <a:ext uri="{63B3BB69-23CF-44E3-9099-C40C66FF867C}">
                  <a14:compatExt spid="_x0000_s53343"/>
                </a:ext>
                <a:ext uri="{FF2B5EF4-FFF2-40B4-BE49-F238E27FC236}">
                  <a16:creationId xmlns:a16="http://schemas.microsoft.com/office/drawing/2014/main" id="{05B9D5CD-54B8-027B-0F04-14C74BFDA0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0</xdr:rowOff>
        </xdr:from>
        <xdr:to>
          <xdr:col>5</xdr:col>
          <xdr:colOff>0</xdr:colOff>
          <xdr:row>133</xdr:row>
          <xdr:rowOff>0</xdr:rowOff>
        </xdr:to>
        <xdr:sp macro="" textlink="">
          <xdr:nvSpPr>
            <xdr:cNvPr id="53344" name="Check Box 96" hidden="1">
              <a:extLst>
                <a:ext uri="{63B3BB69-23CF-44E3-9099-C40C66FF867C}">
                  <a14:compatExt spid="_x0000_s53344"/>
                </a:ext>
                <a:ext uri="{FF2B5EF4-FFF2-40B4-BE49-F238E27FC236}">
                  <a16:creationId xmlns:a16="http://schemas.microsoft.com/office/drawing/2014/main" id="{D4B04570-B508-AA8C-1EB2-A86BDC15FF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0</xdr:rowOff>
        </xdr:from>
        <xdr:to>
          <xdr:col>5</xdr:col>
          <xdr:colOff>0</xdr:colOff>
          <xdr:row>134</xdr:row>
          <xdr:rowOff>0</xdr:rowOff>
        </xdr:to>
        <xdr:sp macro="" textlink="">
          <xdr:nvSpPr>
            <xdr:cNvPr id="53345" name="Check Box 97" hidden="1">
              <a:extLst>
                <a:ext uri="{63B3BB69-23CF-44E3-9099-C40C66FF867C}">
                  <a14:compatExt spid="_x0000_s53345"/>
                </a:ext>
                <a:ext uri="{FF2B5EF4-FFF2-40B4-BE49-F238E27FC236}">
                  <a16:creationId xmlns:a16="http://schemas.microsoft.com/office/drawing/2014/main" id="{6612A0C4-A072-198A-E560-CF0830AB0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129</xdr:row>
          <xdr:rowOff>0</xdr:rowOff>
        </xdr:from>
        <xdr:to>
          <xdr:col>5</xdr:col>
          <xdr:colOff>0</xdr:colOff>
          <xdr:row>130</xdr:row>
          <xdr:rowOff>0</xdr:rowOff>
        </xdr:to>
        <xdr:sp macro="" textlink="">
          <xdr:nvSpPr>
            <xdr:cNvPr id="53347" name="Check Box 99" hidden="1">
              <a:extLst>
                <a:ext uri="{63B3BB69-23CF-44E3-9099-C40C66FF867C}">
                  <a14:compatExt spid="_x0000_s53347"/>
                </a:ext>
                <a:ext uri="{FF2B5EF4-FFF2-40B4-BE49-F238E27FC236}">
                  <a16:creationId xmlns:a16="http://schemas.microsoft.com/office/drawing/2014/main" id="{A3407F60-FDE6-2200-E99A-757672F5A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16</xdr:row>
          <xdr:rowOff>209550</xdr:rowOff>
        </xdr:to>
        <xdr:sp macro="" textlink="">
          <xdr:nvSpPr>
            <xdr:cNvPr id="54274" name="Kontrollkästchen 2" hidden="1">
              <a:extLst>
                <a:ext uri="{63B3BB69-23CF-44E3-9099-C40C66FF867C}">
                  <a14:compatExt spid="_x0000_s54274"/>
                </a:ext>
                <a:ext uri="{FF2B5EF4-FFF2-40B4-BE49-F238E27FC236}">
                  <a16:creationId xmlns:a16="http://schemas.microsoft.com/office/drawing/2014/main" id="{00000000-0008-0000-06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13</xdr:row>
          <xdr:rowOff>209550</xdr:rowOff>
        </xdr:to>
        <xdr:sp macro="" textlink="">
          <xdr:nvSpPr>
            <xdr:cNvPr id="69870" name="Kontrollkästchen 2" hidden="1">
              <a:extLst>
                <a:ext uri="{63B3BB69-23CF-44E3-9099-C40C66FF867C}">
                  <a14:compatExt spid="_x0000_s69870"/>
                </a:ext>
                <a:ext uri="{FF2B5EF4-FFF2-40B4-BE49-F238E27FC236}">
                  <a16:creationId xmlns:a16="http://schemas.microsoft.com/office/drawing/2014/main" id="{00000000-0008-0000-06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69871" name="Kontrollkästchen 2" hidden="1">
              <a:extLst>
                <a:ext uri="{63B3BB69-23CF-44E3-9099-C40C66FF867C}">
                  <a14:compatExt spid="_x0000_s69871"/>
                </a:ext>
                <a:ext uri="{FF2B5EF4-FFF2-40B4-BE49-F238E27FC236}">
                  <a16:creationId xmlns:a16="http://schemas.microsoft.com/office/drawing/2014/main" id="{00000000-0008-0000-0600-0000E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69872" name="Kontrollkästchen 2" hidden="1">
              <a:extLst>
                <a:ext uri="{63B3BB69-23CF-44E3-9099-C40C66FF867C}">
                  <a14:compatExt spid="_x0000_s69872"/>
                </a:ext>
                <a:ext uri="{FF2B5EF4-FFF2-40B4-BE49-F238E27FC236}">
                  <a16:creationId xmlns:a16="http://schemas.microsoft.com/office/drawing/2014/main" id="{00000000-0008-0000-0600-0000F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209550</xdr:rowOff>
        </xdr:to>
        <xdr:sp macro="" textlink="">
          <xdr:nvSpPr>
            <xdr:cNvPr id="69874" name="Kontrollkästchen 2" hidden="1">
              <a:extLst>
                <a:ext uri="{63B3BB69-23CF-44E3-9099-C40C66FF867C}">
                  <a14:compatExt spid="_x0000_s69874"/>
                </a:ext>
                <a:ext uri="{FF2B5EF4-FFF2-40B4-BE49-F238E27FC236}">
                  <a16:creationId xmlns:a16="http://schemas.microsoft.com/office/drawing/2014/main" id="{00000000-0008-0000-0600-0000F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27</xdr:row>
          <xdr:rowOff>209550</xdr:rowOff>
        </xdr:to>
        <xdr:sp macro="" textlink="">
          <xdr:nvSpPr>
            <xdr:cNvPr id="69875" name="Kontrollkästchen 2" hidden="1">
              <a:extLst>
                <a:ext uri="{63B3BB69-23CF-44E3-9099-C40C66FF867C}">
                  <a14:compatExt spid="_x0000_s69875"/>
                </a:ext>
                <a:ext uri="{FF2B5EF4-FFF2-40B4-BE49-F238E27FC236}">
                  <a16:creationId xmlns:a16="http://schemas.microsoft.com/office/drawing/2014/main" id="{00000000-0008-0000-0600-0000F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29</xdr:row>
          <xdr:rowOff>209550</xdr:rowOff>
        </xdr:to>
        <xdr:sp macro="" textlink="">
          <xdr:nvSpPr>
            <xdr:cNvPr id="69876" name="Kontrollkästchen 2" hidden="1">
              <a:extLst>
                <a:ext uri="{63B3BB69-23CF-44E3-9099-C40C66FF867C}">
                  <a14:compatExt spid="_x0000_s69876"/>
                </a:ext>
                <a:ext uri="{FF2B5EF4-FFF2-40B4-BE49-F238E27FC236}">
                  <a16:creationId xmlns:a16="http://schemas.microsoft.com/office/drawing/2014/main" id="{00000000-0008-0000-0600-0000F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32</xdr:row>
          <xdr:rowOff>0</xdr:rowOff>
        </xdr:to>
        <xdr:sp macro="" textlink="">
          <xdr:nvSpPr>
            <xdr:cNvPr id="69877" name="Kontrollkästchen 2" hidden="1">
              <a:extLst>
                <a:ext uri="{63B3BB69-23CF-44E3-9099-C40C66FF867C}">
                  <a14:compatExt spid="_x0000_s69877"/>
                </a:ext>
                <a:ext uri="{FF2B5EF4-FFF2-40B4-BE49-F238E27FC236}">
                  <a16:creationId xmlns:a16="http://schemas.microsoft.com/office/drawing/2014/main" id="{00000000-0008-0000-0600-0000F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69878" name="Kontrollkästchen 2" hidden="1">
              <a:extLst>
                <a:ext uri="{63B3BB69-23CF-44E3-9099-C40C66FF867C}">
                  <a14:compatExt spid="_x0000_s69878"/>
                </a:ext>
                <a:ext uri="{FF2B5EF4-FFF2-40B4-BE49-F238E27FC236}">
                  <a16:creationId xmlns:a16="http://schemas.microsoft.com/office/drawing/2014/main" id="{00000000-0008-0000-0600-0000F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69879" name="Kontrollkästchen 2" hidden="1">
              <a:extLst>
                <a:ext uri="{63B3BB69-23CF-44E3-9099-C40C66FF867C}">
                  <a14:compatExt spid="_x0000_s69879"/>
                </a:ext>
                <a:ext uri="{FF2B5EF4-FFF2-40B4-BE49-F238E27FC236}">
                  <a16:creationId xmlns:a16="http://schemas.microsoft.com/office/drawing/2014/main" id="{00000000-0008-0000-0600-0000F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46</xdr:row>
          <xdr:rowOff>209550</xdr:rowOff>
        </xdr:to>
        <xdr:sp macro="" textlink="">
          <xdr:nvSpPr>
            <xdr:cNvPr id="69884" name="Kontrollkästchen 2" hidden="1">
              <a:extLst>
                <a:ext uri="{63B3BB69-23CF-44E3-9099-C40C66FF867C}">
                  <a14:compatExt spid="_x0000_s69884"/>
                </a:ext>
                <a:ext uri="{FF2B5EF4-FFF2-40B4-BE49-F238E27FC236}">
                  <a16:creationId xmlns:a16="http://schemas.microsoft.com/office/drawing/2014/main" id="{00000000-0008-0000-0600-0000F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49</xdr:row>
          <xdr:rowOff>0</xdr:rowOff>
        </xdr:to>
        <xdr:sp macro="" textlink="">
          <xdr:nvSpPr>
            <xdr:cNvPr id="69885" name="Check Box 1277" hidden="1">
              <a:extLst>
                <a:ext uri="{63B3BB69-23CF-44E3-9099-C40C66FF867C}">
                  <a14:compatExt spid="_x0000_s69885"/>
                </a:ext>
                <a:ext uri="{FF2B5EF4-FFF2-40B4-BE49-F238E27FC236}">
                  <a16:creationId xmlns:a16="http://schemas.microsoft.com/office/drawing/2014/main" id="{00000000-0008-0000-0600-0000F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69886" name="Check Box 1278" hidden="1">
              <a:extLst>
                <a:ext uri="{63B3BB69-23CF-44E3-9099-C40C66FF867C}">
                  <a14:compatExt spid="_x0000_s69886"/>
                </a:ext>
                <a:ext uri="{FF2B5EF4-FFF2-40B4-BE49-F238E27FC236}">
                  <a16:creationId xmlns:a16="http://schemas.microsoft.com/office/drawing/2014/main" id="{00000000-0008-0000-0600-0000F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0</xdr:rowOff>
        </xdr:to>
        <xdr:sp macro="" textlink="">
          <xdr:nvSpPr>
            <xdr:cNvPr id="69887" name="Check Box 1279" hidden="1">
              <a:extLst>
                <a:ext uri="{63B3BB69-23CF-44E3-9099-C40C66FF867C}">
                  <a14:compatExt spid="_x0000_s69887"/>
                </a:ext>
                <a:ext uri="{FF2B5EF4-FFF2-40B4-BE49-F238E27FC236}">
                  <a16:creationId xmlns:a16="http://schemas.microsoft.com/office/drawing/2014/main" id="{00000000-0008-0000-0600-0000F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209550</xdr:rowOff>
        </xdr:to>
        <xdr:sp macro="" textlink="">
          <xdr:nvSpPr>
            <xdr:cNvPr id="69888" name="Check Box 1280" hidden="1">
              <a:extLst>
                <a:ext uri="{63B3BB69-23CF-44E3-9099-C40C66FF867C}">
                  <a14:compatExt spid="_x0000_s69888"/>
                </a:ext>
                <a:ext uri="{FF2B5EF4-FFF2-40B4-BE49-F238E27FC236}">
                  <a16:creationId xmlns:a16="http://schemas.microsoft.com/office/drawing/2014/main" id="{00000000-0008-0000-0600-00000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57</xdr:row>
          <xdr:rowOff>0</xdr:rowOff>
        </xdr:to>
        <xdr:sp macro="" textlink="">
          <xdr:nvSpPr>
            <xdr:cNvPr id="69889" name="Check Box 1281" hidden="1">
              <a:extLst>
                <a:ext uri="{63B3BB69-23CF-44E3-9099-C40C66FF867C}">
                  <a14:compatExt spid="_x0000_s69889"/>
                </a:ext>
                <a:ext uri="{FF2B5EF4-FFF2-40B4-BE49-F238E27FC236}">
                  <a16:creationId xmlns:a16="http://schemas.microsoft.com/office/drawing/2014/main" id="{00000000-0008-0000-0600-00000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59</xdr:row>
          <xdr:rowOff>0</xdr:rowOff>
        </xdr:to>
        <xdr:sp macro="" textlink="">
          <xdr:nvSpPr>
            <xdr:cNvPr id="69890" name="Check Box 1282" hidden="1">
              <a:extLst>
                <a:ext uri="{63B3BB69-23CF-44E3-9099-C40C66FF867C}">
                  <a14:compatExt spid="_x0000_s69890"/>
                </a:ext>
                <a:ext uri="{FF2B5EF4-FFF2-40B4-BE49-F238E27FC236}">
                  <a16:creationId xmlns:a16="http://schemas.microsoft.com/office/drawing/2014/main" id="{00000000-0008-0000-0600-00000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63</xdr:row>
          <xdr:rowOff>209550</xdr:rowOff>
        </xdr:to>
        <xdr:sp macro="" textlink="">
          <xdr:nvSpPr>
            <xdr:cNvPr id="69899" name="Check Box 1291" hidden="1">
              <a:extLst>
                <a:ext uri="{63B3BB69-23CF-44E3-9099-C40C66FF867C}">
                  <a14:compatExt spid="_x0000_s69899"/>
                </a:ext>
                <a:ext uri="{FF2B5EF4-FFF2-40B4-BE49-F238E27FC236}">
                  <a16:creationId xmlns:a16="http://schemas.microsoft.com/office/drawing/2014/main" id="{00000000-0008-0000-0600-00000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69900" name="Check Box 1292" hidden="1">
              <a:extLst>
                <a:ext uri="{63B3BB69-23CF-44E3-9099-C40C66FF867C}">
                  <a14:compatExt spid="_x0000_s69900"/>
                </a:ext>
                <a:ext uri="{FF2B5EF4-FFF2-40B4-BE49-F238E27FC236}">
                  <a16:creationId xmlns:a16="http://schemas.microsoft.com/office/drawing/2014/main" id="{00000000-0008-0000-0600-00000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73</xdr:row>
          <xdr:rowOff>209550</xdr:rowOff>
        </xdr:to>
        <xdr:sp macro="" textlink="">
          <xdr:nvSpPr>
            <xdr:cNvPr id="69901" name="Check Box 1293" hidden="1">
              <a:extLst>
                <a:ext uri="{63B3BB69-23CF-44E3-9099-C40C66FF867C}">
                  <a14:compatExt spid="_x0000_s69901"/>
                </a:ext>
                <a:ext uri="{FF2B5EF4-FFF2-40B4-BE49-F238E27FC236}">
                  <a16:creationId xmlns:a16="http://schemas.microsoft.com/office/drawing/2014/main" id="{00000000-0008-0000-0600-00000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0</xdr:colOff>
          <xdr:row>101</xdr:row>
          <xdr:rowOff>0</xdr:rowOff>
        </xdr:to>
        <xdr:sp macro="" textlink="">
          <xdr:nvSpPr>
            <xdr:cNvPr id="69902" name="Check Box 1294" hidden="1">
              <a:extLst>
                <a:ext uri="{63B3BB69-23CF-44E3-9099-C40C66FF867C}">
                  <a14:compatExt spid="_x0000_s69902"/>
                </a:ext>
                <a:ext uri="{FF2B5EF4-FFF2-40B4-BE49-F238E27FC236}">
                  <a16:creationId xmlns:a16="http://schemas.microsoft.com/office/drawing/2014/main" id="{00000000-0008-0000-0600-00000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0</xdr:rowOff>
        </xdr:from>
        <xdr:to>
          <xdr:col>2</xdr:col>
          <xdr:colOff>0</xdr:colOff>
          <xdr:row>103</xdr:row>
          <xdr:rowOff>0</xdr:rowOff>
        </xdr:to>
        <xdr:sp macro="" textlink="">
          <xdr:nvSpPr>
            <xdr:cNvPr id="69903" name="Check Box 1295" hidden="1">
              <a:extLst>
                <a:ext uri="{63B3BB69-23CF-44E3-9099-C40C66FF867C}">
                  <a14:compatExt spid="_x0000_s69903"/>
                </a:ext>
                <a:ext uri="{FF2B5EF4-FFF2-40B4-BE49-F238E27FC236}">
                  <a16:creationId xmlns:a16="http://schemas.microsoft.com/office/drawing/2014/main" id="{00000000-0008-0000-0600-00000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107</xdr:row>
          <xdr:rowOff>209550</xdr:rowOff>
        </xdr:to>
        <xdr:sp macro="" textlink="">
          <xdr:nvSpPr>
            <xdr:cNvPr id="69904" name="Check Box 1296" hidden="1">
              <a:extLst>
                <a:ext uri="{63B3BB69-23CF-44E3-9099-C40C66FF867C}">
                  <a14:compatExt spid="_x0000_s69904"/>
                </a:ext>
                <a:ext uri="{FF2B5EF4-FFF2-40B4-BE49-F238E27FC236}">
                  <a16:creationId xmlns:a16="http://schemas.microsoft.com/office/drawing/2014/main" id="{00000000-0008-0000-0600-00001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110</xdr:row>
          <xdr:rowOff>0</xdr:rowOff>
        </xdr:to>
        <xdr:sp macro="" textlink="">
          <xdr:nvSpPr>
            <xdr:cNvPr id="69905" name="Check Box 1297" hidden="1">
              <a:extLst>
                <a:ext uri="{63B3BB69-23CF-44E3-9099-C40C66FF867C}">
                  <a14:compatExt spid="_x0000_s69905"/>
                </a:ext>
                <a:ext uri="{FF2B5EF4-FFF2-40B4-BE49-F238E27FC236}">
                  <a16:creationId xmlns:a16="http://schemas.microsoft.com/office/drawing/2014/main" id="{00000000-0008-0000-0600-00001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111</xdr:row>
          <xdr:rowOff>209550</xdr:rowOff>
        </xdr:to>
        <xdr:sp macro="" textlink="">
          <xdr:nvSpPr>
            <xdr:cNvPr id="69906" name="Check Box 1298" hidden="1">
              <a:extLst>
                <a:ext uri="{63B3BB69-23CF-44E3-9099-C40C66FF867C}">
                  <a14:compatExt spid="_x0000_s69906"/>
                </a:ext>
                <a:ext uri="{FF2B5EF4-FFF2-40B4-BE49-F238E27FC236}">
                  <a16:creationId xmlns:a16="http://schemas.microsoft.com/office/drawing/2014/main" id="{00000000-0008-0000-0600-00001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0</xdr:colOff>
          <xdr:row>113</xdr:row>
          <xdr:rowOff>209550</xdr:rowOff>
        </xdr:to>
        <xdr:sp macro="" textlink="">
          <xdr:nvSpPr>
            <xdr:cNvPr id="69907" name="Check Box 1299" hidden="1">
              <a:extLst>
                <a:ext uri="{63B3BB69-23CF-44E3-9099-C40C66FF867C}">
                  <a14:compatExt spid="_x0000_s69907"/>
                </a:ext>
                <a:ext uri="{FF2B5EF4-FFF2-40B4-BE49-F238E27FC236}">
                  <a16:creationId xmlns:a16="http://schemas.microsoft.com/office/drawing/2014/main" id="{00000000-0008-0000-0600-00001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0</xdr:colOff>
          <xdr:row>115</xdr:row>
          <xdr:rowOff>209550</xdr:rowOff>
        </xdr:to>
        <xdr:sp macro="" textlink="">
          <xdr:nvSpPr>
            <xdr:cNvPr id="69908" name="Check Box 1300" hidden="1">
              <a:extLst>
                <a:ext uri="{63B3BB69-23CF-44E3-9099-C40C66FF867C}">
                  <a14:compatExt spid="_x0000_s69908"/>
                </a:ext>
                <a:ext uri="{FF2B5EF4-FFF2-40B4-BE49-F238E27FC236}">
                  <a16:creationId xmlns:a16="http://schemas.microsoft.com/office/drawing/2014/main" id="{00000000-0008-0000-0600-00001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2</xdr:col>
          <xdr:colOff>0</xdr:colOff>
          <xdr:row>118</xdr:row>
          <xdr:rowOff>0</xdr:rowOff>
        </xdr:to>
        <xdr:sp macro="" textlink="">
          <xdr:nvSpPr>
            <xdr:cNvPr id="69909" name="Check Box 1301" hidden="1">
              <a:extLst>
                <a:ext uri="{63B3BB69-23CF-44E3-9099-C40C66FF867C}">
                  <a14:compatExt spid="_x0000_s69909"/>
                </a:ext>
                <a:ext uri="{FF2B5EF4-FFF2-40B4-BE49-F238E27FC236}">
                  <a16:creationId xmlns:a16="http://schemas.microsoft.com/office/drawing/2014/main" id="{00000000-0008-0000-0600-00001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122</xdr:row>
          <xdr:rowOff>209550</xdr:rowOff>
        </xdr:to>
        <xdr:sp macro="" textlink="">
          <xdr:nvSpPr>
            <xdr:cNvPr id="69910" name="Check Box 1302" hidden="1">
              <a:extLst>
                <a:ext uri="{63B3BB69-23CF-44E3-9099-C40C66FF867C}">
                  <a14:compatExt spid="_x0000_s69910"/>
                </a:ext>
                <a:ext uri="{FF2B5EF4-FFF2-40B4-BE49-F238E27FC236}">
                  <a16:creationId xmlns:a16="http://schemas.microsoft.com/office/drawing/2014/main" id="{00000000-0008-0000-0600-00001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132</xdr:row>
          <xdr:rowOff>0</xdr:rowOff>
        </xdr:to>
        <xdr:sp macro="" textlink="">
          <xdr:nvSpPr>
            <xdr:cNvPr id="69911" name="Check Box 1303" hidden="1">
              <a:extLst>
                <a:ext uri="{63B3BB69-23CF-44E3-9099-C40C66FF867C}">
                  <a14:compatExt spid="_x0000_s69911"/>
                </a:ext>
                <a:ext uri="{FF2B5EF4-FFF2-40B4-BE49-F238E27FC236}">
                  <a16:creationId xmlns:a16="http://schemas.microsoft.com/office/drawing/2014/main" id="{00000000-0008-0000-0600-00001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0</xdr:rowOff>
        </xdr:from>
        <xdr:to>
          <xdr:col>2</xdr:col>
          <xdr:colOff>0</xdr:colOff>
          <xdr:row>134</xdr:row>
          <xdr:rowOff>0</xdr:rowOff>
        </xdr:to>
        <xdr:sp macro="" textlink="">
          <xdr:nvSpPr>
            <xdr:cNvPr id="69912" name="Check Box 1304" hidden="1">
              <a:extLst>
                <a:ext uri="{63B3BB69-23CF-44E3-9099-C40C66FF867C}">
                  <a14:compatExt spid="_x0000_s69912"/>
                </a:ext>
                <a:ext uri="{FF2B5EF4-FFF2-40B4-BE49-F238E27FC236}">
                  <a16:creationId xmlns:a16="http://schemas.microsoft.com/office/drawing/2014/main" id="{00000000-0008-0000-0600-00001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2</xdr:col>
          <xdr:colOff>0</xdr:colOff>
          <xdr:row>138</xdr:row>
          <xdr:rowOff>209550</xdr:rowOff>
        </xdr:to>
        <xdr:sp macro="" textlink="">
          <xdr:nvSpPr>
            <xdr:cNvPr id="69913" name="Check Box 1305" hidden="1">
              <a:extLst>
                <a:ext uri="{63B3BB69-23CF-44E3-9099-C40C66FF867C}">
                  <a14:compatExt spid="_x0000_s69913"/>
                </a:ext>
                <a:ext uri="{FF2B5EF4-FFF2-40B4-BE49-F238E27FC236}">
                  <a16:creationId xmlns:a16="http://schemas.microsoft.com/office/drawing/2014/main" id="{00000000-0008-0000-0600-00001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144</xdr:row>
          <xdr:rowOff>209550</xdr:rowOff>
        </xdr:to>
        <xdr:sp macro="" textlink="">
          <xdr:nvSpPr>
            <xdr:cNvPr id="69914" name="Check Box 1306" hidden="1">
              <a:extLst>
                <a:ext uri="{63B3BB69-23CF-44E3-9099-C40C66FF867C}">
                  <a14:compatExt spid="_x0000_s69914"/>
                </a:ext>
                <a:ext uri="{FF2B5EF4-FFF2-40B4-BE49-F238E27FC236}">
                  <a16:creationId xmlns:a16="http://schemas.microsoft.com/office/drawing/2014/main" id="{00000000-0008-0000-0600-00001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0</xdr:colOff>
          <xdr:row>147</xdr:row>
          <xdr:rowOff>0</xdr:rowOff>
        </xdr:to>
        <xdr:sp macro="" textlink="">
          <xdr:nvSpPr>
            <xdr:cNvPr id="69915" name="Check Box 1307" hidden="1">
              <a:extLst>
                <a:ext uri="{63B3BB69-23CF-44E3-9099-C40C66FF867C}">
                  <a14:compatExt spid="_x0000_s69915"/>
                </a:ext>
                <a:ext uri="{FF2B5EF4-FFF2-40B4-BE49-F238E27FC236}">
                  <a16:creationId xmlns:a16="http://schemas.microsoft.com/office/drawing/2014/main" id="{00000000-0008-0000-0600-00001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0</xdr:rowOff>
        </xdr:to>
        <xdr:sp macro="" textlink="">
          <xdr:nvSpPr>
            <xdr:cNvPr id="69916" name="Check Box 1308" hidden="1">
              <a:extLst>
                <a:ext uri="{63B3BB69-23CF-44E3-9099-C40C66FF867C}">
                  <a14:compatExt spid="_x0000_s69916"/>
                </a:ext>
                <a:ext uri="{FF2B5EF4-FFF2-40B4-BE49-F238E27FC236}">
                  <a16:creationId xmlns:a16="http://schemas.microsoft.com/office/drawing/2014/main" id="{00000000-0008-0000-0600-00001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0</xdr:colOff>
          <xdr:row>154</xdr:row>
          <xdr:rowOff>0</xdr:rowOff>
        </xdr:to>
        <xdr:sp macro="" textlink="">
          <xdr:nvSpPr>
            <xdr:cNvPr id="69920" name="Check Box 1312" hidden="1">
              <a:extLst>
                <a:ext uri="{63B3BB69-23CF-44E3-9099-C40C66FF867C}">
                  <a14:compatExt spid="_x0000_s69920"/>
                </a:ext>
                <a:ext uri="{FF2B5EF4-FFF2-40B4-BE49-F238E27FC236}">
                  <a16:creationId xmlns:a16="http://schemas.microsoft.com/office/drawing/2014/main" id="{00000000-0008-0000-0600-00002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0</xdr:rowOff>
        </xdr:from>
        <xdr:to>
          <xdr:col>2</xdr:col>
          <xdr:colOff>0</xdr:colOff>
          <xdr:row>156</xdr:row>
          <xdr:rowOff>0</xdr:rowOff>
        </xdr:to>
        <xdr:sp macro="" textlink="">
          <xdr:nvSpPr>
            <xdr:cNvPr id="69921" name="Check Box 1313" hidden="1">
              <a:extLst>
                <a:ext uri="{63B3BB69-23CF-44E3-9099-C40C66FF867C}">
                  <a14:compatExt spid="_x0000_s69921"/>
                </a:ext>
                <a:ext uri="{FF2B5EF4-FFF2-40B4-BE49-F238E27FC236}">
                  <a16:creationId xmlns:a16="http://schemas.microsoft.com/office/drawing/2014/main" id="{00000000-0008-0000-0600-00002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0</xdr:rowOff>
        </xdr:from>
        <xdr:to>
          <xdr:col>2</xdr:col>
          <xdr:colOff>0</xdr:colOff>
          <xdr:row>157</xdr:row>
          <xdr:rowOff>209550</xdr:rowOff>
        </xdr:to>
        <xdr:sp macro="" textlink="">
          <xdr:nvSpPr>
            <xdr:cNvPr id="69925" name="Check Box 1317" hidden="1">
              <a:extLst>
                <a:ext uri="{63B3BB69-23CF-44E3-9099-C40C66FF867C}">
                  <a14:compatExt spid="_x0000_s69925"/>
                </a:ext>
                <a:ext uri="{FF2B5EF4-FFF2-40B4-BE49-F238E27FC236}">
                  <a16:creationId xmlns:a16="http://schemas.microsoft.com/office/drawing/2014/main" id="{00000000-0008-0000-0600-00002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159</xdr:row>
          <xdr:rowOff>0</xdr:rowOff>
        </xdr:from>
        <xdr:to>
          <xdr:col>2</xdr:col>
          <xdr:colOff>0</xdr:colOff>
          <xdr:row>160</xdr:row>
          <xdr:rowOff>0</xdr:rowOff>
        </xdr:to>
        <xdr:sp macro="" textlink="">
          <xdr:nvSpPr>
            <xdr:cNvPr id="69926" name="Check Box 1318" hidden="1">
              <a:extLst>
                <a:ext uri="{63B3BB69-23CF-44E3-9099-C40C66FF867C}">
                  <a14:compatExt spid="_x0000_s69926"/>
                </a:ext>
                <a:ext uri="{FF2B5EF4-FFF2-40B4-BE49-F238E27FC236}">
                  <a16:creationId xmlns:a16="http://schemas.microsoft.com/office/drawing/2014/main" id="{00000000-0008-0000-0600-00002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0</xdr:colOff>
          <xdr:row>162</xdr:row>
          <xdr:rowOff>0</xdr:rowOff>
        </xdr:to>
        <xdr:sp macro="" textlink="">
          <xdr:nvSpPr>
            <xdr:cNvPr id="69927" name="Check Box 1319" hidden="1">
              <a:extLst>
                <a:ext uri="{63B3BB69-23CF-44E3-9099-C40C66FF867C}">
                  <a14:compatExt spid="_x0000_s69927"/>
                </a:ext>
                <a:ext uri="{FF2B5EF4-FFF2-40B4-BE49-F238E27FC236}">
                  <a16:creationId xmlns:a16="http://schemas.microsoft.com/office/drawing/2014/main" id="{00000000-0008-0000-0600-00002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164</xdr:row>
          <xdr:rowOff>0</xdr:rowOff>
        </xdr:to>
        <xdr:sp macro="" textlink="">
          <xdr:nvSpPr>
            <xdr:cNvPr id="69928" name="Check Box 1320" hidden="1">
              <a:extLst>
                <a:ext uri="{63B3BB69-23CF-44E3-9099-C40C66FF867C}">
                  <a14:compatExt spid="_x0000_s69928"/>
                </a:ext>
                <a:ext uri="{FF2B5EF4-FFF2-40B4-BE49-F238E27FC236}">
                  <a16:creationId xmlns:a16="http://schemas.microsoft.com/office/drawing/2014/main" id="{00000000-0008-0000-0600-00002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0</xdr:rowOff>
        </xdr:from>
        <xdr:to>
          <xdr:col>2</xdr:col>
          <xdr:colOff>0</xdr:colOff>
          <xdr:row>166</xdr:row>
          <xdr:rowOff>0</xdr:rowOff>
        </xdr:to>
        <xdr:sp macro="" textlink="">
          <xdr:nvSpPr>
            <xdr:cNvPr id="69929" name="Check Box 1321" hidden="1">
              <a:extLst>
                <a:ext uri="{63B3BB69-23CF-44E3-9099-C40C66FF867C}">
                  <a14:compatExt spid="_x0000_s69929"/>
                </a:ext>
                <a:ext uri="{FF2B5EF4-FFF2-40B4-BE49-F238E27FC236}">
                  <a16:creationId xmlns:a16="http://schemas.microsoft.com/office/drawing/2014/main" id="{00000000-0008-0000-0600-00002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170</xdr:row>
          <xdr:rowOff>209550</xdr:rowOff>
        </xdr:to>
        <xdr:sp macro="" textlink="">
          <xdr:nvSpPr>
            <xdr:cNvPr id="69930" name="Check Box 1322" hidden="1">
              <a:extLst>
                <a:ext uri="{63B3BB69-23CF-44E3-9099-C40C66FF867C}">
                  <a14:compatExt spid="_x0000_s69930"/>
                </a:ext>
                <a:ext uri="{FF2B5EF4-FFF2-40B4-BE49-F238E27FC236}">
                  <a16:creationId xmlns:a16="http://schemas.microsoft.com/office/drawing/2014/main" id="{00000000-0008-0000-0600-00002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0</xdr:rowOff>
        </xdr:to>
        <xdr:sp macro="" textlink="">
          <xdr:nvSpPr>
            <xdr:cNvPr id="69931" name="Check Box 1323" hidden="1">
              <a:extLst>
                <a:ext uri="{63B3BB69-23CF-44E3-9099-C40C66FF867C}">
                  <a14:compatExt spid="_x0000_s69931"/>
                </a:ext>
                <a:ext uri="{FF2B5EF4-FFF2-40B4-BE49-F238E27FC236}">
                  <a16:creationId xmlns:a16="http://schemas.microsoft.com/office/drawing/2014/main" id="{00000000-0008-0000-0600-00002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69932" name="Check Box 1324" hidden="1">
              <a:extLst>
                <a:ext uri="{63B3BB69-23CF-44E3-9099-C40C66FF867C}">
                  <a14:compatExt spid="_x0000_s69932"/>
                </a:ext>
                <a:ext uri="{FF2B5EF4-FFF2-40B4-BE49-F238E27FC236}">
                  <a16:creationId xmlns:a16="http://schemas.microsoft.com/office/drawing/2014/main" id="{00000000-0008-0000-0600-00002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67</xdr:row>
          <xdr:rowOff>209550</xdr:rowOff>
        </xdr:to>
        <xdr:sp macro="" textlink="">
          <xdr:nvSpPr>
            <xdr:cNvPr id="69933" name="Check Box 1325" hidden="1">
              <a:extLst>
                <a:ext uri="{63B3BB69-23CF-44E3-9099-C40C66FF867C}">
                  <a14:compatExt spid="_x0000_s69933"/>
                </a:ext>
                <a:ext uri="{FF2B5EF4-FFF2-40B4-BE49-F238E27FC236}">
                  <a16:creationId xmlns:a16="http://schemas.microsoft.com/office/drawing/2014/main" id="{00000000-0008-0000-06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209550</xdr:rowOff>
        </xdr:to>
        <xdr:sp macro="" textlink="">
          <xdr:nvSpPr>
            <xdr:cNvPr id="69934" name="Check Box 1326" hidden="1">
              <a:extLst>
                <a:ext uri="{63B3BB69-23CF-44E3-9099-C40C66FF867C}">
                  <a14:compatExt spid="_x0000_s69934"/>
                </a:ext>
                <a:ext uri="{FF2B5EF4-FFF2-40B4-BE49-F238E27FC236}">
                  <a16:creationId xmlns:a16="http://schemas.microsoft.com/office/drawing/2014/main" id="{00000000-0008-0000-06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0</xdr:rowOff>
        </xdr:to>
        <xdr:sp macro="" textlink="">
          <xdr:nvSpPr>
            <xdr:cNvPr id="69935" name="Check Box 1327" hidden="1">
              <a:extLst>
                <a:ext uri="{63B3BB69-23CF-44E3-9099-C40C66FF867C}">
                  <a14:compatExt spid="_x0000_s69935"/>
                </a:ext>
                <a:ext uri="{FF2B5EF4-FFF2-40B4-BE49-F238E27FC236}">
                  <a16:creationId xmlns:a16="http://schemas.microsoft.com/office/drawing/2014/main" id="{00000000-0008-0000-06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127</xdr:row>
          <xdr:rowOff>0</xdr:rowOff>
        </xdr:from>
        <xdr:to>
          <xdr:col>2</xdr:col>
          <xdr:colOff>0</xdr:colOff>
          <xdr:row>128</xdr:row>
          <xdr:rowOff>0</xdr:rowOff>
        </xdr:to>
        <xdr:sp macro="" textlink="">
          <xdr:nvSpPr>
            <xdr:cNvPr id="69936" name="Check Box 1328" hidden="1">
              <a:extLst>
                <a:ext uri="{63B3BB69-23CF-44E3-9099-C40C66FF867C}">
                  <a14:compatExt spid="_x0000_s69936"/>
                </a:ext>
                <a:ext uri="{FF2B5EF4-FFF2-40B4-BE49-F238E27FC236}">
                  <a16:creationId xmlns:a16="http://schemas.microsoft.com/office/drawing/2014/main" id="{00000000-0008-0000-0600-00003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2</xdr:col>
          <xdr:colOff>0</xdr:colOff>
          <xdr:row>125</xdr:row>
          <xdr:rowOff>209550</xdr:rowOff>
        </xdr:to>
        <xdr:sp macro="" textlink="">
          <xdr:nvSpPr>
            <xdr:cNvPr id="69937" name="Check Box 1329" hidden="1">
              <a:extLst>
                <a:ext uri="{63B3BB69-23CF-44E3-9099-C40C66FF867C}">
                  <a14:compatExt spid="_x0000_s69937"/>
                </a:ext>
                <a:ext uri="{FF2B5EF4-FFF2-40B4-BE49-F238E27FC236}">
                  <a16:creationId xmlns:a16="http://schemas.microsoft.com/office/drawing/2014/main" id="{00000000-0008-0000-0600-00003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143</xdr:row>
          <xdr:rowOff>0</xdr:rowOff>
        </xdr:to>
        <xdr:sp macro="" textlink="">
          <xdr:nvSpPr>
            <xdr:cNvPr id="69938" name="Check Box 1330" hidden="1">
              <a:extLst>
                <a:ext uri="{63B3BB69-23CF-44E3-9099-C40C66FF867C}">
                  <a14:compatExt spid="_x0000_s69938"/>
                </a:ext>
                <a:ext uri="{FF2B5EF4-FFF2-40B4-BE49-F238E27FC236}">
                  <a16:creationId xmlns:a16="http://schemas.microsoft.com/office/drawing/2014/main" id="{00000000-0008-0000-06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140</xdr:row>
          <xdr:rowOff>209550</xdr:rowOff>
        </xdr:to>
        <xdr:sp macro="" textlink="">
          <xdr:nvSpPr>
            <xdr:cNvPr id="69939" name="Check Box 1331" hidden="1">
              <a:extLst>
                <a:ext uri="{63B3BB69-23CF-44E3-9099-C40C66FF867C}">
                  <a14:compatExt spid="_x0000_s69939"/>
                </a:ext>
                <a:ext uri="{FF2B5EF4-FFF2-40B4-BE49-F238E27FC236}">
                  <a16:creationId xmlns:a16="http://schemas.microsoft.com/office/drawing/2014/main" id="{00000000-0008-0000-06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41</xdr:row>
          <xdr:rowOff>209550</xdr:rowOff>
        </xdr:to>
        <xdr:sp macro="" textlink="">
          <xdr:nvSpPr>
            <xdr:cNvPr id="69940" name="Check Box 1332" hidden="1">
              <a:extLst>
                <a:ext uri="{63B3BB69-23CF-44E3-9099-C40C66FF867C}">
                  <a14:compatExt spid="_x0000_s69940"/>
                </a:ext>
                <a:ext uri="{FF2B5EF4-FFF2-40B4-BE49-F238E27FC236}">
                  <a16:creationId xmlns:a16="http://schemas.microsoft.com/office/drawing/2014/main" id="{FE418DC5-1BB5-4ACA-83FE-8788D0554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39</xdr:row>
          <xdr:rowOff>209550</xdr:rowOff>
        </xdr:to>
        <xdr:sp macro="" textlink="">
          <xdr:nvSpPr>
            <xdr:cNvPr id="69941" name="Check Box 1333" hidden="1">
              <a:extLst>
                <a:ext uri="{63B3BB69-23CF-44E3-9099-C40C66FF867C}">
                  <a14:compatExt spid="_x0000_s69941"/>
                </a:ext>
                <a:ext uri="{FF2B5EF4-FFF2-40B4-BE49-F238E27FC236}">
                  <a16:creationId xmlns:a16="http://schemas.microsoft.com/office/drawing/2014/main" id="{3BA7465C-A09F-40D5-A2F1-6721A54E4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0</xdr:rowOff>
        </xdr:to>
        <xdr:sp macro="" textlink="">
          <xdr:nvSpPr>
            <xdr:cNvPr id="69942" name="Check Box 1334" hidden="1">
              <a:extLst>
                <a:ext uri="{63B3BB69-23CF-44E3-9099-C40C66FF867C}">
                  <a14:compatExt spid="_x0000_s69942"/>
                </a:ext>
                <a:ext uri="{FF2B5EF4-FFF2-40B4-BE49-F238E27FC236}">
                  <a16:creationId xmlns:a16="http://schemas.microsoft.com/office/drawing/2014/main" id="{CE32145D-4375-4C87-A241-3A76CF4169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94</xdr:row>
          <xdr:rowOff>0</xdr:rowOff>
        </xdr:to>
        <xdr:sp macro="" textlink="">
          <xdr:nvSpPr>
            <xdr:cNvPr id="69943" name="Check Box 1335" hidden="1">
              <a:extLst>
                <a:ext uri="{63B3BB69-23CF-44E3-9099-C40C66FF867C}">
                  <a14:compatExt spid="_x0000_s69943"/>
                </a:ext>
                <a:ext uri="{FF2B5EF4-FFF2-40B4-BE49-F238E27FC236}">
                  <a16:creationId xmlns:a16="http://schemas.microsoft.com/office/drawing/2014/main" id="{98AAFFE2-A96A-43B3-8858-48F6E887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75</xdr:row>
          <xdr:rowOff>209550</xdr:rowOff>
        </xdr:to>
        <xdr:sp macro="" textlink="">
          <xdr:nvSpPr>
            <xdr:cNvPr id="69944" name="Check Box 1336" hidden="1">
              <a:extLst>
                <a:ext uri="{63B3BB69-23CF-44E3-9099-C40C66FF867C}">
                  <a14:compatExt spid="_x0000_s69944"/>
                </a:ext>
                <a:ext uri="{FF2B5EF4-FFF2-40B4-BE49-F238E27FC236}">
                  <a16:creationId xmlns:a16="http://schemas.microsoft.com/office/drawing/2014/main" id="{84367FBA-CCE5-4C4B-8FCE-4EB9D7C0F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0</xdr:rowOff>
        </xdr:to>
        <xdr:sp macro="" textlink="">
          <xdr:nvSpPr>
            <xdr:cNvPr id="69945" name="Check Box 1337" hidden="1">
              <a:extLst>
                <a:ext uri="{63B3BB69-23CF-44E3-9099-C40C66FF867C}">
                  <a14:compatExt spid="_x0000_s69945"/>
                </a:ext>
                <a:ext uri="{FF2B5EF4-FFF2-40B4-BE49-F238E27FC236}">
                  <a16:creationId xmlns:a16="http://schemas.microsoft.com/office/drawing/2014/main" id="{27A6D152-A327-402D-85C2-3E0F79026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5</xdr:col>
          <xdr:colOff>0</xdr:colOff>
          <xdr:row>79</xdr:row>
          <xdr:rowOff>0</xdr:rowOff>
        </xdr:to>
        <xdr:sp macro="" textlink="">
          <xdr:nvSpPr>
            <xdr:cNvPr id="69946" name="Check Box 1338" hidden="1">
              <a:extLst>
                <a:ext uri="{63B3BB69-23CF-44E3-9099-C40C66FF867C}">
                  <a14:compatExt spid="_x0000_s69946"/>
                </a:ext>
                <a:ext uri="{FF2B5EF4-FFF2-40B4-BE49-F238E27FC236}">
                  <a16:creationId xmlns:a16="http://schemas.microsoft.com/office/drawing/2014/main" id="{7E80000B-2A22-4FB7-883B-784A0C824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5</xdr:col>
          <xdr:colOff>0</xdr:colOff>
          <xdr:row>80</xdr:row>
          <xdr:rowOff>0</xdr:rowOff>
        </xdr:to>
        <xdr:sp macro="" textlink="">
          <xdr:nvSpPr>
            <xdr:cNvPr id="69947" name="Check Box 1339" hidden="1">
              <a:extLst>
                <a:ext uri="{63B3BB69-23CF-44E3-9099-C40C66FF867C}">
                  <a14:compatExt spid="_x0000_s69947"/>
                </a:ext>
                <a:ext uri="{FF2B5EF4-FFF2-40B4-BE49-F238E27FC236}">
                  <a16:creationId xmlns:a16="http://schemas.microsoft.com/office/drawing/2014/main" id="{CC943EA8-0366-4059-92B2-00673652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0</xdr:colOff>
          <xdr:row>81</xdr:row>
          <xdr:rowOff>0</xdr:rowOff>
        </xdr:to>
        <xdr:sp macro="" textlink="">
          <xdr:nvSpPr>
            <xdr:cNvPr id="69948" name="Check Box 1340" hidden="1">
              <a:extLst>
                <a:ext uri="{63B3BB69-23CF-44E3-9099-C40C66FF867C}">
                  <a14:compatExt spid="_x0000_s69948"/>
                </a:ext>
                <a:ext uri="{FF2B5EF4-FFF2-40B4-BE49-F238E27FC236}">
                  <a16:creationId xmlns:a16="http://schemas.microsoft.com/office/drawing/2014/main" id="{BF689C1F-D91E-4664-9D78-1CB13E5AF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5</xdr:col>
          <xdr:colOff>0</xdr:colOff>
          <xdr:row>83</xdr:row>
          <xdr:rowOff>0</xdr:rowOff>
        </xdr:to>
        <xdr:sp macro="" textlink="">
          <xdr:nvSpPr>
            <xdr:cNvPr id="69950" name="Check Box 1342" hidden="1">
              <a:extLst>
                <a:ext uri="{63B3BB69-23CF-44E3-9099-C40C66FF867C}">
                  <a14:compatExt spid="_x0000_s69950"/>
                </a:ext>
                <a:ext uri="{FF2B5EF4-FFF2-40B4-BE49-F238E27FC236}">
                  <a16:creationId xmlns:a16="http://schemas.microsoft.com/office/drawing/2014/main" id="{9EC38F21-CF83-4387-98FE-23331732F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90</xdr:row>
          <xdr:rowOff>209550</xdr:rowOff>
        </xdr:to>
        <xdr:sp macro="" textlink="">
          <xdr:nvSpPr>
            <xdr:cNvPr id="69951" name="Check Box 1343" hidden="1">
              <a:extLst>
                <a:ext uri="{63B3BB69-23CF-44E3-9099-C40C66FF867C}">
                  <a14:compatExt spid="_x0000_s69951"/>
                </a:ext>
                <a:ext uri="{FF2B5EF4-FFF2-40B4-BE49-F238E27FC236}">
                  <a16:creationId xmlns:a16="http://schemas.microsoft.com/office/drawing/2014/main" id="{7975A704-6E39-4C5C-ABC7-C667E8DC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5</xdr:col>
          <xdr:colOff>0</xdr:colOff>
          <xdr:row>97</xdr:row>
          <xdr:rowOff>0</xdr:rowOff>
        </xdr:to>
        <xdr:sp macro="" textlink="">
          <xdr:nvSpPr>
            <xdr:cNvPr id="69952" name="Check Box 1344" hidden="1">
              <a:extLst>
                <a:ext uri="{63B3BB69-23CF-44E3-9099-C40C66FF867C}">
                  <a14:compatExt spid="_x0000_s69952"/>
                </a:ext>
                <a:ext uri="{FF2B5EF4-FFF2-40B4-BE49-F238E27FC236}">
                  <a16:creationId xmlns:a16="http://schemas.microsoft.com/office/drawing/2014/main" id="{0AA92EF7-CAAC-431A-B66A-4F3F678F2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5</xdr:col>
          <xdr:colOff>0</xdr:colOff>
          <xdr:row>98</xdr:row>
          <xdr:rowOff>0</xdr:rowOff>
        </xdr:to>
        <xdr:sp macro="" textlink="">
          <xdr:nvSpPr>
            <xdr:cNvPr id="69953" name="Check Box 1345" hidden="1">
              <a:extLst>
                <a:ext uri="{63B3BB69-23CF-44E3-9099-C40C66FF867C}">
                  <a14:compatExt spid="_x0000_s69953"/>
                </a:ext>
                <a:ext uri="{FF2B5EF4-FFF2-40B4-BE49-F238E27FC236}">
                  <a16:creationId xmlns:a16="http://schemas.microsoft.com/office/drawing/2014/main" id="{B224BF32-DAC6-46E8-9ECD-BF80C7A6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5</xdr:col>
          <xdr:colOff>0</xdr:colOff>
          <xdr:row>99</xdr:row>
          <xdr:rowOff>0</xdr:rowOff>
        </xdr:to>
        <xdr:sp macro="" textlink="">
          <xdr:nvSpPr>
            <xdr:cNvPr id="69954" name="Check Box 1346" hidden="1">
              <a:extLst>
                <a:ext uri="{63B3BB69-23CF-44E3-9099-C40C66FF867C}">
                  <a14:compatExt spid="_x0000_s69954"/>
                </a:ext>
                <a:ext uri="{FF2B5EF4-FFF2-40B4-BE49-F238E27FC236}">
                  <a16:creationId xmlns:a16="http://schemas.microsoft.com/office/drawing/2014/main" id="{BCF65C97-8099-4FA7-A631-66DB30197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9525</xdr:rowOff>
        </xdr:to>
        <xdr:sp macro="" textlink="">
          <xdr:nvSpPr>
            <xdr:cNvPr id="28678" name="Check Box 6" descr="3 Fahrstreifen" hidden="1">
              <a:extLst>
                <a:ext uri="{63B3BB69-23CF-44E3-9099-C40C66FF867C}">
                  <a14:compatExt spid="_x0000_s28678"/>
                </a:ext>
                <a:ext uri="{FF2B5EF4-FFF2-40B4-BE49-F238E27FC236}">
                  <a16:creationId xmlns:a16="http://schemas.microsoft.com/office/drawing/2014/main" id="{00000000-0008-0000-09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9525</xdr:rowOff>
        </xdr:to>
        <xdr:sp macro="" textlink="">
          <xdr:nvSpPr>
            <xdr:cNvPr id="28679" name="Check Box 7" descr="3 Fahrstreifen" hidden="1">
              <a:extLst>
                <a:ext uri="{63B3BB69-23CF-44E3-9099-C40C66FF867C}">
                  <a14:compatExt spid="_x0000_s28679"/>
                </a:ext>
                <a:ext uri="{FF2B5EF4-FFF2-40B4-BE49-F238E27FC236}">
                  <a16:creationId xmlns:a16="http://schemas.microsoft.com/office/drawing/2014/main" id="{00000000-0008-0000-09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9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0</xdr:colOff>
          <xdr:row>57</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9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0</xdr:colOff>
          <xdr:row>51</xdr:row>
          <xdr:rowOff>190500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9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9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9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0</xdr:rowOff>
        </xdr:from>
        <xdr:to>
          <xdr:col>3</xdr:col>
          <xdr:colOff>0</xdr:colOff>
          <xdr:row>100</xdr:row>
          <xdr:rowOff>19050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9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9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4</xdr:col>
          <xdr:colOff>0</xdr:colOff>
          <xdr:row>88</xdr:row>
          <xdr:rowOff>0</xdr:rowOff>
        </xdr:to>
        <xdr:sp macro="" textlink="">
          <xdr:nvSpPr>
            <xdr:cNvPr id="28699" name="Check Box 27" descr="3 Fahrstreifen" hidden="1">
              <a:extLst>
                <a:ext uri="{63B3BB69-23CF-44E3-9099-C40C66FF867C}">
                  <a14:compatExt spid="_x0000_s28699"/>
                </a:ext>
                <a:ext uri="{FF2B5EF4-FFF2-40B4-BE49-F238E27FC236}">
                  <a16:creationId xmlns:a16="http://schemas.microsoft.com/office/drawing/2014/main" id="{00000000-0008-0000-0900-00001B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4</xdr:col>
          <xdr:colOff>0</xdr:colOff>
          <xdr:row>89</xdr:row>
          <xdr:rowOff>0</xdr:rowOff>
        </xdr:to>
        <xdr:sp macro="" textlink="">
          <xdr:nvSpPr>
            <xdr:cNvPr id="28700" name="Check Box 28" descr="3 Fahrstreifen" hidden="1">
              <a:extLst>
                <a:ext uri="{63B3BB69-23CF-44E3-9099-C40C66FF867C}">
                  <a14:compatExt spid="_x0000_s28700"/>
                </a:ext>
                <a:ext uri="{FF2B5EF4-FFF2-40B4-BE49-F238E27FC236}">
                  <a16:creationId xmlns:a16="http://schemas.microsoft.com/office/drawing/2014/main" id="{00000000-0008-0000-09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9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9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2</xdr:col>
          <xdr:colOff>0</xdr:colOff>
          <xdr:row>126</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9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17</xdr:row>
          <xdr:rowOff>190500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9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49</xdr:row>
          <xdr:rowOff>190500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9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9525</xdr:rowOff>
        </xdr:to>
        <xdr:sp macro="" textlink="">
          <xdr:nvSpPr>
            <xdr:cNvPr id="28707" name="Check Box 35" descr="3 Fahrstreifen" hidden="1">
              <a:extLst>
                <a:ext uri="{63B3BB69-23CF-44E3-9099-C40C66FF867C}">
                  <a14:compatExt spid="_x0000_s28707"/>
                </a:ext>
                <a:ext uri="{FF2B5EF4-FFF2-40B4-BE49-F238E27FC236}">
                  <a16:creationId xmlns:a16="http://schemas.microsoft.com/office/drawing/2014/main" id="{00000000-0008-0000-09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4</xdr:col>
          <xdr:colOff>0</xdr:colOff>
          <xdr:row>106</xdr:row>
          <xdr:rowOff>19050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9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4</xdr:col>
          <xdr:colOff>0</xdr:colOff>
          <xdr:row>105</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9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9525</xdr:rowOff>
        </xdr:to>
        <xdr:sp macro="" textlink="">
          <xdr:nvSpPr>
            <xdr:cNvPr id="28713" name="Check Box 41" descr="3 Fahrstreifen" hidden="1">
              <a:extLst>
                <a:ext uri="{63B3BB69-23CF-44E3-9099-C40C66FF867C}">
                  <a14:compatExt spid="_x0000_s28713"/>
                </a:ext>
                <a:ext uri="{FF2B5EF4-FFF2-40B4-BE49-F238E27FC236}">
                  <a16:creationId xmlns:a16="http://schemas.microsoft.com/office/drawing/2014/main" id="{00000000-0008-0000-09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0</xdr:colOff>
          <xdr:row>86</xdr:row>
          <xdr:rowOff>0</xdr:rowOff>
        </xdr:to>
        <xdr:sp macro="" textlink="">
          <xdr:nvSpPr>
            <xdr:cNvPr id="28719" name="Check Box 47" descr="3 Fahrstreifen" hidden="1">
              <a:extLst>
                <a:ext uri="{63B3BB69-23CF-44E3-9099-C40C66FF867C}">
                  <a14:compatExt spid="_x0000_s28719"/>
                </a:ext>
                <a:ext uri="{FF2B5EF4-FFF2-40B4-BE49-F238E27FC236}">
                  <a16:creationId xmlns:a16="http://schemas.microsoft.com/office/drawing/2014/main" id="{00000000-0008-0000-0900-00002F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17</xdr:row>
          <xdr:rowOff>0</xdr:rowOff>
        </xdr:from>
        <xdr:to>
          <xdr:col>5</xdr:col>
          <xdr:colOff>304800</xdr:colOff>
          <xdr:row>18</xdr:row>
          <xdr:rowOff>0</xdr:rowOff>
        </xdr:to>
        <xdr:sp macro="" textlink="">
          <xdr:nvSpPr>
            <xdr:cNvPr id="66561" name="Check Box 1" descr="3 Fahrstreifen" hidden="1">
              <a:extLst>
                <a:ext uri="{63B3BB69-23CF-44E3-9099-C40C66FF867C}">
                  <a14:compatExt spid="_x0000_s66561"/>
                </a:ext>
                <a:ext uri="{FF2B5EF4-FFF2-40B4-BE49-F238E27FC236}">
                  <a16:creationId xmlns:a16="http://schemas.microsoft.com/office/drawing/2014/main" id="{00000000-0008-0000-0B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0</xdr:rowOff>
        </xdr:from>
        <xdr:to>
          <xdr:col>5</xdr:col>
          <xdr:colOff>304800</xdr:colOff>
          <xdr:row>19</xdr:row>
          <xdr:rowOff>0</xdr:rowOff>
        </xdr:to>
        <xdr:sp macro="" textlink="">
          <xdr:nvSpPr>
            <xdr:cNvPr id="66562" name="Check Box 2" descr="3 Fahrstreifen" hidden="1">
              <a:extLst>
                <a:ext uri="{63B3BB69-23CF-44E3-9099-C40C66FF867C}">
                  <a14:compatExt spid="_x0000_s66562"/>
                </a:ext>
                <a:ext uri="{FF2B5EF4-FFF2-40B4-BE49-F238E27FC236}">
                  <a16:creationId xmlns:a16="http://schemas.microsoft.com/office/drawing/2014/main" id="{00000000-0008-0000-0B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0</xdr:rowOff>
        </xdr:from>
        <xdr:to>
          <xdr:col>5</xdr:col>
          <xdr:colOff>304800</xdr:colOff>
          <xdr:row>20</xdr:row>
          <xdr:rowOff>0</xdr:rowOff>
        </xdr:to>
        <xdr:sp macro="" textlink="">
          <xdr:nvSpPr>
            <xdr:cNvPr id="66563" name="Check Box 3" descr="3 Fahrstreifen" hidden="1">
              <a:extLst>
                <a:ext uri="{63B3BB69-23CF-44E3-9099-C40C66FF867C}">
                  <a14:compatExt spid="_x0000_s66563"/>
                </a:ext>
                <a:ext uri="{FF2B5EF4-FFF2-40B4-BE49-F238E27FC236}">
                  <a16:creationId xmlns:a16="http://schemas.microsoft.com/office/drawing/2014/main" id="{00000000-0008-0000-0B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5</xdr:col>
          <xdr:colOff>304800</xdr:colOff>
          <xdr:row>21</xdr:row>
          <xdr:rowOff>0</xdr:rowOff>
        </xdr:to>
        <xdr:sp macro="" textlink="">
          <xdr:nvSpPr>
            <xdr:cNvPr id="66564" name="Check Box 4" descr="3 Fahrstreifen" hidden="1">
              <a:extLst>
                <a:ext uri="{63B3BB69-23CF-44E3-9099-C40C66FF867C}">
                  <a14:compatExt spid="_x0000_s66564"/>
                </a:ext>
                <a:ext uri="{FF2B5EF4-FFF2-40B4-BE49-F238E27FC236}">
                  <a16:creationId xmlns:a16="http://schemas.microsoft.com/office/drawing/2014/main" id="{00000000-0008-0000-0B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0</xdr:rowOff>
        </xdr:from>
        <xdr:to>
          <xdr:col>5</xdr:col>
          <xdr:colOff>304800</xdr:colOff>
          <xdr:row>22</xdr:row>
          <xdr:rowOff>0</xdr:rowOff>
        </xdr:to>
        <xdr:sp macro="" textlink="">
          <xdr:nvSpPr>
            <xdr:cNvPr id="66565" name="Check Box 5" descr="3 Fahrstreifen" hidden="1">
              <a:extLst>
                <a:ext uri="{63B3BB69-23CF-44E3-9099-C40C66FF867C}">
                  <a14:compatExt spid="_x0000_s66565"/>
                </a:ext>
                <a:ext uri="{FF2B5EF4-FFF2-40B4-BE49-F238E27FC236}">
                  <a16:creationId xmlns:a16="http://schemas.microsoft.com/office/drawing/2014/main" id="{00000000-0008-0000-0B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22</xdr:row>
          <xdr:rowOff>0</xdr:rowOff>
        </xdr:from>
        <xdr:to>
          <xdr:col>5</xdr:col>
          <xdr:colOff>304800</xdr:colOff>
          <xdr:row>23</xdr:row>
          <xdr:rowOff>0</xdr:rowOff>
        </xdr:to>
        <xdr:sp macro="" textlink="">
          <xdr:nvSpPr>
            <xdr:cNvPr id="66566" name="Check Box 6" descr="3 Fahrstreifen" hidden="1">
              <a:extLst>
                <a:ext uri="{63B3BB69-23CF-44E3-9099-C40C66FF867C}">
                  <a14:compatExt spid="_x0000_s66566"/>
                </a:ext>
                <a:ext uri="{FF2B5EF4-FFF2-40B4-BE49-F238E27FC236}">
                  <a16:creationId xmlns:a16="http://schemas.microsoft.com/office/drawing/2014/main" id="{00000000-0008-0000-0B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23</xdr:row>
          <xdr:rowOff>0</xdr:rowOff>
        </xdr:from>
        <xdr:to>
          <xdr:col>5</xdr:col>
          <xdr:colOff>304800</xdr:colOff>
          <xdr:row>24</xdr:row>
          <xdr:rowOff>0</xdr:rowOff>
        </xdr:to>
        <xdr:sp macro="" textlink="">
          <xdr:nvSpPr>
            <xdr:cNvPr id="66567" name="Check Box 7" descr="3 Fahrstreifen" hidden="1">
              <a:extLst>
                <a:ext uri="{63B3BB69-23CF-44E3-9099-C40C66FF867C}">
                  <a14:compatExt spid="_x0000_s66567"/>
                </a:ext>
                <a:ext uri="{FF2B5EF4-FFF2-40B4-BE49-F238E27FC236}">
                  <a16:creationId xmlns:a16="http://schemas.microsoft.com/office/drawing/2014/main" id="{00000000-0008-0000-0B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0</xdr:rowOff>
        </xdr:from>
        <xdr:to>
          <xdr:col>5</xdr:col>
          <xdr:colOff>304800</xdr:colOff>
          <xdr:row>25</xdr:row>
          <xdr:rowOff>0</xdr:rowOff>
        </xdr:to>
        <xdr:sp macro="" textlink="">
          <xdr:nvSpPr>
            <xdr:cNvPr id="66568" name="Check Box 8" descr="3 Fahrstreifen" hidden="1">
              <a:extLst>
                <a:ext uri="{63B3BB69-23CF-44E3-9099-C40C66FF867C}">
                  <a14:compatExt spid="_x0000_s66568"/>
                </a:ext>
                <a:ext uri="{FF2B5EF4-FFF2-40B4-BE49-F238E27FC236}">
                  <a16:creationId xmlns:a16="http://schemas.microsoft.com/office/drawing/2014/main" id="{00000000-0008-0000-0B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0</xdr:rowOff>
        </xdr:from>
        <xdr:to>
          <xdr:col>5</xdr:col>
          <xdr:colOff>304800</xdr:colOff>
          <xdr:row>26</xdr:row>
          <xdr:rowOff>0</xdr:rowOff>
        </xdr:to>
        <xdr:sp macro="" textlink="">
          <xdr:nvSpPr>
            <xdr:cNvPr id="66569" name="Check Box 9" descr="3 Fahrstreifen" hidden="1">
              <a:extLst>
                <a:ext uri="{63B3BB69-23CF-44E3-9099-C40C66FF867C}">
                  <a14:compatExt spid="_x0000_s66569"/>
                </a:ext>
                <a:ext uri="{FF2B5EF4-FFF2-40B4-BE49-F238E27FC236}">
                  <a16:creationId xmlns:a16="http://schemas.microsoft.com/office/drawing/2014/main" id="{00000000-0008-0000-0B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26</xdr:row>
          <xdr:rowOff>0</xdr:rowOff>
        </xdr:from>
        <xdr:to>
          <xdr:col>5</xdr:col>
          <xdr:colOff>304800</xdr:colOff>
          <xdr:row>27</xdr:row>
          <xdr:rowOff>0</xdr:rowOff>
        </xdr:to>
        <xdr:sp macro="" textlink="">
          <xdr:nvSpPr>
            <xdr:cNvPr id="66570" name="Check Box 10" descr="3 Fahrstreifen" hidden="1">
              <a:extLst>
                <a:ext uri="{63B3BB69-23CF-44E3-9099-C40C66FF867C}">
                  <a14:compatExt spid="_x0000_s66570"/>
                </a:ext>
                <a:ext uri="{FF2B5EF4-FFF2-40B4-BE49-F238E27FC236}">
                  <a16:creationId xmlns:a16="http://schemas.microsoft.com/office/drawing/2014/main" id="{00000000-0008-0000-0B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0</xdr:rowOff>
        </xdr:from>
        <xdr:to>
          <xdr:col>5</xdr:col>
          <xdr:colOff>304800</xdr:colOff>
          <xdr:row>28</xdr:row>
          <xdr:rowOff>0</xdr:rowOff>
        </xdr:to>
        <xdr:sp macro="" textlink="">
          <xdr:nvSpPr>
            <xdr:cNvPr id="66571" name="Check Box 11" descr="3 Fahrstreifen" hidden="1">
              <a:extLst>
                <a:ext uri="{63B3BB69-23CF-44E3-9099-C40C66FF867C}">
                  <a14:compatExt spid="_x0000_s66571"/>
                </a:ext>
                <a:ext uri="{FF2B5EF4-FFF2-40B4-BE49-F238E27FC236}">
                  <a16:creationId xmlns:a16="http://schemas.microsoft.com/office/drawing/2014/main" id="{00000000-0008-0000-0B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20</xdr:row>
          <xdr:rowOff>209550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4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29</xdr:row>
          <xdr:rowOff>209550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4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31</xdr:row>
          <xdr:rowOff>209550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4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33</xdr:row>
          <xdr:rowOff>209550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4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35</xdr:row>
          <xdr:rowOff>209550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4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37</xdr:row>
          <xdr:rowOff>209550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4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39</xdr:row>
          <xdr:rowOff>209550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4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46</xdr:row>
          <xdr:rowOff>209550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4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48</xdr:row>
          <xdr:rowOff>209550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4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50</xdr:row>
          <xdr:rowOff>209550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4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56</xdr:row>
          <xdr:rowOff>209550</xdr:rowOff>
        </xdr:to>
        <xdr:sp macro="" textlink="">
          <xdr:nvSpPr>
            <xdr:cNvPr id="10442" name="Check Box 202" descr="3 Fahrstreifen" hidden="1">
              <a:extLst>
                <a:ext uri="{63B3BB69-23CF-44E3-9099-C40C66FF867C}">
                  <a14:compatExt spid="_x0000_s10442"/>
                </a:ext>
                <a:ext uri="{FF2B5EF4-FFF2-40B4-BE49-F238E27FC236}">
                  <a16:creationId xmlns:a16="http://schemas.microsoft.com/office/drawing/2014/main" id="{00000000-0008-0000-04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67</xdr:row>
          <xdr:rowOff>209550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4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71</xdr:row>
          <xdr:rowOff>209550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4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209550</xdr:rowOff>
        </xdr:to>
        <xdr:sp macro="" textlink="">
          <xdr:nvSpPr>
            <xdr:cNvPr id="10463" name="Check Box 223" descr="3 Fahrstreifen" hidden="1">
              <a:extLst>
                <a:ext uri="{63B3BB69-23CF-44E3-9099-C40C66FF867C}">
                  <a14:compatExt spid="_x0000_s10463"/>
                </a:ext>
                <a:ext uri="{FF2B5EF4-FFF2-40B4-BE49-F238E27FC236}">
                  <a16:creationId xmlns:a16="http://schemas.microsoft.com/office/drawing/2014/main" id="{00000000-0008-0000-04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74</xdr:row>
          <xdr:rowOff>209550</xdr:rowOff>
        </xdr:to>
        <xdr:sp macro="" textlink="">
          <xdr:nvSpPr>
            <xdr:cNvPr id="10464" name="Check Box 224" descr="3 Fahrstreifen" hidden="1">
              <a:extLst>
                <a:ext uri="{63B3BB69-23CF-44E3-9099-C40C66FF867C}">
                  <a14:compatExt spid="_x0000_s10464"/>
                </a:ext>
                <a:ext uri="{FF2B5EF4-FFF2-40B4-BE49-F238E27FC236}">
                  <a16:creationId xmlns:a16="http://schemas.microsoft.com/office/drawing/2014/main" id="{00000000-0008-0000-04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76</xdr:row>
          <xdr:rowOff>209550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4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4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209550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4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87</xdr:row>
          <xdr:rowOff>209550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4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93</xdr:row>
          <xdr:rowOff>209550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4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100</xdr:row>
          <xdr:rowOff>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4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101</xdr:row>
          <xdr:rowOff>209550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4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103</xdr:row>
          <xdr:rowOff>209550</xdr:rowOff>
        </xdr:to>
        <xdr:sp macro="" textlink="">
          <xdr:nvSpPr>
            <xdr:cNvPr id="10476" name="Check Box 236" descr="3 Fahrstreifen" hidden="1">
              <a:extLst>
                <a:ext uri="{63B3BB69-23CF-44E3-9099-C40C66FF867C}">
                  <a14:compatExt spid="_x0000_s10476"/>
                </a:ext>
                <a:ext uri="{FF2B5EF4-FFF2-40B4-BE49-F238E27FC236}">
                  <a16:creationId xmlns:a16="http://schemas.microsoft.com/office/drawing/2014/main" id="{00000000-0008-0000-04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60</xdr:row>
          <xdr:rowOff>209550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4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4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10589" name="Check Box 349" descr="3 Fahrstreifen" hidden="1">
              <a:extLst>
                <a:ext uri="{63B3BB69-23CF-44E3-9099-C40C66FF867C}">
                  <a14:compatExt spid="_x0000_s10589"/>
                </a:ext>
                <a:ext uri="{FF2B5EF4-FFF2-40B4-BE49-F238E27FC236}">
                  <a16:creationId xmlns:a16="http://schemas.microsoft.com/office/drawing/2014/main" id="{00000000-0008-0000-0400-00005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209550</xdr:rowOff>
        </xdr:to>
        <xdr:sp macro="" textlink="">
          <xdr:nvSpPr>
            <xdr:cNvPr id="10607" name="Check Box 367" hidden="1">
              <a:extLst>
                <a:ext uri="{63B3BB69-23CF-44E3-9099-C40C66FF867C}">
                  <a14:compatExt spid="_x0000_s10607"/>
                </a:ext>
                <a:ext uri="{FF2B5EF4-FFF2-40B4-BE49-F238E27FC236}">
                  <a16:creationId xmlns:a16="http://schemas.microsoft.com/office/drawing/2014/main" id="{00000000-0008-0000-0400-00006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9525</xdr:colOff>
          <xdr:row>15</xdr:row>
          <xdr:rowOff>9525</xdr:rowOff>
        </xdr:to>
        <xdr:sp macro="" textlink="">
          <xdr:nvSpPr>
            <xdr:cNvPr id="10619" name="Check Box 379" hidden="1">
              <a:extLst>
                <a:ext uri="{63B3BB69-23CF-44E3-9099-C40C66FF867C}">
                  <a14:compatExt spid="_x0000_s10619"/>
                </a:ext>
                <a:ext uri="{FF2B5EF4-FFF2-40B4-BE49-F238E27FC236}">
                  <a16:creationId xmlns:a16="http://schemas.microsoft.com/office/drawing/2014/main" id="{00000000-0008-0000-0400-00007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52</xdr:row>
          <xdr:rowOff>209550</xdr:rowOff>
        </xdr:to>
        <xdr:sp macro="" textlink="">
          <xdr:nvSpPr>
            <xdr:cNvPr id="10624" name="Check Box 384" descr="3 Fahrstreifen" hidden="1">
              <a:extLst>
                <a:ext uri="{63B3BB69-23CF-44E3-9099-C40C66FF867C}">
                  <a14:compatExt spid="_x0000_s10624"/>
                </a:ext>
                <a:ext uri="{FF2B5EF4-FFF2-40B4-BE49-F238E27FC236}">
                  <a16:creationId xmlns:a16="http://schemas.microsoft.com/office/drawing/2014/main" id="{00000000-0008-0000-0400-00008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209550</xdr:rowOff>
        </xdr:to>
        <xdr:sp macro="" textlink="">
          <xdr:nvSpPr>
            <xdr:cNvPr id="10625" name="Check Box 385" descr="3 Fahrstreifen" hidden="1">
              <a:extLst>
                <a:ext uri="{63B3BB69-23CF-44E3-9099-C40C66FF867C}">
                  <a14:compatExt spid="_x0000_s10625"/>
                </a:ext>
                <a:ext uri="{FF2B5EF4-FFF2-40B4-BE49-F238E27FC236}">
                  <a16:creationId xmlns:a16="http://schemas.microsoft.com/office/drawing/2014/main" id="{00000000-0008-0000-04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90</xdr:row>
          <xdr:rowOff>209550</xdr:rowOff>
        </xdr:to>
        <xdr:sp macro="" textlink="">
          <xdr:nvSpPr>
            <xdr:cNvPr id="10627" name="Check Box 387" hidden="1">
              <a:extLst>
                <a:ext uri="{63B3BB69-23CF-44E3-9099-C40C66FF867C}">
                  <a14:compatExt spid="_x0000_s10627"/>
                </a:ext>
                <a:ext uri="{FF2B5EF4-FFF2-40B4-BE49-F238E27FC236}">
                  <a16:creationId xmlns:a16="http://schemas.microsoft.com/office/drawing/2014/main" id="{00000000-0008-0000-0400-00008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22</xdr:row>
          <xdr:rowOff>209550</xdr:rowOff>
        </xdr:to>
        <xdr:sp macro="" textlink="">
          <xdr:nvSpPr>
            <xdr:cNvPr id="10628" name="Check Box 388" hidden="1">
              <a:extLst>
                <a:ext uri="{63B3BB69-23CF-44E3-9099-C40C66FF867C}">
                  <a14:compatExt spid="_x0000_s10628"/>
                </a:ext>
                <a:ext uri="{FF2B5EF4-FFF2-40B4-BE49-F238E27FC236}">
                  <a16:creationId xmlns:a16="http://schemas.microsoft.com/office/drawing/2014/main" id="{00000000-0008-0000-0400-00008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2</xdr:col>
          <xdr:colOff>9525</xdr:colOff>
          <xdr:row>13</xdr:row>
          <xdr:rowOff>9525</xdr:rowOff>
        </xdr:to>
        <xdr:sp macro="" textlink="">
          <xdr:nvSpPr>
            <xdr:cNvPr id="10634" name="Check Box 394" hidden="1">
              <a:extLst>
                <a:ext uri="{63B3BB69-23CF-44E3-9099-C40C66FF867C}">
                  <a14:compatExt spid="_x0000_s10634"/>
                </a:ext>
                <a:ext uri="{FF2B5EF4-FFF2-40B4-BE49-F238E27FC236}">
                  <a16:creationId xmlns:a16="http://schemas.microsoft.com/office/drawing/2014/main" id="{00000000-0008-0000-04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2</xdr:col>
          <xdr:colOff>9525</xdr:colOff>
          <xdr:row>13</xdr:row>
          <xdr:rowOff>9525</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4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29</xdr:row>
          <xdr:rowOff>209550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5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31</xdr:row>
          <xdr:rowOff>209550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5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33</xdr:row>
          <xdr:rowOff>209550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5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35</xdr:row>
          <xdr:rowOff>209550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5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37</xdr:row>
          <xdr:rowOff>209550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5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39</xdr:row>
          <xdr:rowOff>209550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5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46</xdr:row>
          <xdr:rowOff>209550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5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48</xdr:row>
          <xdr:rowOff>209550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5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50</xdr:row>
          <xdr:rowOff>209550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5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56</xdr:row>
          <xdr:rowOff>209550</xdr:rowOff>
        </xdr:to>
        <xdr:sp macro="" textlink="">
          <xdr:nvSpPr>
            <xdr:cNvPr id="39957" name="Check Box 21" descr="3 Fahrstreifen" hidden="1">
              <a:extLst>
                <a:ext uri="{63B3BB69-23CF-44E3-9099-C40C66FF867C}">
                  <a14:compatExt spid="_x0000_s39957"/>
                </a:ext>
                <a:ext uri="{FF2B5EF4-FFF2-40B4-BE49-F238E27FC236}">
                  <a16:creationId xmlns:a16="http://schemas.microsoft.com/office/drawing/2014/main" id="{00000000-0008-0000-05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209550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5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73</xdr:row>
          <xdr:rowOff>209550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5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71</xdr:row>
          <xdr:rowOff>209550</xdr:rowOff>
        </xdr:to>
        <xdr:sp macro="" textlink="">
          <xdr:nvSpPr>
            <xdr:cNvPr id="39960" name="Check Box 24" descr="3 Fahrstreifen" hidden="1">
              <a:extLst>
                <a:ext uri="{63B3BB69-23CF-44E3-9099-C40C66FF867C}">
                  <a14:compatExt spid="_x0000_s39960"/>
                </a:ext>
                <a:ext uri="{FF2B5EF4-FFF2-40B4-BE49-F238E27FC236}">
                  <a16:creationId xmlns:a16="http://schemas.microsoft.com/office/drawing/2014/main" id="{00000000-0008-0000-05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76</xdr:row>
          <xdr:rowOff>209550</xdr:rowOff>
        </xdr:to>
        <xdr:sp macro="" textlink="">
          <xdr:nvSpPr>
            <xdr:cNvPr id="39961" name="Check Box 25" descr="3 Fahrstreifen" hidden="1">
              <a:extLst>
                <a:ext uri="{63B3BB69-23CF-44E3-9099-C40C66FF867C}">
                  <a14:compatExt spid="_x0000_s39961"/>
                </a:ext>
                <a:ext uri="{FF2B5EF4-FFF2-40B4-BE49-F238E27FC236}">
                  <a16:creationId xmlns:a16="http://schemas.microsoft.com/office/drawing/2014/main" id="{00000000-0008-0000-05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78</xdr:row>
          <xdr:rowOff>209550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5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5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88</xdr:row>
          <xdr:rowOff>209550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5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91</xdr:row>
          <xdr:rowOff>209550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5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97</xdr:row>
          <xdr:rowOff>209550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5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5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105</xdr:row>
          <xdr:rowOff>209550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5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107</xdr:row>
          <xdr:rowOff>209550</xdr:rowOff>
        </xdr:to>
        <xdr:sp macro="" textlink="">
          <xdr:nvSpPr>
            <xdr:cNvPr id="39969" name="Check Box 33" descr="3 Fahrstreifen" hidden="1">
              <a:extLst>
                <a:ext uri="{63B3BB69-23CF-44E3-9099-C40C66FF867C}">
                  <a14:compatExt spid="_x0000_s39969"/>
                </a:ext>
                <a:ext uri="{FF2B5EF4-FFF2-40B4-BE49-F238E27FC236}">
                  <a16:creationId xmlns:a16="http://schemas.microsoft.com/office/drawing/2014/main" id="{00000000-0008-0000-05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60</xdr:row>
          <xdr:rowOff>209550</xdr:rowOff>
        </xdr:to>
        <xdr:sp macro="" textlink="">
          <xdr:nvSpPr>
            <xdr:cNvPr id="39995" name="Check Box 59" hidden="1">
              <a:extLst>
                <a:ext uri="{63B3BB69-23CF-44E3-9099-C40C66FF867C}">
                  <a14:compatExt spid="_x0000_s39995"/>
                </a:ext>
                <a:ext uri="{FF2B5EF4-FFF2-40B4-BE49-F238E27FC236}">
                  <a16:creationId xmlns:a16="http://schemas.microsoft.com/office/drawing/2014/main" id="{00000000-0008-0000-0500-00003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68</xdr:row>
          <xdr:rowOff>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5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39997" name="Check Box 61" descr="3 Fahrstreifen" hidden="1">
              <a:extLst>
                <a:ext uri="{63B3BB69-23CF-44E3-9099-C40C66FF867C}">
                  <a14:compatExt spid="_x0000_s39997"/>
                </a:ext>
                <a:ext uri="{FF2B5EF4-FFF2-40B4-BE49-F238E27FC236}">
                  <a16:creationId xmlns:a16="http://schemas.microsoft.com/office/drawing/2014/main" id="{00000000-0008-0000-05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209550</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5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209550</xdr:rowOff>
        </xdr:to>
        <xdr:sp macro="" textlink="">
          <xdr:nvSpPr>
            <xdr:cNvPr id="40008" name="Check Box 72" descr="3 Fahrstreifen" hidden="1">
              <a:extLst>
                <a:ext uri="{63B3BB69-23CF-44E3-9099-C40C66FF867C}">
                  <a14:compatExt spid="_x0000_s40008"/>
                </a:ext>
                <a:ext uri="{FF2B5EF4-FFF2-40B4-BE49-F238E27FC236}">
                  <a16:creationId xmlns:a16="http://schemas.microsoft.com/office/drawing/2014/main" id="{00000000-0008-0000-0500-00004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52</xdr:row>
          <xdr:rowOff>209550</xdr:rowOff>
        </xdr:to>
        <xdr:sp macro="" textlink="">
          <xdr:nvSpPr>
            <xdr:cNvPr id="40009" name="Check Box 73" descr="3 Fahrstreifen" hidden="1">
              <a:extLst>
                <a:ext uri="{63B3BB69-23CF-44E3-9099-C40C66FF867C}">
                  <a14:compatExt spid="_x0000_s40009"/>
                </a:ext>
                <a:ext uri="{FF2B5EF4-FFF2-40B4-BE49-F238E27FC236}">
                  <a16:creationId xmlns:a16="http://schemas.microsoft.com/office/drawing/2014/main" id="{00000000-0008-0000-0500-00004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18</xdr:row>
          <xdr:rowOff>209550</xdr:rowOff>
        </xdr:to>
        <xdr:sp macro="" textlink="">
          <xdr:nvSpPr>
            <xdr:cNvPr id="40011" name="Check Box 75" hidden="1">
              <a:extLst>
                <a:ext uri="{63B3BB69-23CF-44E3-9099-C40C66FF867C}">
                  <a14:compatExt spid="_x0000_s40011"/>
                </a:ext>
                <a:ext uri="{FF2B5EF4-FFF2-40B4-BE49-F238E27FC236}">
                  <a16:creationId xmlns:a16="http://schemas.microsoft.com/office/drawing/2014/main" id="{00000000-0008-0000-0500-00004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20</xdr:row>
          <xdr:rowOff>209550</xdr:rowOff>
        </xdr:to>
        <xdr:sp macro="" textlink="">
          <xdr:nvSpPr>
            <xdr:cNvPr id="40012" name="Check Box 76" hidden="1">
              <a:extLst>
                <a:ext uri="{63B3BB69-23CF-44E3-9099-C40C66FF867C}">
                  <a14:compatExt spid="_x0000_s40012"/>
                </a:ext>
                <a:ext uri="{FF2B5EF4-FFF2-40B4-BE49-F238E27FC236}">
                  <a16:creationId xmlns:a16="http://schemas.microsoft.com/office/drawing/2014/main" id="{00000000-0008-0000-0500-00004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22</xdr:row>
          <xdr:rowOff>209550</xdr:rowOff>
        </xdr:to>
        <xdr:sp macro="" textlink="">
          <xdr:nvSpPr>
            <xdr:cNvPr id="40016" name="Check Box 80" hidden="1">
              <a:extLst>
                <a:ext uri="{63B3BB69-23CF-44E3-9099-C40C66FF867C}">
                  <a14:compatExt spid="_x0000_s40016"/>
                </a:ext>
                <a:ext uri="{FF2B5EF4-FFF2-40B4-BE49-F238E27FC236}">
                  <a16:creationId xmlns:a16="http://schemas.microsoft.com/office/drawing/2014/main" id="{00000000-0008-0000-0500-00005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0</xdr:colOff>
          <xdr:row>94</xdr:row>
          <xdr:rowOff>209550</xdr:rowOff>
        </xdr:to>
        <xdr:sp macro="" textlink="">
          <xdr:nvSpPr>
            <xdr:cNvPr id="40017" name="Check Box 81" hidden="1">
              <a:extLst>
                <a:ext uri="{63B3BB69-23CF-44E3-9099-C40C66FF867C}">
                  <a14:compatExt spid="_x0000_s40017"/>
                </a:ext>
                <a:ext uri="{FF2B5EF4-FFF2-40B4-BE49-F238E27FC236}">
                  <a16:creationId xmlns:a16="http://schemas.microsoft.com/office/drawing/2014/main" id="{00000000-0008-0000-0500-00005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2</xdr:col>
          <xdr:colOff>9525</xdr:colOff>
          <xdr:row>13</xdr:row>
          <xdr:rowOff>9525</xdr:rowOff>
        </xdr:to>
        <xdr:sp macro="" textlink="">
          <xdr:nvSpPr>
            <xdr:cNvPr id="40019" name="Check Box 83" hidden="1">
              <a:extLst>
                <a:ext uri="{63B3BB69-23CF-44E3-9099-C40C66FF867C}">
                  <a14:compatExt spid="_x0000_s40019"/>
                </a:ext>
                <a:ext uri="{FF2B5EF4-FFF2-40B4-BE49-F238E27FC236}">
                  <a16:creationId xmlns:a16="http://schemas.microsoft.com/office/drawing/2014/main" id="{00000000-0008-0000-0500-00005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9525</xdr:colOff>
          <xdr:row>15</xdr:row>
          <xdr:rowOff>9525</xdr:rowOff>
        </xdr:to>
        <xdr:sp macro="" textlink="">
          <xdr:nvSpPr>
            <xdr:cNvPr id="40020" name="Check Box 84" hidden="1">
              <a:extLst>
                <a:ext uri="{63B3BB69-23CF-44E3-9099-C40C66FF867C}">
                  <a14:compatExt spid="_x0000_s40020"/>
                </a:ext>
                <a:ext uri="{FF2B5EF4-FFF2-40B4-BE49-F238E27FC236}">
                  <a16:creationId xmlns:a16="http://schemas.microsoft.com/office/drawing/2014/main" id="{00000000-0008-0000-0500-00005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elle1" displayName="Tabelle1" ref="B2:G3" totalsRowShown="0">
  <autoFilter ref="B2:G3"/>
  <tableColumns count="6">
    <tableColumn id="1" name="Fachbereich">
      <calculatedColumnFormula>Projektgrundlagen!F2&amp;" "&amp;Projektgrundlagen!B2</calculatedColumnFormula>
    </tableColumn>
    <tableColumn id="2" name="Maßnahmennr"/>
    <tableColumn id="3" name="Maßnahme"/>
    <tableColumn id="4" name="Vergabenr"/>
    <tableColumn id="5" name="Bieter"/>
    <tableColumn id="6" name="Wertungssumme" dataCellStyle="Währung"/>
  </tableColumns>
  <tableStyleInfo name="TableStyleMedium2" showFirstColumn="0" showLastColumn="0" showRowStripes="1" showColumnStripes="0"/>
  <extLst>
    <ext xmlns:x14="http://schemas.microsoft.com/office/spreadsheetml/2009/9/main" uri="{504A1905-F514-4f6f-8877-14C23A59335A}">
      <x14:table altText="Grunddaten"/>
    </ext>
  </extLst>
</table>
</file>

<file path=xl/tables/table2.xml><?xml version="1.0" encoding="utf-8"?>
<table xmlns="http://schemas.openxmlformats.org/spreadsheetml/2006/main" id="2" name="Tabelle2" displayName="Tabelle2" ref="B7:D52" totalsRowShown="0">
  <autoFilter ref="B7:D52"/>
  <tableColumns count="3">
    <tableColumn id="1" name="Bezeichnung"/>
    <tableColumn id="2" name="Angebot" dataDxfId="9"/>
    <tableColumn id="3" name="Index" dataDxfId="8"/>
  </tableColumns>
  <tableStyleInfo name="TableStyleMedium2" showFirstColumn="0" showLastColumn="0" showRowStripes="1" showColumnStripes="0"/>
  <extLst>
    <ext xmlns:x14="http://schemas.microsoft.com/office/spreadsheetml/2009/9/main" uri="{504A1905-F514-4f6f-8877-14C23A59335A}">
      <x14:table altText="Angebotsdaten"/>
    </ext>
  </extLst>
</table>
</file>

<file path=xl/tables/table3.xml><?xml version="1.0" encoding="utf-8"?>
<table xmlns="http://schemas.openxmlformats.org/spreadsheetml/2006/main" id="3" name="Tabelle3" displayName="Tabelle3" ref="B57:F269" totalsRowShown="0" headerRowDxfId="7" headerRowBorderDxfId="6" tableBorderDxfId="5">
  <autoFilter ref="B57:F269"/>
  <tableColumns count="5">
    <tableColumn id="1" name="Bezeichnung Besond Lstg" dataDxfId="4">
      <calculatedColumnFormula>IF(AND(Projektgrundlagen!$I$21,'StB-D1 Besondere Lstg'!M13=TRUE),'StB-D1 Besondere Lstg'!C13&amp;" "&amp;'StB-D1 Besondere Lstg'!F13&amp;" "&amp;'StB-D1 Besondere Lstg'!F14,IF(AND(Projektgrundlagen!$I$22,'HB-D1 Besondere Lstg Land'!M13=TRUE),'HB-D1 Besondere Lstg Land'!C13&amp;" "&amp;'HB-D1 Besondere Lstg Land'!F13&amp;" "&amp;'HB-D1 Besondere Lstg Land'!F14,IF(AND(Projektgrundlagen!$I$23,'HB-D2 Besondere Lstg Bund'!M13=TRUE),'HB-D2 Besondere Lstg Bund'!C13&amp;" "&amp;'HB-D2 Besondere Lstg Bund'!F13&amp;" "&amp;'HB-D2 Besondere Lstg Bund'!F14,"")))</calculatedColumnFormula>
    </tableColumn>
    <tableColumn id="3" name="Menge" dataDxfId="3">
      <calculatedColumnFormula>IF(AND(Projektgrundlagen!$I$21,'StB-D1 Besondere Lstg'!M13=TRUE),'StB-D1 Besondere Lstg'!H13,"")</calculatedColumnFormula>
    </tableColumn>
    <tableColumn id="5" name="Einheit" dataDxfId="2">
      <calculatedColumnFormula>IF(AND(Projektgrundlagen!$I$21,'StB-D1 Besondere Lstg'!M13=TRUE),'StB-D1 Besondere Lstg'!I13,IF(AND(Projektgrundlagen!$I$22,'HB-D1 Besondere Lstg Land'!M13=TRUE),(IF('HB-D1 Besondere Lstg Land'!H13&gt;0,"v.H.","pauschal")),IF(AND(Projektgrundlagen!$I$23,'HB-D2 Besondere Lstg Bund'!M13=TRUE),(IF('HB-D2 Besondere Lstg Bund'!H13&gt;0,"v.H.","pauschal")),"")))</calculatedColumnFormula>
    </tableColumn>
    <tableColumn id="4" name="EP-Preis" dataDxfId="1">
      <calculatedColumnFormula>IF(AND(Projektgrundlagen!$I$21,'StB-D1 Besondere Lstg'!M13=TRUE),'StB-D1 Besondere Lstg'!J13,IF(AND(Projektgrundlagen!$I$22,'HB-D1 Besondere Lstg Land'!M13=TRUE),'HB-D1 Besondere Lstg Land'!H13+'HB-D1 Besondere Lstg Land'!J13,IF(AND(Projektgrundlagen!$I$23,'HB-D2 Besondere Lstg Bund'!M13=TRUE),'HB-D2 Besondere Lstg Bund'!H13+'HB-D2 Besondere Lstg Bund'!J13,"")))</calculatedColumnFormula>
    </tableColumn>
    <tableColumn id="2" name="Netto-GP-Preis" dataDxfId="0">
      <calculatedColumnFormula>IF(AND(Projektgrundlagen!$I$21,'StB-D1 Besondere Lstg'!M13=TRUE),'StB-D1 Besondere Lstg'!K13,IF(AND(Projektgrundlagen!$I$22,'HB-D1 Besondere Lstg Land'!M13=TRUE),'HB-D1 Besondere Lstg Land'!K13,IF(AND(Projektgrundlagen!$I$23,'HB-D2 Besondere Lstg Bund'!M13=TRUE),'HB-D2 Besondere Lstg Bund'!K13,"")))</calculatedColumnFormula>
    </tableColumn>
  </tableColumns>
  <tableStyleInfo name="TableStyleMedium2" showFirstColumn="0" showLastColumn="0" showRowStripes="1" showColumnStripes="0"/>
  <extLst>
    <ext xmlns:x14="http://schemas.microsoft.com/office/spreadsheetml/2009/9/main" uri="{504A1905-F514-4f6f-8877-14C23A59335A}">
      <x14:table altText="BesondereLeistung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26" Type="http://schemas.openxmlformats.org/officeDocument/2006/relationships/ctrlProp" Target="../ctrlProps/ctrlProp184.xml"/><Relationship Id="rId3" Type="http://schemas.openxmlformats.org/officeDocument/2006/relationships/vmlDrawing" Target="../drawings/vmlDrawing8.vml"/><Relationship Id="rId21" Type="http://schemas.openxmlformats.org/officeDocument/2006/relationships/ctrlProp" Target="../ctrlProps/ctrlProp179.xml"/><Relationship Id="rId34" Type="http://schemas.openxmlformats.org/officeDocument/2006/relationships/ctrlProp" Target="../ctrlProps/ctrlProp192.x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5" Type="http://schemas.openxmlformats.org/officeDocument/2006/relationships/ctrlProp" Target="../ctrlProps/ctrlProp183.xml"/><Relationship Id="rId33" Type="http://schemas.openxmlformats.org/officeDocument/2006/relationships/ctrlProp" Target="../ctrlProps/ctrlProp191.xml"/><Relationship Id="rId38" Type="http://schemas.openxmlformats.org/officeDocument/2006/relationships/ctrlProp" Target="../ctrlProps/ctrlProp196.xml"/><Relationship Id="rId2" Type="http://schemas.openxmlformats.org/officeDocument/2006/relationships/drawing" Target="../drawings/drawing8.xml"/><Relationship Id="rId16" Type="http://schemas.openxmlformats.org/officeDocument/2006/relationships/ctrlProp" Target="../ctrlProps/ctrlProp174.xml"/><Relationship Id="rId20" Type="http://schemas.openxmlformats.org/officeDocument/2006/relationships/ctrlProp" Target="../ctrlProps/ctrlProp178.xml"/><Relationship Id="rId29" Type="http://schemas.openxmlformats.org/officeDocument/2006/relationships/ctrlProp" Target="../ctrlProps/ctrlProp187.xml"/><Relationship Id="rId1" Type="http://schemas.openxmlformats.org/officeDocument/2006/relationships/printerSettings" Target="../printerSettings/printerSettings10.bin"/><Relationship Id="rId6" Type="http://schemas.openxmlformats.org/officeDocument/2006/relationships/ctrlProp" Target="../ctrlProps/ctrlProp164.xml"/><Relationship Id="rId11" Type="http://schemas.openxmlformats.org/officeDocument/2006/relationships/ctrlProp" Target="../ctrlProps/ctrlProp169.xml"/><Relationship Id="rId24" Type="http://schemas.openxmlformats.org/officeDocument/2006/relationships/ctrlProp" Target="../ctrlProps/ctrlProp182.xml"/><Relationship Id="rId32" Type="http://schemas.openxmlformats.org/officeDocument/2006/relationships/ctrlProp" Target="../ctrlProps/ctrlProp190.xml"/><Relationship Id="rId37" Type="http://schemas.openxmlformats.org/officeDocument/2006/relationships/ctrlProp" Target="../ctrlProps/ctrlProp195.xml"/><Relationship Id="rId5" Type="http://schemas.openxmlformats.org/officeDocument/2006/relationships/ctrlProp" Target="../ctrlProps/ctrlProp163.xml"/><Relationship Id="rId15" Type="http://schemas.openxmlformats.org/officeDocument/2006/relationships/ctrlProp" Target="../ctrlProps/ctrlProp173.xml"/><Relationship Id="rId23" Type="http://schemas.openxmlformats.org/officeDocument/2006/relationships/ctrlProp" Target="../ctrlProps/ctrlProp181.xml"/><Relationship Id="rId28" Type="http://schemas.openxmlformats.org/officeDocument/2006/relationships/ctrlProp" Target="../ctrlProps/ctrlProp186.xml"/><Relationship Id="rId36" Type="http://schemas.openxmlformats.org/officeDocument/2006/relationships/ctrlProp" Target="../ctrlProps/ctrlProp194.xml"/><Relationship Id="rId10" Type="http://schemas.openxmlformats.org/officeDocument/2006/relationships/ctrlProp" Target="../ctrlProps/ctrlProp168.xml"/><Relationship Id="rId19" Type="http://schemas.openxmlformats.org/officeDocument/2006/relationships/ctrlProp" Target="../ctrlProps/ctrlProp177.xml"/><Relationship Id="rId31" Type="http://schemas.openxmlformats.org/officeDocument/2006/relationships/ctrlProp" Target="../ctrlProps/ctrlProp189.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 Id="rId22" Type="http://schemas.openxmlformats.org/officeDocument/2006/relationships/ctrlProp" Target="../ctrlProps/ctrlProp180.xml"/><Relationship Id="rId27" Type="http://schemas.openxmlformats.org/officeDocument/2006/relationships/ctrlProp" Target="../ctrlProps/ctrlProp185.xml"/><Relationship Id="rId30" Type="http://schemas.openxmlformats.org/officeDocument/2006/relationships/ctrlProp" Target="../ctrlProps/ctrlProp188.xml"/><Relationship Id="rId35" Type="http://schemas.openxmlformats.org/officeDocument/2006/relationships/ctrlProp" Target="../ctrlProps/ctrlProp19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1.xml"/><Relationship Id="rId13" Type="http://schemas.openxmlformats.org/officeDocument/2006/relationships/ctrlProp" Target="../ctrlProps/ctrlProp206.xml"/><Relationship Id="rId18" Type="http://schemas.openxmlformats.org/officeDocument/2006/relationships/ctrlProp" Target="../ctrlProps/ctrlProp211.xml"/><Relationship Id="rId26" Type="http://schemas.openxmlformats.org/officeDocument/2006/relationships/ctrlProp" Target="../ctrlProps/ctrlProp219.xml"/><Relationship Id="rId3" Type="http://schemas.openxmlformats.org/officeDocument/2006/relationships/vmlDrawing" Target="../drawings/vmlDrawing9.vml"/><Relationship Id="rId21" Type="http://schemas.openxmlformats.org/officeDocument/2006/relationships/ctrlProp" Target="../ctrlProps/ctrlProp214.xml"/><Relationship Id="rId34" Type="http://schemas.openxmlformats.org/officeDocument/2006/relationships/ctrlProp" Target="../ctrlProps/ctrlProp227.xml"/><Relationship Id="rId7" Type="http://schemas.openxmlformats.org/officeDocument/2006/relationships/ctrlProp" Target="../ctrlProps/ctrlProp200.xml"/><Relationship Id="rId12" Type="http://schemas.openxmlformats.org/officeDocument/2006/relationships/ctrlProp" Target="../ctrlProps/ctrlProp205.xml"/><Relationship Id="rId17" Type="http://schemas.openxmlformats.org/officeDocument/2006/relationships/ctrlProp" Target="../ctrlProps/ctrlProp210.xml"/><Relationship Id="rId25" Type="http://schemas.openxmlformats.org/officeDocument/2006/relationships/ctrlProp" Target="../ctrlProps/ctrlProp218.xml"/><Relationship Id="rId33" Type="http://schemas.openxmlformats.org/officeDocument/2006/relationships/ctrlProp" Target="../ctrlProps/ctrlProp226.xml"/><Relationship Id="rId2" Type="http://schemas.openxmlformats.org/officeDocument/2006/relationships/drawing" Target="../drawings/drawing9.xml"/><Relationship Id="rId16" Type="http://schemas.openxmlformats.org/officeDocument/2006/relationships/ctrlProp" Target="../ctrlProps/ctrlProp209.xml"/><Relationship Id="rId20" Type="http://schemas.openxmlformats.org/officeDocument/2006/relationships/ctrlProp" Target="../ctrlProps/ctrlProp213.xml"/><Relationship Id="rId29" Type="http://schemas.openxmlformats.org/officeDocument/2006/relationships/ctrlProp" Target="../ctrlProps/ctrlProp222.xml"/><Relationship Id="rId1" Type="http://schemas.openxmlformats.org/officeDocument/2006/relationships/printerSettings" Target="../printerSettings/printerSettings11.bin"/><Relationship Id="rId6" Type="http://schemas.openxmlformats.org/officeDocument/2006/relationships/ctrlProp" Target="../ctrlProps/ctrlProp199.xml"/><Relationship Id="rId11" Type="http://schemas.openxmlformats.org/officeDocument/2006/relationships/ctrlProp" Target="../ctrlProps/ctrlProp204.xml"/><Relationship Id="rId24" Type="http://schemas.openxmlformats.org/officeDocument/2006/relationships/ctrlProp" Target="../ctrlProps/ctrlProp217.xml"/><Relationship Id="rId32" Type="http://schemas.openxmlformats.org/officeDocument/2006/relationships/ctrlProp" Target="../ctrlProps/ctrlProp225.xml"/><Relationship Id="rId37" Type="http://schemas.openxmlformats.org/officeDocument/2006/relationships/ctrlProp" Target="../ctrlProps/ctrlProp230.xml"/><Relationship Id="rId5" Type="http://schemas.openxmlformats.org/officeDocument/2006/relationships/ctrlProp" Target="../ctrlProps/ctrlProp198.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36" Type="http://schemas.openxmlformats.org/officeDocument/2006/relationships/ctrlProp" Target="../ctrlProps/ctrlProp229.xml"/><Relationship Id="rId10" Type="http://schemas.openxmlformats.org/officeDocument/2006/relationships/ctrlProp" Target="../ctrlProps/ctrlProp203.xml"/><Relationship Id="rId19" Type="http://schemas.openxmlformats.org/officeDocument/2006/relationships/ctrlProp" Target="../ctrlProps/ctrlProp212.xml"/><Relationship Id="rId31" Type="http://schemas.openxmlformats.org/officeDocument/2006/relationships/ctrlProp" Target="../ctrlProps/ctrlProp224.xml"/><Relationship Id="rId4" Type="http://schemas.openxmlformats.org/officeDocument/2006/relationships/ctrlProp" Target="../ctrlProps/ctrlProp197.xml"/><Relationship Id="rId9" Type="http://schemas.openxmlformats.org/officeDocument/2006/relationships/ctrlProp" Target="../ctrlProps/ctrlProp202.xml"/><Relationship Id="rId14" Type="http://schemas.openxmlformats.org/officeDocument/2006/relationships/ctrlProp" Target="../ctrlProps/ctrlProp207.xml"/><Relationship Id="rId22" Type="http://schemas.openxmlformats.org/officeDocument/2006/relationships/ctrlProp" Target="../ctrlProps/ctrlProp215.xml"/><Relationship Id="rId27" Type="http://schemas.openxmlformats.org/officeDocument/2006/relationships/ctrlProp" Target="../ctrlProps/ctrlProp220.xml"/><Relationship Id="rId30" Type="http://schemas.openxmlformats.org/officeDocument/2006/relationships/ctrlProp" Target="../ctrlProps/ctrlProp223.xml"/><Relationship Id="rId35" Type="http://schemas.openxmlformats.org/officeDocument/2006/relationships/ctrlProp" Target="../ctrlProps/ctrlProp22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35.xml"/><Relationship Id="rId13" Type="http://schemas.openxmlformats.org/officeDocument/2006/relationships/ctrlProp" Target="../ctrlProps/ctrlProp240.xml"/><Relationship Id="rId18" Type="http://schemas.openxmlformats.org/officeDocument/2006/relationships/ctrlProp" Target="../ctrlProps/ctrlProp245.xml"/><Relationship Id="rId26" Type="http://schemas.openxmlformats.org/officeDocument/2006/relationships/ctrlProp" Target="../ctrlProps/ctrlProp253.xml"/><Relationship Id="rId39" Type="http://schemas.openxmlformats.org/officeDocument/2006/relationships/ctrlProp" Target="../ctrlProps/ctrlProp266.xml"/><Relationship Id="rId3" Type="http://schemas.openxmlformats.org/officeDocument/2006/relationships/vmlDrawing" Target="../drawings/vmlDrawing10.vml"/><Relationship Id="rId21" Type="http://schemas.openxmlformats.org/officeDocument/2006/relationships/ctrlProp" Target="../ctrlProps/ctrlProp248.xml"/><Relationship Id="rId34" Type="http://schemas.openxmlformats.org/officeDocument/2006/relationships/ctrlProp" Target="../ctrlProps/ctrlProp261.xml"/><Relationship Id="rId7" Type="http://schemas.openxmlformats.org/officeDocument/2006/relationships/ctrlProp" Target="../ctrlProps/ctrlProp234.x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2" Type="http://schemas.openxmlformats.org/officeDocument/2006/relationships/drawing" Target="../drawings/drawing10.xml"/><Relationship Id="rId16" Type="http://schemas.openxmlformats.org/officeDocument/2006/relationships/ctrlProp" Target="../ctrlProps/ctrlProp243.xml"/><Relationship Id="rId20" Type="http://schemas.openxmlformats.org/officeDocument/2006/relationships/ctrlProp" Target="../ctrlProps/ctrlProp247.xml"/><Relationship Id="rId29" Type="http://schemas.openxmlformats.org/officeDocument/2006/relationships/ctrlProp" Target="../ctrlProps/ctrlProp256.xml"/><Relationship Id="rId1" Type="http://schemas.openxmlformats.org/officeDocument/2006/relationships/printerSettings" Target="../printerSettings/printerSettings12.bin"/><Relationship Id="rId6" Type="http://schemas.openxmlformats.org/officeDocument/2006/relationships/ctrlProp" Target="../ctrlProps/ctrlProp233.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40" Type="http://schemas.openxmlformats.org/officeDocument/2006/relationships/ctrlProp" Target="../ctrlProps/ctrlProp267.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10" Type="http://schemas.openxmlformats.org/officeDocument/2006/relationships/ctrlProp" Target="../ctrlProps/ctrlProp237.xml"/><Relationship Id="rId19" Type="http://schemas.openxmlformats.org/officeDocument/2006/relationships/ctrlProp" Target="../ctrlProps/ctrlProp246.xml"/><Relationship Id="rId31" Type="http://schemas.openxmlformats.org/officeDocument/2006/relationships/ctrlProp" Target="../ctrlProps/ctrlProp258.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2.xml"/><Relationship Id="rId13" Type="http://schemas.openxmlformats.org/officeDocument/2006/relationships/ctrlProp" Target="../ctrlProps/ctrlProp277.xml"/><Relationship Id="rId18" Type="http://schemas.openxmlformats.org/officeDocument/2006/relationships/ctrlProp" Target="../ctrlProps/ctrlProp282.xml"/><Relationship Id="rId26" Type="http://schemas.openxmlformats.org/officeDocument/2006/relationships/ctrlProp" Target="../ctrlProps/ctrlProp290.xml"/><Relationship Id="rId3" Type="http://schemas.openxmlformats.org/officeDocument/2006/relationships/vmlDrawing" Target="../drawings/vmlDrawing11.vml"/><Relationship Id="rId21" Type="http://schemas.openxmlformats.org/officeDocument/2006/relationships/ctrlProp" Target="../ctrlProps/ctrlProp285.xml"/><Relationship Id="rId7" Type="http://schemas.openxmlformats.org/officeDocument/2006/relationships/ctrlProp" Target="../ctrlProps/ctrlProp271.xml"/><Relationship Id="rId12" Type="http://schemas.openxmlformats.org/officeDocument/2006/relationships/ctrlProp" Target="../ctrlProps/ctrlProp276.xml"/><Relationship Id="rId17" Type="http://schemas.openxmlformats.org/officeDocument/2006/relationships/ctrlProp" Target="../ctrlProps/ctrlProp281.xml"/><Relationship Id="rId25" Type="http://schemas.openxmlformats.org/officeDocument/2006/relationships/ctrlProp" Target="../ctrlProps/ctrlProp289.xml"/><Relationship Id="rId2" Type="http://schemas.openxmlformats.org/officeDocument/2006/relationships/drawing" Target="../drawings/drawing11.xml"/><Relationship Id="rId16" Type="http://schemas.openxmlformats.org/officeDocument/2006/relationships/ctrlProp" Target="../ctrlProps/ctrlProp280.xml"/><Relationship Id="rId20" Type="http://schemas.openxmlformats.org/officeDocument/2006/relationships/ctrlProp" Target="../ctrlProps/ctrlProp284.xml"/><Relationship Id="rId29" Type="http://schemas.openxmlformats.org/officeDocument/2006/relationships/ctrlProp" Target="../ctrlProps/ctrlProp293.xml"/><Relationship Id="rId1" Type="http://schemas.openxmlformats.org/officeDocument/2006/relationships/printerSettings" Target="../printerSettings/printerSettings13.bin"/><Relationship Id="rId6" Type="http://schemas.openxmlformats.org/officeDocument/2006/relationships/ctrlProp" Target="../ctrlProps/ctrlProp270.xml"/><Relationship Id="rId11" Type="http://schemas.openxmlformats.org/officeDocument/2006/relationships/ctrlProp" Target="../ctrlProps/ctrlProp275.xml"/><Relationship Id="rId24" Type="http://schemas.openxmlformats.org/officeDocument/2006/relationships/ctrlProp" Target="../ctrlProps/ctrlProp288.xml"/><Relationship Id="rId5" Type="http://schemas.openxmlformats.org/officeDocument/2006/relationships/ctrlProp" Target="../ctrlProps/ctrlProp269.xml"/><Relationship Id="rId15" Type="http://schemas.openxmlformats.org/officeDocument/2006/relationships/ctrlProp" Target="../ctrlProps/ctrlProp279.xml"/><Relationship Id="rId23" Type="http://schemas.openxmlformats.org/officeDocument/2006/relationships/ctrlProp" Target="../ctrlProps/ctrlProp287.xml"/><Relationship Id="rId28" Type="http://schemas.openxmlformats.org/officeDocument/2006/relationships/ctrlProp" Target="../ctrlProps/ctrlProp292.xml"/><Relationship Id="rId10" Type="http://schemas.openxmlformats.org/officeDocument/2006/relationships/ctrlProp" Target="../ctrlProps/ctrlProp274.xml"/><Relationship Id="rId19" Type="http://schemas.openxmlformats.org/officeDocument/2006/relationships/ctrlProp" Target="../ctrlProps/ctrlProp283.xml"/><Relationship Id="rId31" Type="http://schemas.openxmlformats.org/officeDocument/2006/relationships/ctrlProp" Target="../ctrlProps/ctrlProp295.xml"/><Relationship Id="rId4" Type="http://schemas.openxmlformats.org/officeDocument/2006/relationships/ctrlProp" Target="../ctrlProps/ctrlProp268.xml"/><Relationship Id="rId9" Type="http://schemas.openxmlformats.org/officeDocument/2006/relationships/ctrlProp" Target="../ctrlProps/ctrlProp273.xml"/><Relationship Id="rId14" Type="http://schemas.openxmlformats.org/officeDocument/2006/relationships/ctrlProp" Target="../ctrlProps/ctrlProp278.xml"/><Relationship Id="rId22" Type="http://schemas.openxmlformats.org/officeDocument/2006/relationships/ctrlProp" Target="../ctrlProps/ctrlProp286.xml"/><Relationship Id="rId27" Type="http://schemas.openxmlformats.org/officeDocument/2006/relationships/ctrlProp" Target="../ctrlProps/ctrlProp291.xml"/><Relationship Id="rId30" Type="http://schemas.openxmlformats.org/officeDocument/2006/relationships/ctrlProp" Target="../ctrlProps/ctrlProp29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50" Type="http://schemas.openxmlformats.org/officeDocument/2006/relationships/ctrlProp" Target="../ctrlProps/ctrlProp62.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41"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49" Type="http://schemas.openxmlformats.org/officeDocument/2006/relationships/ctrlProp" Target="../ctrlProps/ctrlProp61.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48" Type="http://schemas.openxmlformats.org/officeDocument/2006/relationships/ctrlProp" Target="../ctrlProps/ctrlProp60.xml"/><Relationship Id="rId8" Type="http://schemas.openxmlformats.org/officeDocument/2006/relationships/ctrlProp" Target="../ctrlProps/ctrlProp20.xml"/><Relationship Id="rId51"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39" Type="http://schemas.openxmlformats.org/officeDocument/2006/relationships/ctrlProp" Target="../ctrlProps/ctrlProp99.xml"/><Relationship Id="rId21" Type="http://schemas.openxmlformats.org/officeDocument/2006/relationships/ctrlProp" Target="../ctrlProps/ctrlProp81.xml"/><Relationship Id="rId34" Type="http://schemas.openxmlformats.org/officeDocument/2006/relationships/ctrlProp" Target="../ctrlProps/ctrlProp94.xml"/><Relationship Id="rId42" Type="http://schemas.openxmlformats.org/officeDocument/2006/relationships/ctrlProp" Target="../ctrlProps/ctrlProp102.xml"/><Relationship Id="rId47" Type="http://schemas.openxmlformats.org/officeDocument/2006/relationships/ctrlProp" Target="../ctrlProps/ctrlProp107.xml"/><Relationship Id="rId50" Type="http://schemas.openxmlformats.org/officeDocument/2006/relationships/ctrlProp" Target="../ctrlProps/ctrlProp110.xml"/><Relationship Id="rId55" Type="http://schemas.openxmlformats.org/officeDocument/2006/relationships/ctrlProp" Target="../ctrlProps/ctrlProp115.xml"/><Relationship Id="rId63" Type="http://schemas.openxmlformats.org/officeDocument/2006/relationships/ctrlProp" Target="../ctrlProps/ctrlProp123.xml"/><Relationship Id="rId68" Type="http://schemas.openxmlformats.org/officeDocument/2006/relationships/ctrlProp" Target="../ctrlProps/ctrlProp128.xml"/><Relationship Id="rId7" Type="http://schemas.openxmlformats.org/officeDocument/2006/relationships/ctrlProp" Target="../ctrlProps/ctrlProp67.xml"/><Relationship Id="rId2" Type="http://schemas.openxmlformats.org/officeDocument/2006/relationships/drawing" Target="../drawings/drawing5.xml"/><Relationship Id="rId16" Type="http://schemas.openxmlformats.org/officeDocument/2006/relationships/ctrlProp" Target="../ctrlProps/ctrlProp76.xml"/><Relationship Id="rId29"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40" Type="http://schemas.openxmlformats.org/officeDocument/2006/relationships/ctrlProp" Target="../ctrlProps/ctrlProp100.xml"/><Relationship Id="rId45" Type="http://schemas.openxmlformats.org/officeDocument/2006/relationships/ctrlProp" Target="../ctrlProps/ctrlProp105.xml"/><Relationship Id="rId53" Type="http://schemas.openxmlformats.org/officeDocument/2006/relationships/ctrlProp" Target="../ctrlProps/ctrlProp113.xml"/><Relationship Id="rId58" Type="http://schemas.openxmlformats.org/officeDocument/2006/relationships/ctrlProp" Target="../ctrlProps/ctrlProp118.xml"/><Relationship Id="rId66" Type="http://schemas.openxmlformats.org/officeDocument/2006/relationships/ctrlProp" Target="../ctrlProps/ctrlProp126.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49" Type="http://schemas.openxmlformats.org/officeDocument/2006/relationships/ctrlProp" Target="../ctrlProps/ctrlProp109.xml"/><Relationship Id="rId57" Type="http://schemas.openxmlformats.org/officeDocument/2006/relationships/ctrlProp" Target="../ctrlProps/ctrlProp117.xml"/><Relationship Id="rId61" Type="http://schemas.openxmlformats.org/officeDocument/2006/relationships/ctrlProp" Target="../ctrlProps/ctrlProp121.xml"/><Relationship Id="rId10" Type="http://schemas.openxmlformats.org/officeDocument/2006/relationships/ctrlProp" Target="../ctrlProps/ctrlProp70.xml"/><Relationship Id="rId19" Type="http://schemas.openxmlformats.org/officeDocument/2006/relationships/ctrlProp" Target="../ctrlProps/ctrlProp79.xml"/><Relationship Id="rId31" Type="http://schemas.openxmlformats.org/officeDocument/2006/relationships/ctrlProp" Target="../ctrlProps/ctrlProp91.xml"/><Relationship Id="rId44" Type="http://schemas.openxmlformats.org/officeDocument/2006/relationships/ctrlProp" Target="../ctrlProps/ctrlProp104.xml"/><Relationship Id="rId52" Type="http://schemas.openxmlformats.org/officeDocument/2006/relationships/ctrlProp" Target="../ctrlProps/ctrlProp112.xml"/><Relationship Id="rId60" Type="http://schemas.openxmlformats.org/officeDocument/2006/relationships/ctrlProp" Target="../ctrlProps/ctrlProp120.xml"/><Relationship Id="rId65" Type="http://schemas.openxmlformats.org/officeDocument/2006/relationships/ctrlProp" Target="../ctrlProps/ctrlProp125.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43" Type="http://schemas.openxmlformats.org/officeDocument/2006/relationships/ctrlProp" Target="../ctrlProps/ctrlProp103.xml"/><Relationship Id="rId48" Type="http://schemas.openxmlformats.org/officeDocument/2006/relationships/ctrlProp" Target="../ctrlProps/ctrlProp108.xml"/><Relationship Id="rId56" Type="http://schemas.openxmlformats.org/officeDocument/2006/relationships/ctrlProp" Target="../ctrlProps/ctrlProp116.xml"/><Relationship Id="rId64" Type="http://schemas.openxmlformats.org/officeDocument/2006/relationships/ctrlProp" Target="../ctrlProps/ctrlProp124.xml"/><Relationship Id="rId69" Type="http://schemas.openxmlformats.org/officeDocument/2006/relationships/ctrlProp" Target="../ctrlProps/ctrlProp129.xml"/><Relationship Id="rId8" Type="http://schemas.openxmlformats.org/officeDocument/2006/relationships/ctrlProp" Target="../ctrlProps/ctrlProp68.xml"/><Relationship Id="rId51" Type="http://schemas.openxmlformats.org/officeDocument/2006/relationships/ctrlProp" Target="../ctrlProps/ctrlProp111.xml"/><Relationship Id="rId3" Type="http://schemas.openxmlformats.org/officeDocument/2006/relationships/vmlDrawing" Target="../drawings/vmlDrawing5.v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46" Type="http://schemas.openxmlformats.org/officeDocument/2006/relationships/ctrlProp" Target="../ctrlProps/ctrlProp106.xml"/><Relationship Id="rId59" Type="http://schemas.openxmlformats.org/officeDocument/2006/relationships/ctrlProp" Target="../ctrlProps/ctrlProp119.xml"/><Relationship Id="rId67" Type="http://schemas.openxmlformats.org/officeDocument/2006/relationships/ctrlProp" Target="../ctrlProps/ctrlProp127.xml"/><Relationship Id="rId20" Type="http://schemas.openxmlformats.org/officeDocument/2006/relationships/ctrlProp" Target="../ctrlProps/ctrlProp80.xml"/><Relationship Id="rId41" Type="http://schemas.openxmlformats.org/officeDocument/2006/relationships/ctrlProp" Target="../ctrlProps/ctrlProp101.xml"/><Relationship Id="rId54" Type="http://schemas.openxmlformats.org/officeDocument/2006/relationships/ctrlProp" Target="../ctrlProps/ctrlProp114.xml"/><Relationship Id="rId62" Type="http://schemas.openxmlformats.org/officeDocument/2006/relationships/ctrlProp" Target="../ctrlProps/ctrlProp1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18" Type="http://schemas.openxmlformats.org/officeDocument/2006/relationships/ctrlProp" Target="../ctrlProps/ctrlProp144.xml"/><Relationship Id="rId3" Type="http://schemas.openxmlformats.org/officeDocument/2006/relationships/vmlDrawing" Target="../drawings/vmlDrawing6.vml"/><Relationship Id="rId21" Type="http://schemas.openxmlformats.org/officeDocument/2006/relationships/ctrlProp" Target="../ctrlProps/ctrlProp147.x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 Type="http://schemas.openxmlformats.org/officeDocument/2006/relationships/drawing" Target="../drawings/drawing6.xml"/><Relationship Id="rId16" Type="http://schemas.openxmlformats.org/officeDocument/2006/relationships/ctrlProp" Target="../ctrlProps/ctrlProp142.xml"/><Relationship Id="rId20"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10" Type="http://schemas.openxmlformats.org/officeDocument/2006/relationships/ctrlProp" Target="../ctrlProps/ctrlProp136.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3" Type="http://schemas.openxmlformats.org/officeDocument/2006/relationships/vmlDrawing" Target="../drawings/vmlDrawing7.vml"/><Relationship Id="rId7" Type="http://schemas.openxmlformats.org/officeDocument/2006/relationships/ctrlProp" Target="../ctrlProps/ctrlProp154.xml"/><Relationship Id="rId12" Type="http://schemas.openxmlformats.org/officeDocument/2006/relationships/ctrlProp" Target="../ctrlProps/ctrlProp15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0" tint="-4.9989318521683403E-2"/>
    <pageSetUpPr fitToPage="1"/>
  </sheetPr>
  <dimension ref="A1:T47"/>
  <sheetViews>
    <sheetView showGridLines="0" tabSelected="1" showRuler="0" zoomScaleNormal="100" zoomScaleSheetLayoutView="110" workbookViewId="0">
      <selection activeCell="G5" sqref="G5"/>
    </sheetView>
  </sheetViews>
  <sheetFormatPr baseColWidth="10" defaultColWidth="0" defaultRowHeight="16.5" zeroHeight="1"/>
  <cols>
    <col min="1" max="1" width="5.7109375" style="457" customWidth="1"/>
    <col min="2" max="2" width="5.7109375" style="1" customWidth="1"/>
    <col min="3" max="3" width="3.28515625" style="1" customWidth="1"/>
    <col min="4" max="4" width="5.7109375" style="1" customWidth="1"/>
    <col min="5" max="5" width="48" style="1" customWidth="1"/>
    <col min="6" max="6" width="19" style="1" customWidth="1"/>
    <col min="7" max="7" width="22.28515625" style="1" customWidth="1"/>
    <col min="8" max="8" width="2.7109375" style="1" customWidth="1"/>
    <col min="9" max="9" width="16" style="73" hidden="1" customWidth="1"/>
    <col min="10" max="20" width="0" style="1" hidden="1" customWidth="1"/>
    <col min="21" max="16384" width="11.28515625" style="1" hidden="1"/>
  </cols>
  <sheetData>
    <row r="1" spans="1:15"/>
    <row r="2" spans="1:15" ht="16.5" customHeight="1">
      <c r="B2" s="981" t="s">
        <v>469</v>
      </c>
      <c r="D2" s="984"/>
      <c r="E2" s="985"/>
      <c r="F2" s="345" t="s">
        <v>470</v>
      </c>
      <c r="G2" s="463" t="s">
        <v>301</v>
      </c>
      <c r="H2" s="1234" t="s">
        <v>301</v>
      </c>
      <c r="I2" s="880" t="s">
        <v>54</v>
      </c>
      <c r="K2" s="233"/>
      <c r="L2" s="195" t="s">
        <v>153</v>
      </c>
      <c r="O2" s="181"/>
    </row>
    <row r="3" spans="1:15" ht="16.5" customHeight="1">
      <c r="B3" s="1257" t="s">
        <v>439</v>
      </c>
      <c r="C3" s="1257"/>
      <c r="D3" s="1257"/>
      <c r="E3" s="1258"/>
      <c r="F3" s="379" t="s">
        <v>968</v>
      </c>
      <c r="G3" s="363" t="s">
        <v>975</v>
      </c>
      <c r="H3" s="1234"/>
      <c r="I3" s="184"/>
      <c r="K3" s="152"/>
      <c r="L3" s="1" t="str">
        <f ca="1">MID(CELL("dateiname",A2),FIND("]",CELL("dateiname",A2))+1,255)</f>
        <v>Projektgrundlagen</v>
      </c>
      <c r="O3" s="181"/>
    </row>
    <row r="4" spans="1:15" ht="7.5" customHeight="1">
      <c r="B4" s="386"/>
      <c r="C4" s="386"/>
      <c r="D4" s="386"/>
      <c r="E4" s="386"/>
      <c r="F4" s="364"/>
      <c r="G4" s="1054"/>
      <c r="H4" s="1234"/>
      <c r="I4" s="184"/>
      <c r="K4" s="152"/>
    </row>
    <row r="5" spans="1:15">
      <c r="A5" s="1041" t="str">
        <f>IF(OR(E5="",G5=""),"è","")</f>
        <v/>
      </c>
      <c r="B5" s="1238" t="s">
        <v>299</v>
      </c>
      <c r="C5" s="1239"/>
      <c r="D5" s="1239"/>
      <c r="E5" s="978" t="s">
        <v>972</v>
      </c>
      <c r="F5" s="374" t="s">
        <v>298</v>
      </c>
      <c r="G5" s="376" t="s">
        <v>976</v>
      </c>
      <c r="H5" s="1234"/>
      <c r="I5" s="184"/>
    </row>
    <row r="6" spans="1:15">
      <c r="A6" s="1041" t="str">
        <f>IF(E6="","è","")</f>
        <v/>
      </c>
      <c r="B6" s="1240" t="s">
        <v>297</v>
      </c>
      <c r="C6" s="1241"/>
      <c r="D6" s="1241"/>
      <c r="E6" s="1248" t="s">
        <v>973</v>
      </c>
      <c r="F6" s="1248"/>
      <c r="G6" s="1249"/>
      <c r="H6" s="1234"/>
      <c r="K6" s="152"/>
    </row>
    <row r="7" spans="1:15">
      <c r="B7" s="1242"/>
      <c r="C7" s="1243"/>
      <c r="D7" s="1243"/>
      <c r="E7" s="1250" t="s">
        <v>974</v>
      </c>
      <c r="F7" s="1250"/>
      <c r="G7" s="1251"/>
      <c r="H7" s="1234"/>
    </row>
    <row r="8" spans="1:15">
      <c r="B8" s="1254" t="s">
        <v>109</v>
      </c>
      <c r="C8" s="1255"/>
      <c r="D8" s="1255"/>
      <c r="E8" s="1252"/>
      <c r="F8" s="1252"/>
      <c r="G8" s="1253"/>
      <c r="H8" s="1234"/>
    </row>
    <row r="9" spans="1:15">
      <c r="G9" s="330"/>
    </row>
    <row r="10" spans="1:15" s="18" customFormat="1" ht="26.25" customHeight="1">
      <c r="A10" s="459"/>
      <c r="B10" s="470"/>
      <c r="C10" s="481" t="s">
        <v>300</v>
      </c>
      <c r="D10" s="482"/>
      <c r="E10" s="482"/>
      <c r="F10" s="483"/>
      <c r="G10" s="471"/>
      <c r="I10" s="881"/>
    </row>
    <row r="11" spans="1:15" ht="7.5" customHeight="1">
      <c r="B11" s="373"/>
      <c r="C11" s="373"/>
      <c r="D11" s="367"/>
      <c r="E11" s="367"/>
      <c r="F11" s="367"/>
      <c r="G11" s="367"/>
      <c r="H11" s="365"/>
      <c r="I11" s="882"/>
    </row>
    <row r="12" spans="1:15">
      <c r="A12" s="1042"/>
      <c r="B12" s="41">
        <v>1</v>
      </c>
      <c r="C12" s="1244" t="s">
        <v>127</v>
      </c>
      <c r="D12" s="1245"/>
      <c r="E12" s="1245"/>
      <c r="F12" s="7"/>
      <c r="G12" s="21"/>
    </row>
    <row r="13" spans="1:15">
      <c r="A13" s="1041" t="str">
        <f>IF(COUNTIF($I$13:$I$14,TRUE)&lt;&gt;1,"è","")</f>
        <v/>
      </c>
      <c r="B13" s="292" t="s">
        <v>148</v>
      </c>
      <c r="C13" s="290"/>
      <c r="D13" s="1246" t="s">
        <v>130</v>
      </c>
      <c r="E13" s="1247"/>
      <c r="F13" s="284"/>
      <c r="G13" s="294"/>
      <c r="I13" s="73" t="b">
        <v>1</v>
      </c>
      <c r="J13" s="1035"/>
    </row>
    <row r="14" spans="1:15">
      <c r="A14" s="1041" t="str">
        <f>IF(COUNTIF($I$13:$I$14,TRUE)&lt;&gt;1,"è","")</f>
        <v/>
      </c>
      <c r="B14" s="291" t="s">
        <v>149</v>
      </c>
      <c r="C14" s="290"/>
      <c r="D14" s="1235" t="s">
        <v>131</v>
      </c>
      <c r="E14" s="1236"/>
      <c r="F14" s="8"/>
      <c r="G14" s="22"/>
      <c r="I14" s="73" t="b">
        <v>0</v>
      </c>
    </row>
    <row r="15" spans="1:15">
      <c r="A15" s="1043"/>
      <c r="B15" s="41">
        <v>2</v>
      </c>
      <c r="C15" s="1244" t="s">
        <v>128</v>
      </c>
      <c r="D15" s="1245"/>
      <c r="E15" s="1245"/>
      <c r="F15" s="7"/>
      <c r="G15" s="21"/>
    </row>
    <row r="16" spans="1:15">
      <c r="A16" s="1041" t="str">
        <f>IF(AND($I$13=FALSE,$I$14,COUNTIF($I$16:$I$17,TRUE)&lt;&gt;1),"è","")</f>
        <v/>
      </c>
      <c r="B16" s="293" t="s">
        <v>150</v>
      </c>
      <c r="C16" s="290"/>
      <c r="D16" s="1246" t="s">
        <v>295</v>
      </c>
      <c r="E16" s="1247"/>
      <c r="F16" s="284"/>
      <c r="G16" s="294"/>
      <c r="I16" s="73" t="b">
        <v>1</v>
      </c>
    </row>
    <row r="17" spans="1:11">
      <c r="A17" s="1041" t="str">
        <f>IF(AND($I$13=FALSE,$I$14,COUNTIF($I$16:$I$17,TRUE)&lt;&gt;1),"è","")</f>
        <v/>
      </c>
      <c r="B17" s="291" t="s">
        <v>151</v>
      </c>
      <c r="C17" s="290"/>
      <c r="D17" s="1235" t="s">
        <v>129</v>
      </c>
      <c r="E17" s="1236"/>
      <c r="F17" s="8"/>
      <c r="G17" s="22"/>
      <c r="I17" s="73" t="b">
        <v>0</v>
      </c>
    </row>
    <row r="18" spans="1:11">
      <c r="B18" s="14"/>
      <c r="D18" s="14"/>
      <c r="E18" s="14"/>
    </row>
    <row r="19" spans="1:11" ht="26.25" customHeight="1">
      <c r="B19" s="470"/>
      <c r="C19" s="1237" t="s">
        <v>327</v>
      </c>
      <c r="D19" s="1237"/>
      <c r="E19" s="1237"/>
      <c r="F19" s="1237"/>
      <c r="G19" s="1237"/>
      <c r="I19" s="883" t="s">
        <v>237</v>
      </c>
      <c r="J19" s="7"/>
      <c r="K19" s="21"/>
    </row>
    <row r="20" spans="1:11" ht="7.5" customHeight="1">
      <c r="B20" s="373"/>
      <c r="C20" s="373"/>
      <c r="D20" s="367"/>
      <c r="E20" s="367"/>
      <c r="F20" s="367"/>
      <c r="G20" s="367"/>
      <c r="H20" s="365"/>
      <c r="I20" s="884"/>
      <c r="K20" s="19"/>
    </row>
    <row r="21" spans="1:11">
      <c r="B21" s="296"/>
      <c r="C21" s="370" t="s">
        <v>154</v>
      </c>
      <c r="D21" s="297" t="s">
        <v>348</v>
      </c>
      <c r="E21" s="297"/>
      <c r="F21" s="371" t="s">
        <v>302</v>
      </c>
      <c r="G21" s="298"/>
      <c r="H21" s="11"/>
      <c r="I21" s="885" t="b">
        <f>AND(I13,I14=FALSE)</f>
        <v>1</v>
      </c>
      <c r="J21" s="1" t="s">
        <v>130</v>
      </c>
      <c r="K21" s="19"/>
    </row>
    <row r="22" spans="1:11">
      <c r="B22" s="299"/>
      <c r="C22" s="300" t="s">
        <v>155</v>
      </c>
      <c r="D22" s="1265" t="s">
        <v>157</v>
      </c>
      <c r="E22" s="1266"/>
      <c r="F22" s="1225" t="str">
        <f ca="1">'A anrechb Kosten'!L3</f>
        <v>A anrechb Kosten</v>
      </c>
      <c r="G22" s="1226"/>
      <c r="H22" s="11"/>
      <c r="I22" s="885" t="b">
        <f>AND(I13=FALSE,I14,I16,I17=FALSE)</f>
        <v>0</v>
      </c>
      <c r="J22" s="1" t="s">
        <v>343</v>
      </c>
      <c r="K22" s="19"/>
    </row>
    <row r="23" spans="1:11">
      <c r="B23" s="299"/>
      <c r="C23" s="300" t="s">
        <v>156</v>
      </c>
      <c r="D23" s="1265" t="s">
        <v>354</v>
      </c>
      <c r="E23" s="1266"/>
      <c r="F23" s="1225" t="str">
        <f ca="1">'B HZone'!N3</f>
        <v>B HZone</v>
      </c>
      <c r="G23" s="1226"/>
      <c r="H23" s="11"/>
      <c r="I23" s="885" t="b">
        <f>AND(I13=FALSE,I14,I17,I16=FALSE)</f>
        <v>0</v>
      </c>
      <c r="J23" s="1" t="s">
        <v>344</v>
      </c>
      <c r="K23" s="19"/>
    </row>
    <row r="24" spans="1:11">
      <c r="B24" s="299"/>
      <c r="C24" s="300" t="s">
        <v>183</v>
      </c>
      <c r="D24" s="1265" t="s">
        <v>350</v>
      </c>
      <c r="E24" s="1266"/>
      <c r="F24" s="1225" t="str">
        <f ca="1">'StB-C1 Grundlstg'!O3</f>
        <v>StB-C1 Grundlstg</v>
      </c>
      <c r="G24" s="1226"/>
      <c r="H24" s="11"/>
      <c r="I24" s="886" t="b">
        <f>IF(AND(I23=FALSE,I22=FALSE,I21=FALSE),TRUE,FALSE)</f>
        <v>0</v>
      </c>
      <c r="J24" s="289" t="s">
        <v>190</v>
      </c>
      <c r="K24" s="22"/>
    </row>
    <row r="25" spans="1:11" hidden="1">
      <c r="B25" s="299"/>
      <c r="C25" s="300" t="s">
        <v>184</v>
      </c>
      <c r="D25" s="1265" t="s">
        <v>351</v>
      </c>
      <c r="E25" s="1266"/>
      <c r="F25" s="1227" t="str">
        <f ca="1">'HB-C1 Grundlstg Land'!O3</f>
        <v>HB-C1 Grundlstg Land</v>
      </c>
      <c r="G25" s="1228"/>
      <c r="H25" s="11"/>
    </row>
    <row r="26" spans="1:11" hidden="1">
      <c r="B26" s="299"/>
      <c r="C26" s="300" t="s">
        <v>185</v>
      </c>
      <c r="D26" s="1265" t="s">
        <v>349</v>
      </c>
      <c r="E26" s="1266"/>
      <c r="F26" s="1225" t="str">
        <f ca="1">'HB-C2 Grundlstg Bund'!O3</f>
        <v>HB-C2 Grundlstg Bund</v>
      </c>
      <c r="G26" s="1226"/>
      <c r="H26" s="11"/>
      <c r="J26" s="39"/>
    </row>
    <row r="27" spans="1:11">
      <c r="B27" s="299"/>
      <c r="C27" s="300" t="s">
        <v>186</v>
      </c>
      <c r="D27" s="1265" t="s">
        <v>353</v>
      </c>
      <c r="E27" s="1266"/>
      <c r="F27" s="1225" t="str">
        <f ca="1">'StB-D1 Besondere Lstg'!P3</f>
        <v>StB-D1 Besondere Lstg</v>
      </c>
      <c r="G27" s="1226"/>
      <c r="H27" s="11"/>
    </row>
    <row r="28" spans="1:11" hidden="1">
      <c r="B28" s="299"/>
      <c r="C28" s="300" t="s">
        <v>187</v>
      </c>
      <c r="D28" s="1265" t="s">
        <v>840</v>
      </c>
      <c r="E28" s="1266"/>
      <c r="F28" s="1225" t="str">
        <f ca="1">'HB-D1 Besondere Lstg Land'!P3</f>
        <v>HB-D1 Besondere Lstg Land</v>
      </c>
      <c r="G28" s="1226"/>
      <c r="H28" s="11"/>
      <c r="J28" s="39"/>
    </row>
    <row r="29" spans="1:11" ht="16.5" hidden="1" customHeight="1">
      <c r="B29" s="299"/>
      <c r="C29" s="300" t="s">
        <v>188</v>
      </c>
      <c r="D29" s="1265" t="s">
        <v>841</v>
      </c>
      <c r="E29" s="1266"/>
      <c r="F29" s="1225" t="str">
        <f ca="1">'HB-D2 Besondere Lstg Bund'!P3</f>
        <v>HB-D2 Besondere Lstg Bund</v>
      </c>
      <c r="G29" s="1226"/>
      <c r="H29" s="1053"/>
    </row>
    <row r="30" spans="1:11" ht="16.5" customHeight="1">
      <c r="B30" s="299"/>
      <c r="C30" s="300" t="s">
        <v>158</v>
      </c>
      <c r="D30" s="1246" t="s">
        <v>352</v>
      </c>
      <c r="E30" s="1247"/>
      <c r="F30" s="1225" t="str">
        <f ca="1">'E Honorarberechnung'!P3</f>
        <v>E Honorarberechnung</v>
      </c>
      <c r="G30" s="1226"/>
      <c r="H30" s="1256" t="s">
        <v>970</v>
      </c>
    </row>
    <row r="31" spans="1:11">
      <c r="B31" s="299"/>
      <c r="C31" s="300" t="s">
        <v>160</v>
      </c>
      <c r="D31" s="1246" t="s">
        <v>315</v>
      </c>
      <c r="E31" s="1247"/>
      <c r="F31" s="1225" t="str">
        <f ca="1">'F Honorarübersicht'!S3</f>
        <v>F Honorarübersicht</v>
      </c>
      <c r="G31" s="1226"/>
      <c r="H31" s="1256"/>
    </row>
    <row r="32" spans="1:11">
      <c r="B32" s="299"/>
      <c r="C32" s="300" t="s">
        <v>161</v>
      </c>
      <c r="D32" s="1246" t="s">
        <v>372</v>
      </c>
      <c r="E32" s="1247"/>
      <c r="F32" s="1225" t="str">
        <f ca="1">'G Honorarabrechnung'!M3</f>
        <v>G Honorarabrechnung</v>
      </c>
      <c r="G32" s="1229"/>
      <c r="H32" s="1256"/>
    </row>
    <row r="33" spans="2:8">
      <c r="B33" s="3"/>
      <c r="C33" s="295" t="s">
        <v>162</v>
      </c>
      <c r="D33" s="1235" t="s">
        <v>848</v>
      </c>
      <c r="E33" s="1236"/>
      <c r="F33" s="1230" t="str">
        <f ca="1">'H §52 HOAI'!L3</f>
        <v>H §52 HOAI</v>
      </c>
      <c r="G33" s="1231"/>
      <c r="H33" s="1256"/>
    </row>
    <row r="34" spans="2:8">
      <c r="F34" s="1232"/>
      <c r="G34" s="1232"/>
    </row>
    <row r="35" spans="2:8"/>
    <row r="36" spans="2:8"/>
    <row r="37" spans="2:8">
      <c r="B37" s="135" t="s">
        <v>105</v>
      </c>
      <c r="C37" s="135"/>
    </row>
    <row r="38" spans="2:8" ht="17.25" thickBot="1"/>
    <row r="39" spans="2:8" ht="230.1" customHeight="1" thickTop="1" thickBot="1">
      <c r="B39" s="1262" t="s">
        <v>849</v>
      </c>
      <c r="C39" s="1263"/>
      <c r="D39" s="1263"/>
      <c r="E39" s="1263"/>
      <c r="F39" s="1263"/>
      <c r="G39" s="1264"/>
    </row>
    <row r="40" spans="2:8" ht="17.25" thickTop="1"/>
    <row r="41" spans="2:8">
      <c r="B41" s="135" t="s">
        <v>126</v>
      </c>
      <c r="C41" s="135"/>
    </row>
    <row r="42" spans="2:8" ht="17.25" thickBot="1"/>
    <row r="43" spans="2:8" ht="195" customHeight="1" thickTop="1" thickBot="1">
      <c r="B43" s="1259" t="s">
        <v>829</v>
      </c>
      <c r="C43" s="1260"/>
      <c r="D43" s="1260"/>
      <c r="E43" s="1260"/>
      <c r="F43" s="1260"/>
      <c r="G43" s="1261"/>
    </row>
    <row r="44" spans="2:8" ht="17.25" thickTop="1"/>
    <row r="45" spans="2:8"/>
    <row r="46" spans="2:8"/>
    <row r="47" spans="2:8"/>
  </sheetData>
  <sheetProtection algorithmName="SHA-512" hashValue="mDnIlw81yu0p1KTiy7HA9aP2SI9FX4dNq9Ulhd9nxmTb+PetDpUPraNESSVqJfWh1GZmmLj0v2HQWt9niS3+SA==" saltValue="+diKzExpUMBMb1fGY+b8oQ==" spinCount="100000" sheet="1" formatRows="0"/>
  <mergeCells count="31">
    <mergeCell ref="H30:H33"/>
    <mergeCell ref="B3:E3"/>
    <mergeCell ref="B43:G43"/>
    <mergeCell ref="D31:E31"/>
    <mergeCell ref="D32:E32"/>
    <mergeCell ref="D33:E33"/>
    <mergeCell ref="D30:E30"/>
    <mergeCell ref="B39:G39"/>
    <mergeCell ref="D27:E27"/>
    <mergeCell ref="D28:E28"/>
    <mergeCell ref="D29:E29"/>
    <mergeCell ref="D22:E22"/>
    <mergeCell ref="D23:E23"/>
    <mergeCell ref="D24:E24"/>
    <mergeCell ref="D25:E25"/>
    <mergeCell ref="D26:E26"/>
    <mergeCell ref="H2:H8"/>
    <mergeCell ref="D17:E17"/>
    <mergeCell ref="C19:G19"/>
    <mergeCell ref="B5:D5"/>
    <mergeCell ref="B6:D6"/>
    <mergeCell ref="B7:D7"/>
    <mergeCell ref="C12:E12"/>
    <mergeCell ref="D13:E13"/>
    <mergeCell ref="D14:E14"/>
    <mergeCell ref="C15:E15"/>
    <mergeCell ref="D16:E16"/>
    <mergeCell ref="E6:G6"/>
    <mergeCell ref="E7:G7"/>
    <mergeCell ref="E8:G8"/>
    <mergeCell ref="B8:D8"/>
  </mergeCells>
  <conditionalFormatting sqref="B24:D24 F24:G24 B27:D27 F27:G27">
    <cfRule type="expression" dxfId="1909" priority="14">
      <formula>$I$21=FALSE</formula>
    </cfRule>
  </conditionalFormatting>
  <conditionalFormatting sqref="B25:D25 F25:G25 B28:D28 F28:G28">
    <cfRule type="expression" dxfId="1908" priority="13">
      <formula>$I$22=FALSE</formula>
    </cfRule>
  </conditionalFormatting>
  <conditionalFormatting sqref="B26:D26 F26:G26 B29:D29 F29:G29">
    <cfRule type="expression" dxfId="1907" priority="12">
      <formula>$I$23=FALSE</formula>
    </cfRule>
  </conditionalFormatting>
  <conditionalFormatting sqref="C13">
    <cfRule type="expression" dxfId="1906" priority="9">
      <formula>IF(COUNTIF(I13:I14,TRUE)&lt;&gt;1,1,0)</formula>
    </cfRule>
  </conditionalFormatting>
  <conditionalFormatting sqref="C14">
    <cfRule type="expression" dxfId="1905" priority="8">
      <formula>IF(COUNTIF(I13:I14,TRUE)&lt;&gt;1,1,0)</formula>
    </cfRule>
  </conditionalFormatting>
  <conditionalFormatting sqref="C16">
    <cfRule type="expression" dxfId="1904" priority="5">
      <formula>IF(AND(I14,(COUNTIF(I16:I17,TRUE)&lt;&gt;1)),1,0)</formula>
    </cfRule>
  </conditionalFormatting>
  <conditionalFormatting sqref="C17">
    <cfRule type="expression" dxfId="1903" priority="4">
      <formula>IF(AND(I14,(COUNTIF(I16:I17,TRUE)&lt;&gt;1)),1,0)</formula>
    </cfRule>
  </conditionalFormatting>
  <conditionalFormatting sqref="D22">
    <cfRule type="expression" dxfId="1902" priority="18">
      <formula>#REF!</formula>
    </cfRule>
  </conditionalFormatting>
  <conditionalFormatting sqref="E5">
    <cfRule type="expression" dxfId="1901" priority="3">
      <formula>E$5=""</formula>
    </cfRule>
  </conditionalFormatting>
  <conditionalFormatting sqref="E8">
    <cfRule type="expression" dxfId="1900" priority="725">
      <formula>IF($E$8="",TRUE,FALSE)</formula>
    </cfRule>
  </conditionalFormatting>
  <conditionalFormatting sqref="E6:G6">
    <cfRule type="expression" dxfId="1899" priority="2">
      <formula>E6=""</formula>
    </cfRule>
  </conditionalFormatting>
  <conditionalFormatting sqref="G5">
    <cfRule type="expression" dxfId="1898" priority="1">
      <formula>G5=""</formula>
    </cfRule>
  </conditionalFormatting>
  <hyperlinks>
    <hyperlink ref="F22:G22" location="Link_A_anrKosten" display="Link_A_anrKosten"/>
    <hyperlink ref="F23:G23" location="Link_B_HonorarZ" display="Link_B_HonorarZ"/>
    <hyperlink ref="F24:G24" location="Link_StBC1_Grundlstg" display="Link_StBC1_Grundlstg"/>
    <hyperlink ref="F25:G25" location="Link_HBC1_Grundlstg" display="Link_HBC1_Grundlstg"/>
    <hyperlink ref="F26:G26" location="Link_HBC2_Grundlstg" display="Link_HBC2_Grundlstg"/>
    <hyperlink ref="F27:G27" location="Link_StBD1_BesLstg" display="Link_StBD1_BesLstg"/>
    <hyperlink ref="F28:G28" location="Link_HBD1_BesLstg" display="Link_HBD1_BesLstg"/>
    <hyperlink ref="F29:G29" location="Link_HBD2_BesLstg" display="Link_HBD2_BesLstg"/>
    <hyperlink ref="F30:G30" location="Link_E_Honorar" display="Link_E_Honorar"/>
    <hyperlink ref="F31:G31" location="Link_F_Uebersicht" display="Link_F_Uebersicht"/>
    <hyperlink ref="F32" location="Link_G_Abrechnung" display="Link_G_Abrechnung"/>
    <hyperlink ref="F33:G33" location="Link_H_HOAI" display="Link_H_HOAI"/>
  </hyperlink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1" manualBreakCount="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9" tint="0.59999389629810485"/>
    <pageSetUpPr fitToPage="1"/>
  </sheetPr>
  <dimension ref="A1:S127"/>
  <sheetViews>
    <sheetView showGridLines="0" showRuler="0" zoomScaleNormal="100" zoomScaleSheetLayoutView="100" workbookViewId="0">
      <pane ySplit="12" topLeftCell="A13" activePane="bottomLeft" state="frozen"/>
      <selection activeCell="B2" sqref="B2:H2"/>
      <selection pane="bottomLeft" activeCell="B2" sqref="B2:H2"/>
    </sheetView>
  </sheetViews>
  <sheetFormatPr baseColWidth="10" defaultColWidth="0" defaultRowHeight="16.5" zeroHeight="1"/>
  <cols>
    <col min="1" max="1" width="5.7109375" style="498" customWidth="1"/>
    <col min="2" max="2" width="3.28515625" style="84" customWidth="1"/>
    <col min="3" max="5" width="3.28515625" style="80" customWidth="1"/>
    <col min="6" max="6" width="51.7109375" style="80" customWidth="1"/>
    <col min="7" max="8" width="7.28515625" style="80" customWidth="1"/>
    <col min="9" max="9" width="12.28515625" style="80" customWidth="1"/>
    <col min="10" max="10" width="12.7109375" style="80" customWidth="1"/>
    <col min="11" max="11" width="2.7109375" style="80" customWidth="1"/>
    <col min="12" max="12" width="16.42578125" style="81" hidden="1" customWidth="1"/>
    <col min="13" max="13" width="18" style="153" hidden="1" customWidth="1"/>
    <col min="14" max="15" width="18" style="80" hidden="1" customWidth="1"/>
    <col min="16" max="19" width="0" style="80" hidden="1" customWidth="1"/>
    <col min="20" max="16384" width="18" style="80" hidden="1"/>
  </cols>
  <sheetData>
    <row r="1" spans="1:15"/>
    <row r="2" spans="1:15" s="1" customFormat="1" ht="16.5" customHeight="1">
      <c r="A2" s="457"/>
      <c r="B2" s="1327" t="str">
        <f>IF(Projektgrundlagen!B2="","",Projektgrundlagen!B2)</f>
        <v>Fachplanung Tragwerksplanung</v>
      </c>
      <c r="C2" s="1327"/>
      <c r="D2" s="1327"/>
      <c r="E2" s="1327"/>
      <c r="F2" s="1328"/>
      <c r="G2" s="1355" t="str">
        <f>IF(Projektgrundlagen!F2="","",Projektgrundlagen!F2)</f>
        <v>VII.12.4</v>
      </c>
      <c r="H2" s="1330"/>
      <c r="I2" s="1330" t="s">
        <v>306</v>
      </c>
      <c r="J2" s="1331"/>
      <c r="K2" s="1513" t="s">
        <v>330</v>
      </c>
      <c r="L2" s="63" t="s">
        <v>54</v>
      </c>
      <c r="M2" s="152"/>
      <c r="O2" s="195" t="s">
        <v>153</v>
      </c>
    </row>
    <row r="3" spans="1:15" s="1" customFormat="1">
      <c r="A3" s="457"/>
      <c r="B3" s="1421" t="s">
        <v>441</v>
      </c>
      <c r="C3" s="1421"/>
      <c r="D3" s="1421"/>
      <c r="E3" s="1421"/>
      <c r="F3" s="1422"/>
      <c r="G3" s="1356" t="str">
        <f>IF(Projektgrundlagen!F3="","",Projektgrundlagen!F3)</f>
        <v>Vertragsnr.:</v>
      </c>
      <c r="H3" s="1357"/>
      <c r="I3" s="1510" t="str">
        <f>IF(Projektgrundlagen!G3="","",Projektgrundlagen!G3)</f>
        <v>000.411.425</v>
      </c>
      <c r="J3" s="1511"/>
      <c r="K3" s="1513"/>
      <c r="L3" s="78"/>
      <c r="M3" s="152"/>
      <c r="O3" s="1" t="str">
        <f ca="1">MID(CELL("dateiname",A2),FIND("]",CELL("dateiname",A2))+1,255)</f>
        <v>HB-C1 Grundlstg Land</v>
      </c>
    </row>
    <row r="4" spans="1:15" s="1" customFormat="1" ht="7.5" customHeight="1">
      <c r="A4" s="457"/>
      <c r="B4" s="368"/>
      <c r="C4" s="368"/>
      <c r="D4" s="368"/>
      <c r="E4" s="368"/>
      <c r="F4" s="368"/>
      <c r="G4" s="138"/>
      <c r="H4" s="138"/>
      <c r="I4" s="180"/>
      <c r="J4" s="180"/>
      <c r="K4" s="1513"/>
      <c r="L4" s="78"/>
      <c r="M4" s="152"/>
      <c r="N4" s="152"/>
    </row>
    <row r="5" spans="1:15" s="1" customFormat="1">
      <c r="A5" s="457"/>
      <c r="B5" s="1359" t="str">
        <f>IF(Projektgrundlagen!B5="","",Projektgrundlagen!B5)</f>
        <v>Maßnahmennr:</v>
      </c>
      <c r="C5" s="1360"/>
      <c r="D5" s="1360"/>
      <c r="E5" s="1360"/>
      <c r="F5" s="387" t="str">
        <f>IF(Projektgrundlagen!E5="","",Projektgrundlagen!E5)</f>
        <v>B63SABBD000300</v>
      </c>
      <c r="G5" s="1358" t="str">
        <f>IF(Projektgrundlagen!F5="","",Projektgrundlagen!F5)</f>
        <v>Vergabenr.:</v>
      </c>
      <c r="H5" s="1358"/>
      <c r="I5" s="1338" t="str">
        <f>IF(Projektgrundlagen!G5="","",Projektgrundlagen!G5)</f>
        <v>24-080603 D</v>
      </c>
      <c r="J5" s="1354"/>
      <c r="K5" s="1513"/>
      <c r="L5" s="78"/>
      <c r="M5" s="152"/>
    </row>
    <row r="6" spans="1:15" s="1" customFormat="1">
      <c r="A6" s="457"/>
      <c r="B6" s="1361" t="str">
        <f>IF(Projektgrundlagen!B6="","",Projektgrundlagen!B6)</f>
        <v>Maßnahme:</v>
      </c>
      <c r="C6" s="1362"/>
      <c r="D6" s="1362"/>
      <c r="E6" s="1362"/>
      <c r="F6" s="1365" t="str">
        <f>IF(Projektgrundlagen!E6="","",Projektgrundlagen!E6)</f>
        <v>B 26, Erneuerung der Brücke über die Bahn bei Wernfeld</v>
      </c>
      <c r="G6" s="1365"/>
      <c r="H6" s="1365"/>
      <c r="I6" s="1365"/>
      <c r="J6" s="1366"/>
      <c r="K6" s="1513"/>
      <c r="L6" s="78"/>
      <c r="M6" s="152"/>
    </row>
    <row r="7" spans="1:15" s="1" customFormat="1">
      <c r="A7" s="457"/>
      <c r="B7" s="1363" t="str">
        <f>IF(Projektgrundlagen!B7="","",Projektgrundlagen!B7)</f>
        <v/>
      </c>
      <c r="C7" s="1364"/>
      <c r="D7" s="1364"/>
      <c r="E7" s="1364"/>
      <c r="F7" s="1367" t="str">
        <f>IF(Projektgrundlagen!E7="","",Projektgrundlagen!E7)</f>
        <v>Behelfsbrücke über die Bahn</v>
      </c>
      <c r="G7" s="1367"/>
      <c r="H7" s="1367"/>
      <c r="I7" s="1367"/>
      <c r="J7" s="1368"/>
      <c r="K7" s="1513"/>
      <c r="L7" s="78"/>
      <c r="M7" s="152"/>
    </row>
    <row r="8" spans="1:15" s="1" customFormat="1">
      <c r="A8" s="457"/>
      <c r="B8" s="1380" t="str">
        <f>IF(Projektgrundlagen!B8="","",Projektgrundlagen!B8)</f>
        <v>Bieter:</v>
      </c>
      <c r="C8" s="1381"/>
      <c r="D8" s="1381"/>
      <c r="E8" s="1381"/>
      <c r="F8" s="1378" t="str">
        <f>IF(Projektgrundlagen!E8="","",Projektgrundlagen!E8)</f>
        <v/>
      </c>
      <c r="G8" s="1378"/>
      <c r="H8" s="1378"/>
      <c r="I8" s="1378"/>
      <c r="J8" s="1379"/>
      <c r="K8" s="1513"/>
      <c r="L8" s="78"/>
      <c r="M8" s="152"/>
      <c r="N8" s="152"/>
    </row>
    <row r="9" spans="1:15" s="1" customFormat="1">
      <c r="A9" s="457"/>
      <c r="B9" s="557"/>
      <c r="C9" s="557"/>
      <c r="D9" s="558"/>
      <c r="E9" s="557"/>
      <c r="F9" s="557"/>
      <c r="G9" s="557"/>
      <c r="H9" s="557"/>
      <c r="I9" s="557"/>
      <c r="J9" s="557"/>
      <c r="L9" s="78"/>
      <c r="M9" s="152"/>
    </row>
    <row r="10" spans="1:15" ht="27" customHeight="1">
      <c r="B10" s="1521" t="s">
        <v>853</v>
      </c>
      <c r="C10" s="1521"/>
      <c r="D10" s="1521"/>
      <c r="E10" s="1521"/>
      <c r="F10" s="1521"/>
      <c r="G10" s="1521"/>
      <c r="H10" s="1522"/>
      <c r="I10" s="1049" t="s">
        <v>374</v>
      </c>
      <c r="J10" s="1050" t="s">
        <v>362</v>
      </c>
      <c r="M10" s="154"/>
    </row>
    <row r="11" spans="1:15" ht="27" customHeight="1">
      <c r="B11" s="830" t="s">
        <v>852</v>
      </c>
      <c r="C11" s="763"/>
      <c r="D11" s="763"/>
      <c r="E11" s="763"/>
      <c r="F11" s="763"/>
      <c r="G11" s="762"/>
      <c r="H11" s="831" t="str">
        <f>IF(Projektgrundlagen!I22,"","Grundleistungen Hochbau Land sind nicht Teil dieser Honorarermittlung!")</f>
        <v>Grundleistungen Hochbau Land sind nicht Teil dieser Honorarermittlung!</v>
      </c>
      <c r="I11" s="859" t="s">
        <v>267</v>
      </c>
      <c r="J11" s="860" t="s">
        <v>267</v>
      </c>
    </row>
    <row r="12" spans="1:15" ht="7.5" customHeight="1">
      <c r="B12" s="832"/>
      <c r="C12" s="832"/>
      <c r="D12" s="833"/>
      <c r="E12" s="834"/>
      <c r="F12" s="834"/>
      <c r="G12" s="835"/>
      <c r="H12" s="835"/>
      <c r="I12" s="836"/>
      <c r="J12" s="836"/>
      <c r="M12" s="1034" t="s">
        <v>454</v>
      </c>
    </row>
    <row r="13" spans="1:15">
      <c r="A13" s="1090" t="str">
        <f>IF(COUNTIF($L$13:$L$15,TRUE)&gt;1,"è","")</f>
        <v/>
      </c>
      <c r="B13" s="235"/>
      <c r="C13" s="1083"/>
      <c r="D13" s="1517" t="s">
        <v>799</v>
      </c>
      <c r="E13" s="1517"/>
      <c r="F13" s="1517"/>
      <c r="G13" s="1517"/>
      <c r="H13" s="1517"/>
      <c r="I13" s="1517"/>
      <c r="J13" s="1518"/>
      <c r="L13" s="81" t="b">
        <v>0</v>
      </c>
      <c r="M13" s="120" t="b">
        <f>IF(COUNTIF(L13:L15,TRUE)=1,TRUE,FALSE)</f>
        <v>0</v>
      </c>
    </row>
    <row r="14" spans="1:15">
      <c r="A14" s="1090" t="str">
        <f>IF(COUNTIF($L$13:$L$15,TRUE)&gt;1,"è","")</f>
        <v/>
      </c>
      <c r="B14" s="1124"/>
      <c r="C14" s="1083"/>
      <c r="D14" s="1519" t="s">
        <v>833</v>
      </c>
      <c r="E14" s="1519"/>
      <c r="F14" s="1519"/>
      <c r="G14" s="1519"/>
      <c r="H14" s="1519"/>
      <c r="I14" s="1519"/>
      <c r="J14" s="1520"/>
    </row>
    <row r="15" spans="1:15">
      <c r="A15" s="1090" t="str">
        <f>IF(COUNTIF($L$13:$L$15,TRUE)&gt;1,"è","")</f>
        <v/>
      </c>
      <c r="B15" s="235"/>
      <c r="C15" s="828"/>
      <c r="D15" s="1508" t="s">
        <v>805</v>
      </c>
      <c r="E15" s="1508"/>
      <c r="F15" s="1508"/>
      <c r="G15" s="1508"/>
      <c r="H15" s="1508"/>
      <c r="I15" s="1508"/>
      <c r="J15" s="1509"/>
      <c r="L15" s="81" t="b">
        <v>0</v>
      </c>
    </row>
    <row r="16" spans="1:15">
      <c r="A16" s="1090" t="str">
        <f>IF(COUNTIF($L$13:$L$15,TRUE)&gt;1,"è","")</f>
        <v/>
      </c>
      <c r="B16" s="1124"/>
      <c r="C16" s="1083"/>
      <c r="D16" s="1519" t="s">
        <v>830</v>
      </c>
      <c r="E16" s="1519"/>
      <c r="F16" s="1519"/>
      <c r="G16" s="1519"/>
      <c r="H16" s="1519"/>
      <c r="I16" s="1519"/>
      <c r="J16" s="1520"/>
    </row>
    <row r="17" spans="1:13" ht="7.5" customHeight="1">
      <c r="B17" s="162"/>
      <c r="C17" s="162"/>
      <c r="D17" s="163"/>
      <c r="E17" s="164"/>
      <c r="F17" s="164"/>
      <c r="G17" s="53"/>
      <c r="H17" s="53"/>
      <c r="I17" s="165"/>
      <c r="J17" s="165"/>
    </row>
    <row r="18" spans="1:13" s="82" customFormat="1" ht="30" customHeight="1">
      <c r="A18" s="518"/>
      <c r="B18" s="1503" t="s">
        <v>790</v>
      </c>
      <c r="C18" s="1504"/>
      <c r="D18" s="1504"/>
      <c r="E18" s="1504"/>
      <c r="F18" s="1504"/>
      <c r="G18" s="1504"/>
      <c r="H18" s="1504"/>
      <c r="I18" s="264"/>
      <c r="J18" s="52"/>
      <c r="L18" s="83"/>
      <c r="M18" s="156"/>
    </row>
    <row r="19" spans="1:13" ht="18">
      <c r="B19" s="174"/>
      <c r="C19" s="1130" t="s">
        <v>225</v>
      </c>
      <c r="D19" s="1131"/>
      <c r="E19" s="1526" t="s">
        <v>314</v>
      </c>
      <c r="F19" s="1526"/>
      <c r="G19" s="1526"/>
      <c r="H19" s="398"/>
      <c r="I19" s="1132">
        <v>2.6</v>
      </c>
      <c r="J19" s="407">
        <f>IF(AND(NOT('A anrechb Kosten'!$I$19),L19),I19,0)</f>
        <v>0</v>
      </c>
      <c r="L19" s="81" t="b">
        <v>0</v>
      </c>
      <c r="M19" s="155"/>
    </row>
    <row r="20" spans="1:13" ht="30" customHeight="1">
      <c r="B20" s="173"/>
      <c r="C20" s="191"/>
      <c r="D20" s="672"/>
      <c r="E20" s="1507" t="s">
        <v>474</v>
      </c>
      <c r="F20" s="1507"/>
      <c r="G20" s="1507"/>
      <c r="H20" s="190"/>
      <c r="I20" s="1133"/>
      <c r="J20" s="1134"/>
    </row>
    <row r="21" spans="1:13" ht="18">
      <c r="B21" s="174"/>
      <c r="C21" s="1135" t="s">
        <v>228</v>
      </c>
      <c r="D21" s="1136"/>
      <c r="E21" s="1505" t="s">
        <v>477</v>
      </c>
      <c r="F21" s="1505"/>
      <c r="G21" s="1505"/>
      <c r="H21" s="399"/>
      <c r="I21" s="1137">
        <v>0.25</v>
      </c>
      <c r="J21" s="1138">
        <f>IF(AND(NOT('A anrechb Kosten'!$I$19),L21),I21,0)</f>
        <v>0</v>
      </c>
      <c r="L21" s="81" t="b">
        <v>0</v>
      </c>
      <c r="M21" s="155"/>
    </row>
    <row r="22" spans="1:13" ht="16.5" customHeight="1">
      <c r="B22" s="189"/>
      <c r="C22" s="191"/>
      <c r="D22" s="673"/>
      <c r="E22" s="1507"/>
      <c r="F22" s="1507"/>
      <c r="G22" s="1507"/>
      <c r="H22" s="190"/>
      <c r="I22" s="1139"/>
      <c r="J22" s="1134"/>
    </row>
    <row r="23" spans="1:13" ht="18">
      <c r="B23" s="174"/>
      <c r="C23" s="1135" t="s">
        <v>229</v>
      </c>
      <c r="D23" s="1136"/>
      <c r="E23" s="1505" t="s">
        <v>478</v>
      </c>
      <c r="F23" s="1505"/>
      <c r="G23" s="1505"/>
      <c r="H23" s="399"/>
      <c r="I23" s="1137">
        <v>0.15</v>
      </c>
      <c r="J23" s="1138">
        <f>IF(AND(NOT('A anrechb Kosten'!$I$19),L23),I23,0)</f>
        <v>0</v>
      </c>
      <c r="L23" s="81" t="b">
        <v>0</v>
      </c>
    </row>
    <row r="24" spans="1:13" ht="16.5" customHeight="1">
      <c r="B24" s="173"/>
      <c r="C24" s="191"/>
      <c r="D24" s="673"/>
      <c r="E24" s="1507"/>
      <c r="F24" s="1507"/>
      <c r="G24" s="1507"/>
      <c r="H24" s="190"/>
      <c r="I24" s="1139"/>
      <c r="J24" s="1140"/>
    </row>
    <row r="25" spans="1:13">
      <c r="B25" s="406"/>
      <c r="C25" s="1141"/>
      <c r="D25" s="1142"/>
      <c r="E25" s="1527" t="s">
        <v>788</v>
      </c>
      <c r="F25" s="1527"/>
      <c r="G25" s="1527"/>
      <c r="H25" s="1528"/>
      <c r="I25" s="1133"/>
      <c r="J25" s="1134"/>
      <c r="L25" s="81" t="b">
        <v>0</v>
      </c>
    </row>
    <row r="26" spans="1:13" s="82" customFormat="1" ht="43.5" customHeight="1" thickBot="1">
      <c r="A26" s="518"/>
      <c r="B26" s="1078"/>
      <c r="C26" s="1079"/>
      <c r="D26" s="753"/>
      <c r="E26" s="1529" t="s">
        <v>789</v>
      </c>
      <c r="F26" s="1529"/>
      <c r="G26" s="1529"/>
      <c r="H26" s="1530"/>
      <c r="I26" s="1143"/>
      <c r="J26" s="1144"/>
      <c r="L26" s="83"/>
      <c r="M26" s="156"/>
    </row>
    <row r="27" spans="1:13" ht="22.5" customHeight="1" thickBot="1">
      <c r="B27" s="1514" t="s">
        <v>839</v>
      </c>
      <c r="C27" s="1515"/>
      <c r="D27" s="1515"/>
      <c r="E27" s="1515"/>
      <c r="F27" s="1515"/>
      <c r="G27" s="1515"/>
      <c r="H27" s="1516"/>
      <c r="I27" s="524">
        <f>IF(Projektgrundlagen!I22,SUM(I19:I24),0)</f>
        <v>0</v>
      </c>
      <c r="J27" s="525">
        <f>IF(Projektgrundlagen!I22,SUMIF(L19:L24,TRUE,J19:J24),0)</f>
        <v>0</v>
      </c>
      <c r="L27" s="352"/>
    </row>
    <row r="28" spans="1:13">
      <c r="B28" s="877"/>
      <c r="C28" s="878"/>
      <c r="D28" s="871"/>
      <c r="E28" s="871"/>
      <c r="F28" s="878"/>
      <c r="G28" s="871"/>
      <c r="H28" s="168"/>
      <c r="I28" s="873"/>
      <c r="J28" s="161"/>
    </row>
    <row r="29" spans="1:13" s="82" customFormat="1" ht="30" customHeight="1">
      <c r="A29" s="518"/>
      <c r="B29" s="1503" t="s">
        <v>134</v>
      </c>
      <c r="C29" s="1504"/>
      <c r="D29" s="1504"/>
      <c r="E29" s="1504"/>
      <c r="F29" s="1504"/>
      <c r="G29" s="1504"/>
      <c r="H29" s="1504"/>
      <c r="I29" s="521"/>
      <c r="J29" s="522"/>
      <c r="L29" s="83"/>
      <c r="M29" s="156"/>
    </row>
    <row r="30" spans="1:13" ht="18">
      <c r="B30" s="174"/>
      <c r="C30" s="1135" t="s">
        <v>225</v>
      </c>
      <c r="D30" s="1131"/>
      <c r="E30" s="1526" t="s">
        <v>479</v>
      </c>
      <c r="F30" s="1526"/>
      <c r="G30" s="1526"/>
      <c r="H30" s="399"/>
      <c r="I30" s="1132">
        <v>0.1</v>
      </c>
      <c r="J30" s="409">
        <f>IF(L30,I30,0)</f>
        <v>0</v>
      </c>
      <c r="L30" s="81" t="b">
        <v>0</v>
      </c>
      <c r="M30" s="156"/>
    </row>
    <row r="31" spans="1:13">
      <c r="B31" s="173"/>
      <c r="C31" s="191"/>
      <c r="D31" s="672"/>
      <c r="E31" s="1506"/>
      <c r="F31" s="1506"/>
      <c r="G31" s="1506"/>
      <c r="H31" s="190"/>
      <c r="I31" s="1133"/>
      <c r="J31" s="1134"/>
      <c r="M31" s="156"/>
    </row>
    <row r="32" spans="1:13" ht="18">
      <c r="B32" s="174"/>
      <c r="C32" s="1135" t="s">
        <v>228</v>
      </c>
      <c r="D32" s="1136"/>
      <c r="E32" s="1505" t="s">
        <v>481</v>
      </c>
      <c r="F32" s="1505"/>
      <c r="G32" s="1505"/>
      <c r="H32" s="399"/>
      <c r="I32" s="1137">
        <v>0.5</v>
      </c>
      <c r="J32" s="409">
        <f>IF(L32,I32,0)</f>
        <v>0</v>
      </c>
      <c r="L32" s="81" t="b">
        <v>0</v>
      </c>
      <c r="M32" s="156"/>
    </row>
    <row r="33" spans="2:14" ht="30" customHeight="1">
      <c r="B33" s="173"/>
      <c r="C33" s="191"/>
      <c r="D33" s="672"/>
      <c r="E33" s="1506" t="s">
        <v>480</v>
      </c>
      <c r="F33" s="1506"/>
      <c r="G33" s="1506"/>
      <c r="H33" s="190"/>
      <c r="I33" s="1133"/>
      <c r="J33" s="1134"/>
      <c r="M33" s="156"/>
      <c r="N33" s="153"/>
    </row>
    <row r="34" spans="2:14" ht="18">
      <c r="B34" s="174"/>
      <c r="C34" s="1135" t="s">
        <v>229</v>
      </c>
      <c r="D34" s="1136"/>
      <c r="E34" s="1505" t="s">
        <v>482</v>
      </c>
      <c r="F34" s="1505"/>
      <c r="G34" s="1505"/>
      <c r="H34" s="399"/>
      <c r="I34" s="1137">
        <v>8</v>
      </c>
      <c r="J34" s="409">
        <f>IF(L34,I34,0)</f>
        <v>0</v>
      </c>
      <c r="L34" s="81" t="b">
        <v>0</v>
      </c>
      <c r="M34" s="156"/>
      <c r="N34" s="153"/>
    </row>
    <row r="35" spans="2:14" ht="70.5" customHeight="1">
      <c r="B35" s="173"/>
      <c r="C35" s="191"/>
      <c r="D35" s="672"/>
      <c r="E35" s="1506" t="s">
        <v>483</v>
      </c>
      <c r="F35" s="1506"/>
      <c r="G35" s="1506"/>
      <c r="H35" s="190"/>
      <c r="I35" s="1133"/>
      <c r="J35" s="1134"/>
      <c r="M35" s="156"/>
      <c r="N35" s="153"/>
    </row>
    <row r="36" spans="2:14" ht="18">
      <c r="B36" s="174"/>
      <c r="C36" s="1135" t="s">
        <v>230</v>
      </c>
      <c r="D36" s="1136"/>
      <c r="E36" s="1505" t="s">
        <v>484</v>
      </c>
      <c r="F36" s="1505"/>
      <c r="G36" s="1505"/>
      <c r="H36" s="399"/>
      <c r="I36" s="1137">
        <v>0.5</v>
      </c>
      <c r="J36" s="409">
        <f>IF(L36,I36,0)</f>
        <v>0</v>
      </c>
      <c r="L36" s="81" t="b">
        <v>0</v>
      </c>
      <c r="M36" s="156"/>
    </row>
    <row r="37" spans="2:14" ht="16.5" customHeight="1">
      <c r="B37" s="173"/>
      <c r="C37" s="191"/>
      <c r="D37" s="672"/>
      <c r="E37" s="1506" t="s">
        <v>485</v>
      </c>
      <c r="F37" s="1506"/>
      <c r="G37" s="1506"/>
      <c r="H37" s="190"/>
      <c r="I37" s="1133"/>
      <c r="J37" s="1134"/>
      <c r="M37" s="156"/>
    </row>
    <row r="38" spans="2:14" ht="18">
      <c r="B38" s="174"/>
      <c r="C38" s="1135" t="s">
        <v>231</v>
      </c>
      <c r="D38" s="1136"/>
      <c r="E38" s="1505" t="s">
        <v>486</v>
      </c>
      <c r="F38" s="1505"/>
      <c r="G38" s="1505"/>
      <c r="H38" s="399"/>
      <c r="I38" s="1137">
        <v>0.65</v>
      </c>
      <c r="J38" s="409">
        <f>IF(L38,I38,0)</f>
        <v>0</v>
      </c>
      <c r="L38" s="81" t="b">
        <v>0</v>
      </c>
      <c r="M38" s="156"/>
    </row>
    <row r="39" spans="2:14">
      <c r="B39" s="173"/>
      <c r="C39" s="191"/>
      <c r="D39" s="672"/>
      <c r="E39" s="1506"/>
      <c r="F39" s="1506"/>
      <c r="G39" s="1506"/>
      <c r="H39" s="190"/>
      <c r="I39" s="1133"/>
      <c r="J39" s="1134"/>
      <c r="M39" s="156"/>
      <c r="N39" s="153"/>
    </row>
    <row r="40" spans="2:14" ht="18">
      <c r="B40" s="174"/>
      <c r="C40" s="1135" t="s">
        <v>232</v>
      </c>
      <c r="D40" s="1136"/>
      <c r="E40" s="1505" t="s">
        <v>487</v>
      </c>
      <c r="F40" s="1505"/>
      <c r="G40" s="1505"/>
      <c r="H40" s="399"/>
      <c r="I40" s="1137">
        <v>0.25</v>
      </c>
      <c r="J40" s="409">
        <f>IF(L40,I40,0)</f>
        <v>0</v>
      </c>
      <c r="L40" s="81" t="b">
        <v>0</v>
      </c>
      <c r="M40" s="156"/>
    </row>
    <row r="41" spans="2:14" ht="43.5" customHeight="1" thickBot="1">
      <c r="B41" s="173"/>
      <c r="C41" s="191"/>
      <c r="D41" s="672"/>
      <c r="E41" s="1506" t="s">
        <v>488</v>
      </c>
      <c r="F41" s="1506"/>
      <c r="G41" s="1506"/>
      <c r="H41" s="190"/>
      <c r="I41" s="1133"/>
      <c r="J41" s="1134"/>
      <c r="M41" s="156"/>
      <c r="N41" s="153"/>
    </row>
    <row r="42" spans="2:14" ht="22.5" customHeight="1" thickBot="1">
      <c r="B42" s="1514" t="s">
        <v>545</v>
      </c>
      <c r="C42" s="1515"/>
      <c r="D42" s="1515"/>
      <c r="E42" s="1515"/>
      <c r="F42" s="1515"/>
      <c r="G42" s="1515"/>
      <c r="H42" s="1516"/>
      <c r="I42" s="524">
        <f>IF(Projektgrundlagen!I22,SUM(I30:I41),0)</f>
        <v>0</v>
      </c>
      <c r="J42" s="525">
        <f>IF(Projektgrundlagen!I22,SUMIF(L30:L41,TRUE,J30:J41),0)</f>
        <v>0</v>
      </c>
      <c r="M42" s="156"/>
    </row>
    <row r="43" spans="2:14">
      <c r="B43" s="877"/>
      <c r="C43" s="878"/>
      <c r="D43" s="865"/>
      <c r="E43" s="865"/>
      <c r="F43" s="870"/>
      <c r="G43" s="871"/>
      <c r="H43" s="168"/>
      <c r="I43" s="872"/>
      <c r="J43" s="161"/>
      <c r="M43" s="156"/>
    </row>
    <row r="44" spans="2:14" ht="30" customHeight="1">
      <c r="B44" s="1503" t="s">
        <v>133</v>
      </c>
      <c r="C44" s="1504"/>
      <c r="D44" s="1504"/>
      <c r="E44" s="1504"/>
      <c r="F44" s="1504"/>
      <c r="G44" s="1504"/>
      <c r="H44" s="1504"/>
      <c r="I44" s="521"/>
      <c r="J44" s="522"/>
      <c r="M44" s="156"/>
    </row>
    <row r="45" spans="2:14" ht="18">
      <c r="B45" s="174"/>
      <c r="C45" s="1135" t="s">
        <v>225</v>
      </c>
      <c r="D45" s="1131"/>
      <c r="E45" s="1526" t="s">
        <v>490</v>
      </c>
      <c r="F45" s="1526"/>
      <c r="G45" s="1526"/>
      <c r="H45" s="399"/>
      <c r="I45" s="1132">
        <v>8.5</v>
      </c>
      <c r="J45" s="409">
        <f>IF(L45,I45,0)</f>
        <v>0</v>
      </c>
      <c r="L45" s="81" t="b">
        <v>0</v>
      </c>
      <c r="M45" s="156"/>
    </row>
    <row r="46" spans="2:14" ht="30" customHeight="1">
      <c r="B46" s="189"/>
      <c r="C46" s="191"/>
      <c r="D46" s="672"/>
      <c r="E46" s="1507" t="s">
        <v>491</v>
      </c>
      <c r="F46" s="1507"/>
      <c r="G46" s="1507"/>
      <c r="H46" s="190"/>
      <c r="I46" s="1139"/>
      <c r="J46" s="1140"/>
      <c r="M46" s="156"/>
    </row>
    <row r="47" spans="2:14" ht="18">
      <c r="B47" s="174"/>
      <c r="C47" s="1135" t="s">
        <v>228</v>
      </c>
      <c r="D47" s="1136"/>
      <c r="E47" s="1505" t="s">
        <v>492</v>
      </c>
      <c r="F47" s="1505"/>
      <c r="G47" s="1505"/>
      <c r="H47" s="399"/>
      <c r="I47" s="1137">
        <v>1.5</v>
      </c>
      <c r="J47" s="409">
        <f>IF(L47,I47,0)</f>
        <v>0</v>
      </c>
      <c r="L47" s="81" t="b">
        <v>0</v>
      </c>
      <c r="M47" s="156"/>
    </row>
    <row r="48" spans="2:14">
      <c r="B48" s="189"/>
      <c r="C48" s="191"/>
      <c r="D48" s="672"/>
      <c r="E48" s="1507"/>
      <c r="F48" s="1507"/>
      <c r="G48" s="1507"/>
      <c r="H48" s="190"/>
      <c r="I48" s="1139"/>
      <c r="J48" s="1140"/>
      <c r="M48" s="156"/>
    </row>
    <row r="49" spans="2:13" ht="18">
      <c r="B49" s="174"/>
      <c r="C49" s="1135" t="s">
        <v>229</v>
      </c>
      <c r="D49" s="1136"/>
      <c r="E49" s="1505" t="s">
        <v>493</v>
      </c>
      <c r="F49" s="1505"/>
      <c r="G49" s="1505"/>
      <c r="H49" s="399"/>
      <c r="I49" s="1137">
        <v>2.25</v>
      </c>
      <c r="J49" s="409">
        <f>IF(L49,I49,0)</f>
        <v>0</v>
      </c>
      <c r="L49" s="81" t="b">
        <v>0</v>
      </c>
      <c r="M49" s="156"/>
    </row>
    <row r="50" spans="2:13" ht="43.5" customHeight="1">
      <c r="B50" s="189"/>
      <c r="C50" s="191"/>
      <c r="D50" s="672"/>
      <c r="E50" s="1507" t="s">
        <v>494</v>
      </c>
      <c r="F50" s="1507"/>
      <c r="G50" s="1507"/>
      <c r="H50" s="190"/>
      <c r="I50" s="1139"/>
      <c r="J50" s="1140"/>
      <c r="M50" s="156"/>
    </row>
    <row r="51" spans="2:13" ht="18">
      <c r="B51" s="174"/>
      <c r="C51" s="1135" t="s">
        <v>230</v>
      </c>
      <c r="D51" s="1136"/>
      <c r="E51" s="1505" t="s">
        <v>495</v>
      </c>
      <c r="F51" s="1505"/>
      <c r="G51" s="1505"/>
      <c r="H51" s="399"/>
      <c r="I51" s="1137">
        <v>1</v>
      </c>
      <c r="J51" s="409">
        <f>IF(L51,I51,0)</f>
        <v>0</v>
      </c>
      <c r="L51" s="81" t="b">
        <v>0</v>
      </c>
      <c r="M51" s="156"/>
    </row>
    <row r="52" spans="2:13">
      <c r="B52" s="173"/>
      <c r="C52" s="191"/>
      <c r="D52" s="672"/>
      <c r="E52" s="1506" t="s">
        <v>496</v>
      </c>
      <c r="F52" s="1506"/>
      <c r="G52" s="1506"/>
      <c r="H52" s="190"/>
      <c r="I52" s="1133"/>
      <c r="J52" s="1134"/>
      <c r="M52" s="156"/>
    </row>
    <row r="53" spans="2:13" ht="18">
      <c r="B53" s="174"/>
      <c r="C53" s="1135" t="s">
        <v>231</v>
      </c>
      <c r="D53" s="1136"/>
      <c r="E53" s="1505" t="s">
        <v>497</v>
      </c>
      <c r="F53" s="1505"/>
      <c r="G53" s="1505"/>
      <c r="H53" s="399"/>
      <c r="I53" s="1137">
        <v>0.5</v>
      </c>
      <c r="J53" s="409">
        <f>IF(L53,I53,0)</f>
        <v>0</v>
      </c>
      <c r="L53" s="81" t="b">
        <v>0</v>
      </c>
      <c r="M53" s="156"/>
    </row>
    <row r="54" spans="2:13">
      <c r="B54" s="173"/>
      <c r="C54" s="191"/>
      <c r="D54" s="672"/>
      <c r="E54" s="1506" t="s">
        <v>498</v>
      </c>
      <c r="F54" s="1506"/>
      <c r="G54" s="1506"/>
      <c r="H54" s="190"/>
      <c r="I54" s="1133"/>
      <c r="J54" s="1134"/>
      <c r="M54" s="156"/>
    </row>
    <row r="55" spans="2:13" ht="18">
      <c r="B55" s="174"/>
      <c r="C55" s="1135" t="s">
        <v>232</v>
      </c>
      <c r="D55" s="1136"/>
      <c r="E55" s="1505" t="s">
        <v>499</v>
      </c>
      <c r="F55" s="1505"/>
      <c r="G55" s="1505"/>
      <c r="H55" s="399"/>
      <c r="I55" s="1137">
        <v>0.25</v>
      </c>
      <c r="J55" s="409">
        <f>IF(L55,I55,0)</f>
        <v>0</v>
      </c>
      <c r="L55" s="81" t="b">
        <v>0</v>
      </c>
      <c r="M55" s="156"/>
    </row>
    <row r="56" spans="2:13" ht="16.5" customHeight="1">
      <c r="B56" s="189"/>
      <c r="C56" s="191"/>
      <c r="D56" s="672"/>
      <c r="E56" s="1507" t="s">
        <v>500</v>
      </c>
      <c r="F56" s="1507"/>
      <c r="G56" s="1507"/>
      <c r="H56" s="190"/>
      <c r="I56" s="1139"/>
      <c r="J56" s="1140"/>
      <c r="M56" s="156"/>
    </row>
    <row r="57" spans="2:13" ht="18">
      <c r="B57" s="174"/>
      <c r="C57" s="1135" t="s">
        <v>233</v>
      </c>
      <c r="D57" s="1136"/>
      <c r="E57" s="1505" t="s">
        <v>501</v>
      </c>
      <c r="F57" s="1505"/>
      <c r="G57" s="1505"/>
      <c r="H57" s="399"/>
      <c r="I57" s="1137">
        <v>0.5</v>
      </c>
      <c r="J57" s="409">
        <f>IF(L57,I57,0)</f>
        <v>0</v>
      </c>
      <c r="L57" s="81" t="b">
        <v>0</v>
      </c>
      <c r="M57" s="156"/>
    </row>
    <row r="58" spans="2:13">
      <c r="B58" s="189"/>
      <c r="C58" s="191"/>
      <c r="D58" s="672"/>
      <c r="E58" s="1507" t="s">
        <v>502</v>
      </c>
      <c r="F58" s="1507"/>
      <c r="G58" s="1507"/>
      <c r="H58" s="190"/>
      <c r="I58" s="1139"/>
      <c r="J58" s="1140"/>
      <c r="M58" s="156"/>
    </row>
    <row r="59" spans="2:13" ht="18">
      <c r="B59" s="174"/>
      <c r="C59" s="1135" t="s">
        <v>234</v>
      </c>
      <c r="D59" s="1136"/>
      <c r="E59" s="1505" t="s">
        <v>503</v>
      </c>
      <c r="F59" s="1505"/>
      <c r="G59" s="1505"/>
      <c r="H59" s="399"/>
      <c r="I59" s="1137">
        <v>0.25</v>
      </c>
      <c r="J59" s="409">
        <f>IF(L59,I59,0)</f>
        <v>0</v>
      </c>
      <c r="L59" s="81" t="b">
        <v>0</v>
      </c>
      <c r="M59" s="156"/>
    </row>
    <row r="60" spans="2:13">
      <c r="B60" s="189"/>
      <c r="C60" s="191"/>
      <c r="D60" s="672"/>
      <c r="E60" s="1507" t="s">
        <v>504</v>
      </c>
      <c r="F60" s="1507"/>
      <c r="G60" s="1507"/>
      <c r="H60" s="190"/>
      <c r="I60" s="1139"/>
      <c r="J60" s="1140"/>
      <c r="M60" s="156"/>
    </row>
    <row r="61" spans="2:13" ht="18">
      <c r="B61" s="174"/>
      <c r="C61" s="1135" t="s">
        <v>235</v>
      </c>
      <c r="D61" s="1136"/>
      <c r="E61" s="1505" t="s">
        <v>401</v>
      </c>
      <c r="F61" s="1505"/>
      <c r="G61" s="1505"/>
      <c r="H61" s="399"/>
      <c r="I61" s="1137">
        <v>0.25</v>
      </c>
      <c r="J61" s="409">
        <f>IF(L61,I61,0)</f>
        <v>0</v>
      </c>
      <c r="L61" s="81" t="b">
        <v>0</v>
      </c>
      <c r="M61" s="156"/>
    </row>
    <row r="62" spans="2:13" ht="43.5" customHeight="1" thickBot="1">
      <c r="B62" s="189"/>
      <c r="C62" s="191"/>
      <c r="D62" s="672"/>
      <c r="E62" s="1507" t="s">
        <v>826</v>
      </c>
      <c r="F62" s="1507"/>
      <c r="G62" s="1507"/>
      <c r="H62" s="190"/>
      <c r="I62" s="1139"/>
      <c r="J62" s="1140"/>
      <c r="M62" s="156"/>
    </row>
    <row r="63" spans="2:13" ht="22.5" customHeight="1" thickBot="1">
      <c r="B63" s="1514" t="s">
        <v>489</v>
      </c>
      <c r="C63" s="1515"/>
      <c r="D63" s="1515"/>
      <c r="E63" s="1515"/>
      <c r="F63" s="1515"/>
      <c r="G63" s="1515"/>
      <c r="H63" s="1516"/>
      <c r="I63" s="524">
        <f>IF(Projektgrundlagen!I22,SUM(I45:I62),0)</f>
        <v>0</v>
      </c>
      <c r="J63" s="525">
        <f>IF(Projektgrundlagen!I22,SUMIF(L45:L62,TRUE,J45:J62),0)</f>
        <v>0</v>
      </c>
      <c r="M63" s="156"/>
    </row>
    <row r="64" spans="2:13">
      <c r="B64" s="877"/>
      <c r="C64" s="878"/>
      <c r="D64" s="871"/>
      <c r="E64" s="871"/>
      <c r="F64" s="871"/>
      <c r="G64" s="871"/>
      <c r="H64" s="168"/>
      <c r="I64" s="873"/>
      <c r="J64" s="161"/>
      <c r="M64" s="156"/>
    </row>
    <row r="65" spans="2:13" ht="30" customHeight="1">
      <c r="B65" s="1503" t="s">
        <v>375</v>
      </c>
      <c r="C65" s="1504"/>
      <c r="D65" s="1504"/>
      <c r="E65" s="1504"/>
      <c r="F65" s="1504"/>
      <c r="G65" s="1504"/>
      <c r="H65" s="1504"/>
      <c r="I65" s="521"/>
      <c r="J65" s="522"/>
      <c r="M65" s="156"/>
    </row>
    <row r="66" spans="2:13" ht="18">
      <c r="B66" s="174"/>
      <c r="C66" s="1135" t="s">
        <v>225</v>
      </c>
      <c r="D66" s="1131"/>
      <c r="E66" s="1526" t="s">
        <v>506</v>
      </c>
      <c r="F66" s="1526"/>
      <c r="G66" s="1526"/>
      <c r="H66" s="399"/>
      <c r="I66" s="1132">
        <v>21</v>
      </c>
      <c r="J66" s="409">
        <f>IF(L66,I66,0)</f>
        <v>0</v>
      </c>
      <c r="L66" s="81" t="b">
        <v>0</v>
      </c>
      <c r="M66" s="156"/>
    </row>
    <row r="67" spans="2:13" ht="30" customHeight="1">
      <c r="B67" s="189"/>
      <c r="C67" s="191"/>
      <c r="D67" s="672"/>
      <c r="E67" s="1507" t="s">
        <v>507</v>
      </c>
      <c r="F67" s="1507"/>
      <c r="G67" s="1507"/>
      <c r="H67" s="190"/>
      <c r="I67" s="1139"/>
      <c r="J67" s="1140"/>
    </row>
    <row r="68" spans="2:13" ht="18">
      <c r="B68" s="174"/>
      <c r="C68" s="1135" t="s">
        <v>228</v>
      </c>
      <c r="D68" s="1136"/>
      <c r="E68" s="1505" t="s">
        <v>508</v>
      </c>
      <c r="F68" s="1505"/>
      <c r="G68" s="1505"/>
      <c r="H68" s="399"/>
      <c r="I68" s="1137">
        <v>1</v>
      </c>
      <c r="J68" s="409">
        <f>IF(L68,I68,0)</f>
        <v>0</v>
      </c>
      <c r="L68" s="81" t="b">
        <v>0</v>
      </c>
    </row>
    <row r="69" spans="2:13">
      <c r="B69" s="173"/>
      <c r="C69" s="191"/>
      <c r="D69" s="672"/>
      <c r="E69" s="1506"/>
      <c r="F69" s="1506"/>
      <c r="G69" s="1506"/>
      <c r="H69" s="190"/>
      <c r="I69" s="1133"/>
      <c r="J69" s="1134"/>
    </row>
    <row r="70" spans="2:13" ht="18">
      <c r="B70" s="174"/>
      <c r="C70" s="1135" t="s">
        <v>229</v>
      </c>
      <c r="D70" s="1136"/>
      <c r="E70" s="1505" t="s">
        <v>510</v>
      </c>
      <c r="F70" s="1505"/>
      <c r="G70" s="1505"/>
      <c r="H70" s="399"/>
      <c r="I70" s="1137">
        <v>7</v>
      </c>
      <c r="J70" s="409">
        <f>IF(L70,I70,0)</f>
        <v>0</v>
      </c>
      <c r="L70" s="81" t="b">
        <v>0</v>
      </c>
    </row>
    <row r="71" spans="2:13" ht="43.5" customHeight="1">
      <c r="B71" s="189"/>
      <c r="C71" s="191"/>
      <c r="D71" s="672"/>
      <c r="E71" s="1506" t="s">
        <v>509</v>
      </c>
      <c r="F71" s="1506"/>
      <c r="G71" s="1506"/>
      <c r="H71" s="190"/>
      <c r="I71" s="1133"/>
      <c r="J71" s="1134"/>
    </row>
    <row r="72" spans="2:13" ht="18">
      <c r="B72" s="174"/>
      <c r="C72" s="1135" t="s">
        <v>230</v>
      </c>
      <c r="D72" s="1136"/>
      <c r="E72" s="1505" t="s">
        <v>512</v>
      </c>
      <c r="F72" s="1505"/>
      <c r="G72" s="1505"/>
      <c r="H72" s="399"/>
      <c r="I72" s="1137">
        <v>0.25</v>
      </c>
      <c r="J72" s="409">
        <f>IF(L72,I72,0)</f>
        <v>0</v>
      </c>
      <c r="L72" s="81" t="b">
        <v>0</v>
      </c>
    </row>
    <row r="73" spans="2:13">
      <c r="B73" s="173"/>
      <c r="C73" s="191"/>
      <c r="D73" s="672"/>
      <c r="E73" s="1506" t="s">
        <v>825</v>
      </c>
      <c r="F73" s="1506"/>
      <c r="G73" s="1506"/>
      <c r="H73" s="190"/>
      <c r="I73" s="1133"/>
      <c r="J73" s="1134"/>
    </row>
    <row r="74" spans="2:13">
      <c r="B74" s="1071"/>
      <c r="C74" s="191"/>
      <c r="D74" s="672"/>
      <c r="E74" s="1512" t="s">
        <v>824</v>
      </c>
      <c r="F74" s="1512"/>
      <c r="G74" s="1512"/>
      <c r="H74" s="190"/>
      <c r="I74" s="1139"/>
      <c r="J74" s="1140"/>
    </row>
    <row r="75" spans="2:13" ht="18">
      <c r="B75" s="174"/>
      <c r="C75" s="1135" t="s">
        <v>231</v>
      </c>
      <c r="D75" s="1136"/>
      <c r="E75" s="1505" t="s">
        <v>513</v>
      </c>
      <c r="F75" s="1505"/>
      <c r="G75" s="1505"/>
      <c r="H75" s="399"/>
      <c r="I75" s="1137">
        <v>0.5</v>
      </c>
      <c r="J75" s="409">
        <f>IF(L75,I75,0)</f>
        <v>0</v>
      </c>
      <c r="L75" s="81" t="b">
        <v>0</v>
      </c>
    </row>
    <row r="76" spans="2:13" ht="16.5" customHeight="1">
      <c r="B76" s="173"/>
      <c r="C76" s="191"/>
      <c r="D76" s="672"/>
      <c r="E76" s="1506" t="s">
        <v>514</v>
      </c>
      <c r="F76" s="1506"/>
      <c r="G76" s="1506"/>
      <c r="H76" s="190"/>
      <c r="I76" s="1133"/>
      <c r="J76" s="1134"/>
    </row>
    <row r="77" spans="2:13" ht="18">
      <c r="B77" s="174"/>
      <c r="C77" s="1135" t="s">
        <v>232</v>
      </c>
      <c r="D77" s="1136"/>
      <c r="E77" s="1505" t="s">
        <v>515</v>
      </c>
      <c r="F77" s="1505"/>
      <c r="G77" s="1505"/>
      <c r="H77" s="399"/>
      <c r="I77" s="1137">
        <v>0.25</v>
      </c>
      <c r="J77" s="409">
        <f>IF(L77,I77,0)</f>
        <v>0</v>
      </c>
      <c r="L77" s="81" t="b">
        <v>0</v>
      </c>
    </row>
    <row r="78" spans="2:13" ht="16.5" customHeight="1" thickBot="1">
      <c r="B78" s="173"/>
      <c r="C78" s="191"/>
      <c r="D78" s="672"/>
      <c r="E78" s="1506" t="s">
        <v>516</v>
      </c>
      <c r="F78" s="1506"/>
      <c r="G78" s="1506"/>
      <c r="H78" s="190"/>
      <c r="I78" s="757"/>
      <c r="J78" s="259"/>
    </row>
    <row r="79" spans="2:13" ht="22.5" customHeight="1" thickBot="1">
      <c r="B79" s="1514" t="s">
        <v>505</v>
      </c>
      <c r="C79" s="1515"/>
      <c r="D79" s="1515"/>
      <c r="E79" s="1515"/>
      <c r="F79" s="1515"/>
      <c r="G79" s="1515"/>
      <c r="H79" s="1516"/>
      <c r="I79" s="524">
        <f>IF(Projektgrundlagen!I22,SUM(I66:I78),0)</f>
        <v>0</v>
      </c>
      <c r="J79" s="525">
        <f>IF(Projektgrundlagen!I22,SUMIF(L66:L78,TRUE,J66:J78),0)</f>
        <v>0</v>
      </c>
    </row>
    <row r="80" spans="2:13">
      <c r="B80" s="877"/>
      <c r="C80" s="878"/>
      <c r="D80" s="874"/>
      <c r="E80" s="874"/>
      <c r="F80" s="874"/>
      <c r="G80" s="874"/>
      <c r="H80" s="875"/>
      <c r="I80" s="873"/>
      <c r="J80" s="161"/>
    </row>
    <row r="81" spans="2:19" ht="30" customHeight="1">
      <c r="B81" s="1503" t="s">
        <v>135</v>
      </c>
      <c r="C81" s="1504"/>
      <c r="D81" s="1504"/>
      <c r="E81" s="1504"/>
      <c r="F81" s="1504"/>
      <c r="G81" s="1504"/>
      <c r="H81" s="1504"/>
      <c r="I81" s="527"/>
      <c r="J81" s="528"/>
      <c r="R81" s="1120"/>
      <c r="S81" s="1121"/>
    </row>
    <row r="82" spans="2:19" ht="18">
      <c r="B82" s="174"/>
      <c r="C82" s="1135" t="s">
        <v>225</v>
      </c>
      <c r="D82" s="1131"/>
      <c r="E82" s="1526" t="s">
        <v>517</v>
      </c>
      <c r="F82" s="1526"/>
      <c r="G82" s="1526"/>
      <c r="H82" s="399"/>
      <c r="I82" s="1132">
        <v>9</v>
      </c>
      <c r="J82" s="409">
        <f>IF(L82,IF(AND(L13,'B HZone'!K12,'B HZone'!I13&gt;=3,'B HZone'!I13&lt;=5),12,I82),0)</f>
        <v>0</v>
      </c>
      <c r="L82" s="81" t="b">
        <v>0</v>
      </c>
      <c r="N82" s="1089"/>
      <c r="Q82" s="1120"/>
      <c r="R82" s="1118"/>
    </row>
    <row r="83" spans="2:19">
      <c r="B83" s="173"/>
      <c r="C83" s="191"/>
      <c r="D83" s="672"/>
      <c r="E83" s="1506" t="s">
        <v>809</v>
      </c>
      <c r="F83" s="1506"/>
      <c r="G83" s="1506"/>
      <c r="H83" s="190"/>
      <c r="I83" s="1133"/>
      <c r="J83" s="1134"/>
    </row>
    <row r="84" spans="2:19" ht="27.75" customHeight="1">
      <c r="B84" s="192"/>
      <c r="C84" s="397"/>
      <c r="D84" s="1082"/>
      <c r="E84" s="1501" t="s">
        <v>832</v>
      </c>
      <c r="F84" s="1501"/>
      <c r="G84" s="1501"/>
      <c r="H84" s="1502"/>
      <c r="I84" s="1145"/>
      <c r="J84" s="1146"/>
    </row>
    <row r="85" spans="2:19" ht="18">
      <c r="B85" s="174"/>
      <c r="C85" s="1135" t="s">
        <v>228</v>
      </c>
      <c r="D85" s="1136"/>
      <c r="E85" s="1505" t="s">
        <v>518</v>
      </c>
      <c r="F85" s="1505"/>
      <c r="G85" s="1505"/>
      <c r="H85" s="399"/>
      <c r="I85" s="1137">
        <v>10</v>
      </c>
      <c r="J85" s="409">
        <f>IF(AND(L13,M13),0,IF(L85,(IF(OR(L82,L88,L91,L94),I85,20)),0))</f>
        <v>0</v>
      </c>
      <c r="L85" s="81" t="b">
        <v>0</v>
      </c>
    </row>
    <row r="86" spans="2:19">
      <c r="B86" s="173"/>
      <c r="C86" s="191"/>
      <c r="D86" s="672"/>
      <c r="E86" s="1506" t="s">
        <v>810</v>
      </c>
      <c r="F86" s="1506"/>
      <c r="G86" s="1506"/>
      <c r="H86" s="190"/>
      <c r="I86" s="1133"/>
      <c r="J86" s="1134"/>
    </row>
    <row r="87" spans="2:19" ht="27.75" customHeight="1">
      <c r="B87" s="192"/>
      <c r="C87" s="397"/>
      <c r="D87" s="1082"/>
      <c r="E87" s="1501" t="s">
        <v>838</v>
      </c>
      <c r="F87" s="1501"/>
      <c r="G87" s="1501"/>
      <c r="H87" s="1502"/>
      <c r="I87" s="1145"/>
      <c r="J87" s="1146"/>
    </row>
    <row r="88" spans="2:19" ht="18">
      <c r="B88" s="174"/>
      <c r="C88" s="1135" t="s">
        <v>229</v>
      </c>
      <c r="D88" s="1136"/>
      <c r="E88" s="1505" t="s">
        <v>519</v>
      </c>
      <c r="F88" s="1505"/>
      <c r="G88" s="1505"/>
      <c r="H88" s="399"/>
      <c r="I88" s="1137">
        <v>18</v>
      </c>
      <c r="J88" s="409">
        <f>IF(L88,IF(AND(L13,L15),I88,IF(AND(L13,'B HZone'!K12,'B HZone'!I13&gt;=3,'B HZone'!I13&lt;=5),23.5,IF(L15,21,I88))),0)</f>
        <v>0</v>
      </c>
      <c r="L88" s="81" t="b">
        <v>0</v>
      </c>
      <c r="N88" s="1089"/>
      <c r="R88" s="1119"/>
    </row>
    <row r="89" spans="2:19" ht="30" customHeight="1">
      <c r="B89" s="173"/>
      <c r="C89" s="191"/>
      <c r="D89" s="672"/>
      <c r="E89" s="1506" t="s">
        <v>811</v>
      </c>
      <c r="F89" s="1506"/>
      <c r="G89" s="1506"/>
      <c r="H89" s="190"/>
      <c r="I89" s="1133"/>
      <c r="J89" s="1134"/>
      <c r="R89" s="1119"/>
      <c r="S89" s="1119"/>
    </row>
    <row r="90" spans="2:19" ht="50.1" customHeight="1">
      <c r="B90" s="192"/>
      <c r="C90" s="397"/>
      <c r="D90" s="1082"/>
      <c r="E90" s="1501" t="s">
        <v>836</v>
      </c>
      <c r="F90" s="1501"/>
      <c r="G90" s="1501"/>
      <c r="H90" s="1502"/>
      <c r="I90" s="1145"/>
      <c r="J90" s="1146"/>
      <c r="N90" s="84"/>
      <c r="S90" s="1122"/>
    </row>
    <row r="91" spans="2:19" ht="18">
      <c r="B91" s="174"/>
      <c r="C91" s="1135" t="s">
        <v>230</v>
      </c>
      <c r="D91" s="1136"/>
      <c r="E91" s="1505" t="s">
        <v>520</v>
      </c>
      <c r="F91" s="1505"/>
      <c r="G91" s="1505"/>
      <c r="H91" s="399"/>
      <c r="I91" s="1137">
        <v>2.5</v>
      </c>
      <c r="J91" s="409">
        <f>IF(L91,IF(AND(L13,L15),I91,IF(AND(L13,'B HZone'!K12,'B HZone'!I13&gt;=3,'B HZone'!I13&lt;=5),3.5,IF(L15,3.5,I91))),0)</f>
        <v>0</v>
      </c>
      <c r="L91" s="81" t="b">
        <v>0</v>
      </c>
      <c r="N91" s="1089"/>
      <c r="S91" s="1119"/>
    </row>
    <row r="92" spans="2:19" ht="16.5" customHeight="1">
      <c r="B92" s="173"/>
      <c r="C92" s="191"/>
      <c r="D92" s="672"/>
      <c r="E92" s="1506" t="s">
        <v>812</v>
      </c>
      <c r="F92" s="1506"/>
      <c r="G92" s="1506"/>
      <c r="H92" s="190"/>
      <c r="I92" s="1133"/>
      <c r="J92" s="1134"/>
      <c r="R92" s="1119"/>
      <c r="S92" s="1119"/>
    </row>
    <row r="93" spans="2:19" ht="50.1" customHeight="1">
      <c r="B93" s="1071"/>
      <c r="C93" s="397"/>
      <c r="D93" s="1082"/>
      <c r="E93" s="1501" t="s">
        <v>837</v>
      </c>
      <c r="F93" s="1501"/>
      <c r="G93" s="1501"/>
      <c r="H93" s="1502"/>
      <c r="I93" s="1145"/>
      <c r="J93" s="1146"/>
      <c r="N93" s="84"/>
      <c r="S93" s="1122"/>
    </row>
    <row r="94" spans="2:19" ht="18">
      <c r="B94" s="174"/>
      <c r="C94" s="1135" t="s">
        <v>231</v>
      </c>
      <c r="D94" s="1136"/>
      <c r="E94" s="1505" t="s">
        <v>521</v>
      </c>
      <c r="F94" s="1505"/>
      <c r="G94" s="1505"/>
      <c r="H94" s="399"/>
      <c r="I94" s="1137">
        <v>0.5</v>
      </c>
      <c r="J94" s="409">
        <f>IF(L94,IF(AND(L13,L15),I94,IF(AND(L13,'B HZone'!K12,'B HZone'!I13&gt;=3,'B HZone'!I13&lt;=5),1,I94)),0)</f>
        <v>0</v>
      </c>
      <c r="L94" s="81" t="b">
        <v>0</v>
      </c>
      <c r="N94" s="1089"/>
    </row>
    <row r="95" spans="2:19" ht="16.5" customHeight="1">
      <c r="B95" s="173"/>
      <c r="C95" s="191"/>
      <c r="D95" s="672"/>
      <c r="E95" s="1506" t="s">
        <v>815</v>
      </c>
      <c r="F95" s="1506"/>
      <c r="G95" s="1506"/>
      <c r="H95" s="190"/>
      <c r="I95" s="1133"/>
      <c r="J95" s="1134"/>
      <c r="R95" s="1119"/>
    </row>
    <row r="96" spans="2:19" ht="27.75" customHeight="1" thickBot="1">
      <c r="B96" s="1071"/>
      <c r="C96" s="397"/>
      <c r="D96" s="1082"/>
      <c r="E96" s="1501" t="s">
        <v>831</v>
      </c>
      <c r="F96" s="1501"/>
      <c r="G96" s="1501"/>
      <c r="H96" s="1502"/>
      <c r="I96" s="1145"/>
      <c r="J96" s="1146"/>
    </row>
    <row r="97" spans="1:13" ht="22.5" customHeight="1" thickBot="1">
      <c r="B97" s="1514" t="s">
        <v>802</v>
      </c>
      <c r="C97" s="1515"/>
      <c r="D97" s="1515"/>
      <c r="E97" s="1515"/>
      <c r="F97" s="1515"/>
      <c r="G97" s="1515"/>
      <c r="H97" s="1516"/>
      <c r="I97" s="524">
        <f>IF(Projektgrundlagen!I22,SUM(I82:I96),0)</f>
        <v>0</v>
      </c>
      <c r="J97" s="525">
        <f>IF(Projektgrundlagen!I22,SUMIF(L82:L96,TRUE,J82:J96),0)</f>
        <v>0</v>
      </c>
    </row>
    <row r="98" spans="1:13">
      <c r="B98" s="877"/>
      <c r="C98" s="878"/>
      <c r="D98" s="874"/>
      <c r="E98" s="874"/>
      <c r="F98" s="874"/>
      <c r="G98" s="874"/>
      <c r="H98" s="875"/>
      <c r="I98" s="872"/>
      <c r="J98" s="161"/>
    </row>
    <row r="99" spans="1:13" s="85" customFormat="1" ht="30" customHeight="1">
      <c r="A99" s="520"/>
      <c r="B99" s="1503" t="s">
        <v>136</v>
      </c>
      <c r="C99" s="1504"/>
      <c r="D99" s="1504"/>
      <c r="E99" s="1504"/>
      <c r="F99" s="1504"/>
      <c r="G99" s="1504"/>
      <c r="H99" s="1504"/>
      <c r="I99" s="529"/>
      <c r="J99" s="530"/>
      <c r="L99" s="86"/>
      <c r="M99" s="157"/>
    </row>
    <row r="100" spans="1:13" ht="18">
      <c r="B100" s="174"/>
      <c r="C100" s="1135" t="s">
        <v>225</v>
      </c>
      <c r="D100" s="1131"/>
      <c r="E100" s="1526" t="s">
        <v>523</v>
      </c>
      <c r="F100" s="1526"/>
      <c r="G100" s="1526"/>
      <c r="H100" s="399"/>
      <c r="I100" s="1132">
        <v>1</v>
      </c>
      <c r="J100" s="409">
        <f>IF(L100,I100,0)</f>
        <v>0</v>
      </c>
      <c r="L100" s="81" t="b">
        <v>0</v>
      </c>
    </row>
    <row r="101" spans="1:13" ht="43.5" customHeight="1">
      <c r="B101" s="189"/>
      <c r="C101" s="191"/>
      <c r="D101" s="672"/>
      <c r="E101" s="1507" t="s">
        <v>524</v>
      </c>
      <c r="F101" s="1507"/>
      <c r="G101" s="1507"/>
      <c r="H101" s="190"/>
      <c r="I101" s="1139"/>
      <c r="J101" s="1140"/>
    </row>
    <row r="102" spans="1:13" ht="18">
      <c r="B102" s="174"/>
      <c r="C102" s="1135" t="s">
        <v>228</v>
      </c>
      <c r="D102" s="1136"/>
      <c r="E102" s="1505" t="s">
        <v>525</v>
      </c>
      <c r="F102" s="1505"/>
      <c r="G102" s="1505"/>
      <c r="H102" s="399"/>
      <c r="I102" s="1137">
        <v>0.5</v>
      </c>
      <c r="J102" s="409">
        <f>IF(L102,I102,0)</f>
        <v>0</v>
      </c>
      <c r="L102" s="81" t="b">
        <v>0</v>
      </c>
    </row>
    <row r="103" spans="1:13" ht="30" customHeight="1">
      <c r="B103" s="189"/>
      <c r="C103" s="191"/>
      <c r="D103" s="672"/>
      <c r="E103" s="1507" t="s">
        <v>526</v>
      </c>
      <c r="F103" s="1507"/>
      <c r="G103" s="1507"/>
      <c r="H103" s="190"/>
      <c r="I103" s="1139"/>
      <c r="J103" s="1140"/>
    </row>
    <row r="104" spans="1:13" ht="18">
      <c r="B104" s="174"/>
      <c r="C104" s="1135" t="s">
        <v>229</v>
      </c>
      <c r="D104" s="1136"/>
      <c r="E104" s="1505" t="s">
        <v>527</v>
      </c>
      <c r="F104" s="1505"/>
      <c r="G104" s="1505"/>
      <c r="H104" s="399"/>
      <c r="I104" s="1137">
        <v>0.5</v>
      </c>
      <c r="J104" s="409">
        <f>IF(L104,I104,0)</f>
        <v>0</v>
      </c>
      <c r="L104" s="81" t="b">
        <v>0</v>
      </c>
    </row>
    <row r="105" spans="1:13" ht="30" customHeight="1" thickBot="1">
      <c r="B105" s="189"/>
      <c r="C105" s="191"/>
      <c r="D105" s="672"/>
      <c r="E105" s="1507" t="s">
        <v>528</v>
      </c>
      <c r="F105" s="1507"/>
      <c r="G105" s="1507"/>
      <c r="H105" s="190"/>
      <c r="I105" s="1139"/>
      <c r="J105" s="1140"/>
    </row>
    <row r="106" spans="1:13" ht="22.5" customHeight="1" thickBot="1">
      <c r="B106" s="1514" t="s">
        <v>522</v>
      </c>
      <c r="C106" s="1515"/>
      <c r="D106" s="1515"/>
      <c r="E106" s="1515"/>
      <c r="F106" s="1515"/>
      <c r="G106" s="1515"/>
      <c r="H106" s="1516"/>
      <c r="I106" s="524">
        <f>IF(Projektgrundlagen!I22,SUM(I100:I105),0)</f>
        <v>0</v>
      </c>
      <c r="J106" s="525">
        <f>IF(Projektgrundlagen!I22,SUMIF(L100:L105,TRUE,J100:J105),0)</f>
        <v>0</v>
      </c>
    </row>
    <row r="107" spans="1:13">
      <c r="B107" s="877"/>
      <c r="C107" s="878"/>
      <c r="D107" s="874"/>
      <c r="E107" s="874"/>
      <c r="F107" s="874"/>
      <c r="G107" s="874"/>
      <c r="H107" s="875"/>
      <c r="I107" s="873"/>
      <c r="J107" s="161"/>
    </row>
    <row r="108" spans="1:13" ht="30" customHeight="1">
      <c r="B108" s="1503" t="s">
        <v>137</v>
      </c>
      <c r="C108" s="1504"/>
      <c r="D108" s="1504"/>
      <c r="E108" s="1504"/>
      <c r="F108" s="1504"/>
      <c r="G108" s="1504"/>
      <c r="H108" s="1504"/>
      <c r="I108" s="527"/>
      <c r="J108" s="528"/>
    </row>
    <row r="109" spans="1:13" ht="18">
      <c r="B109" s="1091"/>
      <c r="C109" s="929"/>
      <c r="D109" s="928"/>
      <c r="E109" s="1525"/>
      <c r="F109" s="1525"/>
      <c r="G109" s="1525"/>
      <c r="H109" s="399"/>
      <c r="I109" s="754"/>
      <c r="J109" s="405"/>
      <c r="L109" s="84" t="b">
        <v>0</v>
      </c>
    </row>
    <row r="110" spans="1:13" ht="16.5" customHeight="1" thickBot="1">
      <c r="B110" s="173"/>
      <c r="C110" s="191"/>
      <c r="D110" s="672"/>
      <c r="E110" s="1506"/>
      <c r="F110" s="1506"/>
      <c r="G110" s="1506"/>
      <c r="H110" s="190"/>
      <c r="I110" s="755"/>
      <c r="J110" s="396"/>
    </row>
    <row r="111" spans="1:13" ht="22.5" customHeight="1" thickBot="1">
      <c r="B111" s="1514" t="s">
        <v>529</v>
      </c>
      <c r="C111" s="1515"/>
      <c r="D111" s="1515"/>
      <c r="E111" s="1515"/>
      <c r="F111" s="1515"/>
      <c r="G111" s="1515"/>
      <c r="H111" s="1516"/>
      <c r="I111" s="524">
        <f>IF(Projektgrundlagen!I22,SUM(I109:I110),0)</f>
        <v>0</v>
      </c>
      <c r="J111" s="525">
        <f>IF(Projektgrundlagen!I22,SUMIF(L109:L110,TRUE,J109:J110),0)</f>
        <v>0</v>
      </c>
    </row>
    <row r="112" spans="1:13">
      <c r="B112" s="877"/>
      <c r="C112" s="878"/>
      <c r="D112" s="874"/>
      <c r="E112" s="874"/>
      <c r="F112" s="874"/>
      <c r="G112" s="874"/>
      <c r="H112" s="875"/>
      <c r="I112" s="873"/>
      <c r="J112" s="161"/>
    </row>
    <row r="113" spans="2:12" ht="30" customHeight="1">
      <c r="B113" s="1503" t="s">
        <v>667</v>
      </c>
      <c r="C113" s="1504"/>
      <c r="D113" s="1504"/>
      <c r="E113" s="1504"/>
      <c r="F113" s="1504"/>
      <c r="G113" s="1504"/>
      <c r="H113" s="1504"/>
      <c r="I113" s="521"/>
      <c r="J113" s="522"/>
    </row>
    <row r="114" spans="2:12" ht="18">
      <c r="B114" s="1091"/>
      <c r="C114" s="929"/>
      <c r="D114" s="928"/>
      <c r="E114" s="1525"/>
      <c r="F114" s="1525"/>
      <c r="G114" s="1525"/>
      <c r="H114" s="399"/>
      <c r="I114" s="754"/>
      <c r="J114" s="405"/>
      <c r="L114" s="81" t="b">
        <v>0</v>
      </c>
    </row>
    <row r="115" spans="2:12" ht="17.25" thickBot="1">
      <c r="B115" s="189"/>
      <c r="C115" s="191"/>
      <c r="D115" s="672"/>
      <c r="E115" s="1507"/>
      <c r="F115" s="1507"/>
      <c r="G115" s="1507"/>
      <c r="H115" s="190"/>
      <c r="I115" s="756"/>
      <c r="J115" s="404"/>
    </row>
    <row r="116" spans="2:12" ht="22.5" customHeight="1" thickBot="1">
      <c r="B116" s="1514" t="s">
        <v>530</v>
      </c>
      <c r="C116" s="1515"/>
      <c r="D116" s="1515"/>
      <c r="E116" s="1515"/>
      <c r="F116" s="1515"/>
      <c r="G116" s="1515"/>
      <c r="H116" s="1516"/>
      <c r="I116" s="524">
        <f>IF(Projektgrundlagen!I22,SUM(I114:I115),0)</f>
        <v>0</v>
      </c>
      <c r="J116" s="525">
        <f>IF(Projektgrundlagen!I22,SUMIF(L114:L115,TRUE,J114:J115),0)</f>
        <v>0</v>
      </c>
    </row>
    <row r="117" spans="2:12">
      <c r="B117" s="877"/>
      <c r="C117" s="878"/>
      <c r="D117" s="874"/>
      <c r="E117" s="874"/>
      <c r="F117" s="875"/>
      <c r="G117" s="876"/>
      <c r="H117" s="875"/>
      <c r="I117" s="873"/>
      <c r="J117" s="161"/>
    </row>
    <row r="118" spans="2:12" ht="30" customHeight="1">
      <c r="B118" s="1503" t="s">
        <v>138</v>
      </c>
      <c r="C118" s="1504"/>
      <c r="D118" s="1504"/>
      <c r="E118" s="1504"/>
      <c r="F118" s="1504"/>
      <c r="G118" s="1504"/>
      <c r="H118" s="1504"/>
      <c r="I118" s="521"/>
      <c r="J118" s="522"/>
    </row>
    <row r="119" spans="2:12" ht="18">
      <c r="B119" s="1091"/>
      <c r="C119" s="929"/>
      <c r="D119" s="928"/>
      <c r="E119" s="1525"/>
      <c r="F119" s="1525"/>
      <c r="G119" s="1525"/>
      <c r="H119" s="399"/>
      <c r="I119" s="754"/>
      <c r="J119" s="405"/>
      <c r="L119" s="81" t="b">
        <v>0</v>
      </c>
    </row>
    <row r="120" spans="2:12" ht="17.25" thickBot="1">
      <c r="B120" s="189"/>
      <c r="C120" s="191"/>
      <c r="D120" s="672"/>
      <c r="E120" s="1507"/>
      <c r="F120" s="1507"/>
      <c r="G120" s="1507"/>
      <c r="H120" s="190"/>
      <c r="I120" s="756"/>
      <c r="J120" s="404"/>
    </row>
    <row r="121" spans="2:12" ht="22.5" customHeight="1" thickBot="1">
      <c r="B121" s="1514" t="s">
        <v>531</v>
      </c>
      <c r="C121" s="1515"/>
      <c r="D121" s="1515"/>
      <c r="E121" s="1515"/>
      <c r="F121" s="1515"/>
      <c r="G121" s="1515"/>
      <c r="H121" s="1516"/>
      <c r="I121" s="524">
        <f>IF(Projektgrundlagen!I22,SUM(I119:I120),0)</f>
        <v>0</v>
      </c>
      <c r="J121" s="525">
        <f>IF(Projektgrundlagen!I22,SUMIF(L119:L120,TRUE,J119:J120),0)</f>
        <v>0</v>
      </c>
    </row>
    <row r="122" spans="2:12" ht="17.25" thickBot="1">
      <c r="B122" s="80"/>
    </row>
    <row r="123" spans="2:12" ht="30" customHeight="1" thickBot="1">
      <c r="B123" s="1523" t="s">
        <v>792</v>
      </c>
      <c r="C123" s="1523"/>
      <c r="D123" s="1523"/>
      <c r="E123" s="1523"/>
      <c r="F123" s="1523"/>
      <c r="G123" s="1523"/>
      <c r="H123" s="1524"/>
      <c r="I123" s="730">
        <f>SUM(I27,I42,I63,I79,I97,I106,I111,I116,I121)</f>
        <v>0</v>
      </c>
      <c r="J123" s="731">
        <f>SUM(J27,J42,J63,J79,J97,J106,J111,J116,J121)</f>
        <v>0</v>
      </c>
    </row>
    <row r="124" spans="2:12" ht="12.75" customHeight="1">
      <c r="C124" s="265"/>
    </row>
    <row r="125" spans="2:12"/>
    <row r="126" spans="2:12"/>
    <row r="127" spans="2:12"/>
  </sheetData>
  <sheetProtection sheet="1" formatRows="0"/>
  <mergeCells count="118">
    <mergeCell ref="B121:H121"/>
    <mergeCell ref="B116:H116"/>
    <mergeCell ref="B111:H111"/>
    <mergeCell ref="B106:H106"/>
    <mergeCell ref="B97:H97"/>
    <mergeCell ref="E23:G23"/>
    <mergeCell ref="E24:G24"/>
    <mergeCell ref="E25:H25"/>
    <mergeCell ref="E26:H26"/>
    <mergeCell ref="E66:G66"/>
    <mergeCell ref="E55:G55"/>
    <mergeCell ref="E67:G67"/>
    <mergeCell ref="E78:G78"/>
    <mergeCell ref="E114:G114"/>
    <mergeCell ref="E115:G115"/>
    <mergeCell ref="E109:G109"/>
    <mergeCell ref="E110:G110"/>
    <mergeCell ref="E92:G92"/>
    <mergeCell ref="E100:G100"/>
    <mergeCell ref="E101:G101"/>
    <mergeCell ref="E102:G102"/>
    <mergeCell ref="E103:G103"/>
    <mergeCell ref="E104:G104"/>
    <mergeCell ref="E105:G105"/>
    <mergeCell ref="E19:G19"/>
    <mergeCell ref="E57:G57"/>
    <mergeCell ref="E58:G58"/>
    <mergeCell ref="E56:G56"/>
    <mergeCell ref="E45:G45"/>
    <mergeCell ref="E46:G46"/>
    <mergeCell ref="E47:G47"/>
    <mergeCell ref="E48:G48"/>
    <mergeCell ref="E49:G49"/>
    <mergeCell ref="E50:G50"/>
    <mergeCell ref="E51:G51"/>
    <mergeCell ref="E52:G52"/>
    <mergeCell ref="E53:G53"/>
    <mergeCell ref="E54:G54"/>
    <mergeCell ref="E30:G30"/>
    <mergeCell ref="E31:G31"/>
    <mergeCell ref="B18:H18"/>
    <mergeCell ref="D13:J13"/>
    <mergeCell ref="D14:J14"/>
    <mergeCell ref="D16:J16"/>
    <mergeCell ref="B10:H10"/>
    <mergeCell ref="B123:H123"/>
    <mergeCell ref="B113:H113"/>
    <mergeCell ref="B118:H118"/>
    <mergeCell ref="E119:G119"/>
    <mergeCell ref="E120:G120"/>
    <mergeCell ref="E68:G68"/>
    <mergeCell ref="E69:G69"/>
    <mergeCell ref="E70:G70"/>
    <mergeCell ref="E82:G82"/>
    <mergeCell ref="E83:G83"/>
    <mergeCell ref="E85:G85"/>
    <mergeCell ref="E86:G86"/>
    <mergeCell ref="E88:G88"/>
    <mergeCell ref="E89:G89"/>
    <mergeCell ref="E94:G94"/>
    <mergeCell ref="E95:G95"/>
    <mergeCell ref="E91:G91"/>
    <mergeCell ref="B81:H81"/>
    <mergeCell ref="B99:H99"/>
    <mergeCell ref="B108:H108"/>
    <mergeCell ref="E74:G74"/>
    <mergeCell ref="E75:G75"/>
    <mergeCell ref="E76:G76"/>
    <mergeCell ref="E77:G77"/>
    <mergeCell ref="K2:K8"/>
    <mergeCell ref="B27:H27"/>
    <mergeCell ref="B42:H42"/>
    <mergeCell ref="B63:H63"/>
    <mergeCell ref="B79:H79"/>
    <mergeCell ref="E37:G37"/>
    <mergeCell ref="E38:G38"/>
    <mergeCell ref="E39:G39"/>
    <mergeCell ref="E40:G40"/>
    <mergeCell ref="E41:G41"/>
    <mergeCell ref="E20:G20"/>
    <mergeCell ref="E21:G21"/>
    <mergeCell ref="E22:G22"/>
    <mergeCell ref="B2:F2"/>
    <mergeCell ref="B3:F3"/>
    <mergeCell ref="E35:G35"/>
    <mergeCell ref="E36:G36"/>
    <mergeCell ref="E71:G71"/>
    <mergeCell ref="E72:G72"/>
    <mergeCell ref="D15:J15"/>
    <mergeCell ref="I2:J2"/>
    <mergeCell ref="I3:J3"/>
    <mergeCell ref="G2:H2"/>
    <mergeCell ref="G3:H3"/>
    <mergeCell ref="B8:E8"/>
    <mergeCell ref="F8:J8"/>
    <mergeCell ref="B5:E5"/>
    <mergeCell ref="G5:H5"/>
    <mergeCell ref="I5:J5"/>
    <mergeCell ref="B6:E6"/>
    <mergeCell ref="F6:J6"/>
    <mergeCell ref="B7:E7"/>
    <mergeCell ref="F7:J7"/>
    <mergeCell ref="E90:H90"/>
    <mergeCell ref="E93:H93"/>
    <mergeCell ref="E96:H96"/>
    <mergeCell ref="B29:H29"/>
    <mergeCell ref="B44:H44"/>
    <mergeCell ref="B65:H65"/>
    <mergeCell ref="E32:G32"/>
    <mergeCell ref="E33:G33"/>
    <mergeCell ref="E34:G34"/>
    <mergeCell ref="E87:H87"/>
    <mergeCell ref="E84:H84"/>
    <mergeCell ref="E59:G59"/>
    <mergeCell ref="E60:G60"/>
    <mergeCell ref="E61:G61"/>
    <mergeCell ref="E62:G62"/>
    <mergeCell ref="E73:G73"/>
  </mergeCells>
  <conditionalFormatting sqref="B13">
    <cfRule type="expression" dxfId="1079" priority="18">
      <formula>AND(L13,NOT($M$13))</formula>
    </cfRule>
  </conditionalFormatting>
  <conditionalFormatting sqref="B15">
    <cfRule type="expression" dxfId="1078" priority="38">
      <formula>AND(L15,NOT($M$13))</formula>
    </cfRule>
  </conditionalFormatting>
  <conditionalFormatting sqref="B85">
    <cfRule type="expression" dxfId="1077" priority="16">
      <formula>AND($L$13,$L85)</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Februar 2023&amp;R&amp;P</oddFooter>
  </headerFooter>
  <rowBreaks count="6" manualBreakCount="6">
    <brk id="28" max="10" man="1"/>
    <brk id="43" max="10" man="1"/>
    <brk id="64" max="10" man="1"/>
    <brk id="80" max="10" man="1"/>
    <brk id="98" max="10" man="1"/>
    <brk id="11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9" r:id="rId4" name="Check Box 149">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0390" r:id="rId5" name="Check Box 150">
              <controlPr defaultSize="0" autoFill="0" autoLine="0" autoPict="0" altText="">
                <anchor moveWithCells="1">
                  <from>
                    <xdr:col>1</xdr:col>
                    <xdr:colOff>0</xdr:colOff>
                    <xdr:row>20</xdr:row>
                    <xdr:rowOff>0</xdr:rowOff>
                  </from>
                  <to>
                    <xdr:col>2</xdr:col>
                    <xdr:colOff>0</xdr:colOff>
                    <xdr:row>20</xdr:row>
                    <xdr:rowOff>209550</xdr:rowOff>
                  </to>
                </anchor>
              </controlPr>
            </control>
          </mc:Choice>
        </mc:AlternateContent>
        <mc:AlternateContent xmlns:mc="http://schemas.openxmlformats.org/markup-compatibility/2006">
          <mc:Choice Requires="x14">
            <control shapeId="10396" r:id="rId6" name="Check Box 156">
              <controlPr defaultSize="0" autoFill="0" autoLine="0" autoPict="0" altText="">
                <anchor moveWithCells="1">
                  <from>
                    <xdr:col>1</xdr:col>
                    <xdr:colOff>0</xdr:colOff>
                    <xdr:row>29</xdr:row>
                    <xdr:rowOff>0</xdr:rowOff>
                  </from>
                  <to>
                    <xdr:col>2</xdr:col>
                    <xdr:colOff>0</xdr:colOff>
                    <xdr:row>29</xdr:row>
                    <xdr:rowOff>209550</xdr:rowOff>
                  </to>
                </anchor>
              </controlPr>
            </control>
          </mc:Choice>
        </mc:AlternateContent>
        <mc:AlternateContent xmlns:mc="http://schemas.openxmlformats.org/markup-compatibility/2006">
          <mc:Choice Requires="x14">
            <control shapeId="10397" r:id="rId7" name="Check Box 157">
              <controlPr defaultSize="0" autoFill="0" autoLine="0" autoPict="0" altText="">
                <anchor moveWithCells="1">
                  <from>
                    <xdr:col>1</xdr:col>
                    <xdr:colOff>0</xdr:colOff>
                    <xdr:row>31</xdr:row>
                    <xdr:rowOff>0</xdr:rowOff>
                  </from>
                  <to>
                    <xdr:col>2</xdr:col>
                    <xdr:colOff>0</xdr:colOff>
                    <xdr:row>31</xdr:row>
                    <xdr:rowOff>209550</xdr:rowOff>
                  </to>
                </anchor>
              </controlPr>
            </control>
          </mc:Choice>
        </mc:AlternateContent>
        <mc:AlternateContent xmlns:mc="http://schemas.openxmlformats.org/markup-compatibility/2006">
          <mc:Choice Requires="x14">
            <control shapeId="10398" r:id="rId8" name="Check Box 158">
              <controlPr defaultSize="0" autoFill="0" autoLine="0" autoPict="0" altText="">
                <anchor moveWithCells="1">
                  <from>
                    <xdr:col>1</xdr:col>
                    <xdr:colOff>0</xdr:colOff>
                    <xdr:row>33</xdr:row>
                    <xdr:rowOff>0</xdr:rowOff>
                  </from>
                  <to>
                    <xdr:col>2</xdr:col>
                    <xdr:colOff>0</xdr:colOff>
                    <xdr:row>33</xdr:row>
                    <xdr:rowOff>209550</xdr:rowOff>
                  </to>
                </anchor>
              </controlPr>
            </control>
          </mc:Choice>
        </mc:AlternateContent>
        <mc:AlternateContent xmlns:mc="http://schemas.openxmlformats.org/markup-compatibility/2006">
          <mc:Choice Requires="x14">
            <control shapeId="10400" r:id="rId9" name="Check Box 160">
              <controlPr defaultSize="0" autoFill="0" autoLine="0" autoPict="0" altText="">
                <anchor moveWithCells="1">
                  <from>
                    <xdr:col>1</xdr:col>
                    <xdr:colOff>0</xdr:colOff>
                    <xdr:row>35</xdr:row>
                    <xdr:rowOff>0</xdr:rowOff>
                  </from>
                  <to>
                    <xdr:col>2</xdr:col>
                    <xdr:colOff>0</xdr:colOff>
                    <xdr:row>35</xdr:row>
                    <xdr:rowOff>209550</xdr:rowOff>
                  </to>
                </anchor>
              </controlPr>
            </control>
          </mc:Choice>
        </mc:AlternateContent>
        <mc:AlternateContent xmlns:mc="http://schemas.openxmlformats.org/markup-compatibility/2006">
          <mc:Choice Requires="x14">
            <control shapeId="10401" r:id="rId10" name="Check Box 161">
              <controlPr defaultSize="0" autoFill="0" autoLine="0" autoPict="0" altText="">
                <anchor moveWithCells="1">
                  <from>
                    <xdr:col>1</xdr:col>
                    <xdr:colOff>0</xdr:colOff>
                    <xdr:row>37</xdr:row>
                    <xdr:rowOff>0</xdr:rowOff>
                  </from>
                  <to>
                    <xdr:col>2</xdr:col>
                    <xdr:colOff>0</xdr:colOff>
                    <xdr:row>37</xdr:row>
                    <xdr:rowOff>209550</xdr:rowOff>
                  </to>
                </anchor>
              </controlPr>
            </control>
          </mc:Choice>
        </mc:AlternateContent>
        <mc:AlternateContent xmlns:mc="http://schemas.openxmlformats.org/markup-compatibility/2006">
          <mc:Choice Requires="x14">
            <control shapeId="10402" r:id="rId11" name="Check Box 162">
              <controlPr defaultSize="0" autoFill="0" autoLine="0" autoPict="0" altText="">
                <anchor moveWithCells="1">
                  <from>
                    <xdr:col>1</xdr:col>
                    <xdr:colOff>0</xdr:colOff>
                    <xdr:row>39</xdr:row>
                    <xdr:rowOff>0</xdr:rowOff>
                  </from>
                  <to>
                    <xdr:col>2</xdr:col>
                    <xdr:colOff>0</xdr:colOff>
                    <xdr:row>39</xdr:row>
                    <xdr:rowOff>209550</xdr:rowOff>
                  </to>
                </anchor>
              </controlPr>
            </control>
          </mc:Choice>
        </mc:AlternateContent>
        <mc:AlternateContent xmlns:mc="http://schemas.openxmlformats.org/markup-compatibility/2006">
          <mc:Choice Requires="x14">
            <control shapeId="10437" r:id="rId12" name="Check Box 197">
              <controlPr defaultSize="0" autoFill="0" autoLine="0" autoPict="0" altText="">
                <anchor moveWithCells="1">
                  <from>
                    <xdr:col>1</xdr:col>
                    <xdr:colOff>0</xdr:colOff>
                    <xdr:row>46</xdr:row>
                    <xdr:rowOff>0</xdr:rowOff>
                  </from>
                  <to>
                    <xdr:col>2</xdr:col>
                    <xdr:colOff>0</xdr:colOff>
                    <xdr:row>46</xdr:row>
                    <xdr:rowOff>209550</xdr:rowOff>
                  </to>
                </anchor>
              </controlPr>
            </control>
          </mc:Choice>
        </mc:AlternateContent>
        <mc:AlternateContent xmlns:mc="http://schemas.openxmlformats.org/markup-compatibility/2006">
          <mc:Choice Requires="x14">
            <control shapeId="10438" r:id="rId13" name="Check Box 198">
              <controlPr defaultSize="0" autoFill="0" autoLine="0" autoPict="0" altText="">
                <anchor moveWithCells="1">
                  <from>
                    <xdr:col>1</xdr:col>
                    <xdr:colOff>0</xdr:colOff>
                    <xdr:row>48</xdr:row>
                    <xdr:rowOff>0</xdr:rowOff>
                  </from>
                  <to>
                    <xdr:col>2</xdr:col>
                    <xdr:colOff>0</xdr:colOff>
                    <xdr:row>48</xdr:row>
                    <xdr:rowOff>209550</xdr:rowOff>
                  </to>
                </anchor>
              </controlPr>
            </control>
          </mc:Choice>
        </mc:AlternateContent>
        <mc:AlternateContent xmlns:mc="http://schemas.openxmlformats.org/markup-compatibility/2006">
          <mc:Choice Requires="x14">
            <control shapeId="10439" r:id="rId14" name="Check Box 199">
              <controlPr defaultSize="0" autoFill="0" autoLine="0" autoPict="0" altText="">
                <anchor moveWithCells="1">
                  <from>
                    <xdr:col>1</xdr:col>
                    <xdr:colOff>0</xdr:colOff>
                    <xdr:row>50</xdr:row>
                    <xdr:rowOff>0</xdr:rowOff>
                  </from>
                  <to>
                    <xdr:col>2</xdr:col>
                    <xdr:colOff>0</xdr:colOff>
                    <xdr:row>50</xdr:row>
                    <xdr:rowOff>209550</xdr:rowOff>
                  </to>
                </anchor>
              </controlPr>
            </control>
          </mc:Choice>
        </mc:AlternateContent>
        <mc:AlternateContent xmlns:mc="http://schemas.openxmlformats.org/markup-compatibility/2006">
          <mc:Choice Requires="x14">
            <control shapeId="10442" r:id="rId15" name="Check Box 202">
              <controlPr defaultSize="0" autoFill="0" autoLine="0" autoPict="0" altText="3 Fahrstreifen">
                <anchor moveWithCells="1">
                  <from>
                    <xdr:col>1</xdr:col>
                    <xdr:colOff>0</xdr:colOff>
                    <xdr:row>56</xdr:row>
                    <xdr:rowOff>0</xdr:rowOff>
                  </from>
                  <to>
                    <xdr:col>2</xdr:col>
                    <xdr:colOff>0</xdr:colOff>
                    <xdr:row>56</xdr:row>
                    <xdr:rowOff>209550</xdr:rowOff>
                  </to>
                </anchor>
              </controlPr>
            </control>
          </mc:Choice>
        </mc:AlternateContent>
        <mc:AlternateContent xmlns:mc="http://schemas.openxmlformats.org/markup-compatibility/2006">
          <mc:Choice Requires="x14">
            <control shapeId="10460" r:id="rId16" name="Check Box 220">
              <controlPr defaultSize="0" autoFill="0" autoLine="0" autoPict="0" altText="">
                <anchor moveWithCells="1">
                  <from>
                    <xdr:col>1</xdr:col>
                    <xdr:colOff>0</xdr:colOff>
                    <xdr:row>67</xdr:row>
                    <xdr:rowOff>0</xdr:rowOff>
                  </from>
                  <to>
                    <xdr:col>2</xdr:col>
                    <xdr:colOff>0</xdr:colOff>
                    <xdr:row>67</xdr:row>
                    <xdr:rowOff>209550</xdr:rowOff>
                  </to>
                </anchor>
              </controlPr>
            </control>
          </mc:Choice>
        </mc:AlternateContent>
        <mc:AlternateContent xmlns:mc="http://schemas.openxmlformats.org/markup-compatibility/2006">
          <mc:Choice Requires="x14">
            <control shapeId="10462" r:id="rId17" name="Check Box 222">
              <controlPr defaultSize="0" autoFill="0" autoLine="0" autoPict="0" altText="">
                <anchor moveWithCells="1">
                  <from>
                    <xdr:col>1</xdr:col>
                    <xdr:colOff>0</xdr:colOff>
                    <xdr:row>71</xdr:row>
                    <xdr:rowOff>0</xdr:rowOff>
                  </from>
                  <to>
                    <xdr:col>2</xdr:col>
                    <xdr:colOff>0</xdr:colOff>
                    <xdr:row>71</xdr:row>
                    <xdr:rowOff>209550</xdr:rowOff>
                  </to>
                </anchor>
              </controlPr>
            </control>
          </mc:Choice>
        </mc:AlternateContent>
        <mc:AlternateContent xmlns:mc="http://schemas.openxmlformats.org/markup-compatibility/2006">
          <mc:Choice Requires="x14">
            <control shapeId="10463" r:id="rId18" name="Check Box 223">
              <controlPr defaultSize="0" autoFill="0" autoLine="0" autoPict="0" altText="3 Fahrstreifen">
                <anchor moveWithCells="1">
                  <from>
                    <xdr:col>1</xdr:col>
                    <xdr:colOff>0</xdr:colOff>
                    <xdr:row>69</xdr:row>
                    <xdr:rowOff>0</xdr:rowOff>
                  </from>
                  <to>
                    <xdr:col>2</xdr:col>
                    <xdr:colOff>0</xdr:colOff>
                    <xdr:row>69</xdr:row>
                    <xdr:rowOff>209550</xdr:rowOff>
                  </to>
                </anchor>
              </controlPr>
            </control>
          </mc:Choice>
        </mc:AlternateContent>
        <mc:AlternateContent xmlns:mc="http://schemas.openxmlformats.org/markup-compatibility/2006">
          <mc:Choice Requires="x14">
            <control shapeId="10464" r:id="rId19" name="Check Box 224">
              <controlPr defaultSize="0" autoFill="0" autoLine="0" autoPict="0" altText="3 Fahrstreifen">
                <anchor moveWithCells="1">
                  <from>
                    <xdr:col>1</xdr:col>
                    <xdr:colOff>0</xdr:colOff>
                    <xdr:row>74</xdr:row>
                    <xdr:rowOff>0</xdr:rowOff>
                  </from>
                  <to>
                    <xdr:col>2</xdr:col>
                    <xdr:colOff>0</xdr:colOff>
                    <xdr:row>74</xdr:row>
                    <xdr:rowOff>209550</xdr:rowOff>
                  </to>
                </anchor>
              </controlPr>
            </control>
          </mc:Choice>
        </mc:AlternateContent>
        <mc:AlternateContent xmlns:mc="http://schemas.openxmlformats.org/markup-compatibility/2006">
          <mc:Choice Requires="x14">
            <control shapeId="10466" r:id="rId20" name="Check Box 226">
              <controlPr defaultSize="0" autoFill="0" autoLine="0" autoPict="0" altText="">
                <anchor moveWithCells="1">
                  <from>
                    <xdr:col>1</xdr:col>
                    <xdr:colOff>0</xdr:colOff>
                    <xdr:row>76</xdr:row>
                    <xdr:rowOff>0</xdr:rowOff>
                  </from>
                  <to>
                    <xdr:col>2</xdr:col>
                    <xdr:colOff>0</xdr:colOff>
                    <xdr:row>76</xdr:row>
                    <xdr:rowOff>209550</xdr:rowOff>
                  </to>
                </anchor>
              </controlPr>
            </control>
          </mc:Choice>
        </mc:AlternateContent>
        <mc:AlternateContent xmlns:mc="http://schemas.openxmlformats.org/markup-compatibility/2006">
          <mc:Choice Requires="x14">
            <control shapeId="10467" r:id="rId21" name="Check Box 227">
              <controlPr defaultSize="0" autoFill="0" autoLine="0" autoPict="0" altText="">
                <anchor moveWithCells="1">
                  <from>
                    <xdr:col>1</xdr:col>
                    <xdr:colOff>0</xdr:colOff>
                    <xdr:row>81</xdr:row>
                    <xdr:rowOff>0</xdr:rowOff>
                  </from>
                  <to>
                    <xdr:col>2</xdr:col>
                    <xdr:colOff>0</xdr:colOff>
                    <xdr:row>82</xdr:row>
                    <xdr:rowOff>0</xdr:rowOff>
                  </to>
                </anchor>
              </controlPr>
            </control>
          </mc:Choice>
        </mc:AlternateContent>
        <mc:AlternateContent xmlns:mc="http://schemas.openxmlformats.org/markup-compatibility/2006">
          <mc:Choice Requires="x14">
            <control shapeId="10469" r:id="rId22" name="Check Box 229">
              <controlPr defaultSize="0" autoFill="0" autoLine="0" autoPict="0" altText="">
                <anchor moveWithCells="1">
                  <from>
                    <xdr:col>1</xdr:col>
                    <xdr:colOff>0</xdr:colOff>
                    <xdr:row>84</xdr:row>
                    <xdr:rowOff>0</xdr:rowOff>
                  </from>
                  <to>
                    <xdr:col>2</xdr:col>
                    <xdr:colOff>0</xdr:colOff>
                    <xdr:row>84</xdr:row>
                    <xdr:rowOff>209550</xdr:rowOff>
                  </to>
                </anchor>
              </controlPr>
            </control>
          </mc:Choice>
        </mc:AlternateContent>
        <mc:AlternateContent xmlns:mc="http://schemas.openxmlformats.org/markup-compatibility/2006">
          <mc:Choice Requires="x14">
            <control shapeId="10470" r:id="rId23" name="Check Box 230">
              <controlPr defaultSize="0" autoFill="0" autoLine="0" autoPict="0" altText="">
                <anchor moveWithCells="1">
                  <from>
                    <xdr:col>1</xdr:col>
                    <xdr:colOff>0</xdr:colOff>
                    <xdr:row>87</xdr:row>
                    <xdr:rowOff>0</xdr:rowOff>
                  </from>
                  <to>
                    <xdr:col>2</xdr:col>
                    <xdr:colOff>0</xdr:colOff>
                    <xdr:row>87</xdr:row>
                    <xdr:rowOff>209550</xdr:rowOff>
                  </to>
                </anchor>
              </controlPr>
            </control>
          </mc:Choice>
        </mc:AlternateContent>
        <mc:AlternateContent xmlns:mc="http://schemas.openxmlformats.org/markup-compatibility/2006">
          <mc:Choice Requires="x14">
            <control shapeId="10471" r:id="rId24" name="Check Box 231">
              <controlPr defaultSize="0" autoFill="0" autoLine="0" autoPict="0" altText="">
                <anchor moveWithCells="1">
                  <from>
                    <xdr:col>1</xdr:col>
                    <xdr:colOff>0</xdr:colOff>
                    <xdr:row>93</xdr:row>
                    <xdr:rowOff>0</xdr:rowOff>
                  </from>
                  <to>
                    <xdr:col>2</xdr:col>
                    <xdr:colOff>0</xdr:colOff>
                    <xdr:row>93</xdr:row>
                    <xdr:rowOff>209550</xdr:rowOff>
                  </to>
                </anchor>
              </controlPr>
            </control>
          </mc:Choice>
        </mc:AlternateContent>
        <mc:AlternateContent xmlns:mc="http://schemas.openxmlformats.org/markup-compatibility/2006">
          <mc:Choice Requires="x14">
            <control shapeId="10473" r:id="rId25" name="Check Box 233">
              <controlPr defaultSize="0" autoFill="0" autoLine="0" autoPict="0" altText="">
                <anchor moveWithCells="1">
                  <from>
                    <xdr:col>1</xdr:col>
                    <xdr:colOff>0</xdr:colOff>
                    <xdr:row>99</xdr:row>
                    <xdr:rowOff>0</xdr:rowOff>
                  </from>
                  <to>
                    <xdr:col>2</xdr:col>
                    <xdr:colOff>0</xdr:colOff>
                    <xdr:row>100</xdr:row>
                    <xdr:rowOff>0</xdr:rowOff>
                  </to>
                </anchor>
              </controlPr>
            </control>
          </mc:Choice>
        </mc:AlternateContent>
        <mc:AlternateContent xmlns:mc="http://schemas.openxmlformats.org/markup-compatibility/2006">
          <mc:Choice Requires="x14">
            <control shapeId="10475" r:id="rId26" name="Check Box 235">
              <controlPr defaultSize="0" autoFill="0" autoLine="0" autoPict="0" altText="">
                <anchor moveWithCells="1">
                  <from>
                    <xdr:col>1</xdr:col>
                    <xdr:colOff>0</xdr:colOff>
                    <xdr:row>101</xdr:row>
                    <xdr:rowOff>0</xdr:rowOff>
                  </from>
                  <to>
                    <xdr:col>2</xdr:col>
                    <xdr:colOff>0</xdr:colOff>
                    <xdr:row>101</xdr:row>
                    <xdr:rowOff>209550</xdr:rowOff>
                  </to>
                </anchor>
              </controlPr>
            </control>
          </mc:Choice>
        </mc:AlternateContent>
        <mc:AlternateContent xmlns:mc="http://schemas.openxmlformats.org/markup-compatibility/2006">
          <mc:Choice Requires="x14">
            <control shapeId="10476" r:id="rId27" name="Check Box 236">
              <controlPr defaultSize="0" autoFill="0" autoLine="0" autoPict="0" altText="3 Fahrstreifen">
                <anchor moveWithCells="1">
                  <from>
                    <xdr:col>1</xdr:col>
                    <xdr:colOff>0</xdr:colOff>
                    <xdr:row>103</xdr:row>
                    <xdr:rowOff>0</xdr:rowOff>
                  </from>
                  <to>
                    <xdr:col>2</xdr:col>
                    <xdr:colOff>0</xdr:colOff>
                    <xdr:row>103</xdr:row>
                    <xdr:rowOff>209550</xdr:rowOff>
                  </to>
                </anchor>
              </controlPr>
            </control>
          </mc:Choice>
        </mc:AlternateContent>
        <mc:AlternateContent xmlns:mc="http://schemas.openxmlformats.org/markup-compatibility/2006">
          <mc:Choice Requires="x14">
            <control shapeId="10509" r:id="rId28" name="Check Box 269">
              <controlPr defaultSize="0" autoFill="0" autoLine="0" autoPict="0" altText="">
                <anchor moveWithCells="1">
                  <from>
                    <xdr:col>1</xdr:col>
                    <xdr:colOff>0</xdr:colOff>
                    <xdr:row>60</xdr:row>
                    <xdr:rowOff>0</xdr:rowOff>
                  </from>
                  <to>
                    <xdr:col>2</xdr:col>
                    <xdr:colOff>0</xdr:colOff>
                    <xdr:row>60</xdr:row>
                    <xdr:rowOff>209550</xdr:rowOff>
                  </to>
                </anchor>
              </controlPr>
            </control>
          </mc:Choice>
        </mc:AlternateContent>
        <mc:AlternateContent xmlns:mc="http://schemas.openxmlformats.org/markup-compatibility/2006">
          <mc:Choice Requires="x14">
            <control shapeId="10521" r:id="rId29" name="Check Box 281">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mc:AlternateContent xmlns:mc="http://schemas.openxmlformats.org/markup-compatibility/2006">
          <mc:Choice Requires="x14">
            <control shapeId="10589" r:id="rId30" name="Check Box 349">
              <controlPr defaultSize="0" autoFill="0" autoLine="0" autoPict="0" altText="3 Fahrstreifen">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10607" r:id="rId31" name="Check Box 367">
              <controlPr defaultSize="0" autoFill="0" autoLine="0" autoPict="0" altText="">
                <anchor moveWithCells="1">
                  <from>
                    <xdr:col>1</xdr:col>
                    <xdr:colOff>0</xdr:colOff>
                    <xdr:row>58</xdr:row>
                    <xdr:rowOff>0</xdr:rowOff>
                  </from>
                  <to>
                    <xdr:col>2</xdr:col>
                    <xdr:colOff>0</xdr:colOff>
                    <xdr:row>58</xdr:row>
                    <xdr:rowOff>209550</xdr:rowOff>
                  </to>
                </anchor>
              </controlPr>
            </control>
          </mc:Choice>
        </mc:AlternateContent>
        <mc:AlternateContent xmlns:mc="http://schemas.openxmlformats.org/markup-compatibility/2006">
          <mc:Choice Requires="x14">
            <control shapeId="10619" r:id="rId32" name="Check Box 379">
              <controlPr defaultSize="0" autoFill="0" autoLine="0" autoPict="0" altText="">
                <anchor moveWithCells="1">
                  <from>
                    <xdr:col>1</xdr:col>
                    <xdr:colOff>9525</xdr:colOff>
                    <xdr:row>14</xdr:row>
                    <xdr:rowOff>0</xdr:rowOff>
                  </from>
                  <to>
                    <xdr:col>2</xdr:col>
                    <xdr:colOff>9525</xdr:colOff>
                    <xdr:row>15</xdr:row>
                    <xdr:rowOff>9525</xdr:rowOff>
                  </to>
                </anchor>
              </controlPr>
            </control>
          </mc:Choice>
        </mc:AlternateContent>
        <mc:AlternateContent xmlns:mc="http://schemas.openxmlformats.org/markup-compatibility/2006">
          <mc:Choice Requires="x14">
            <control shapeId="10624" r:id="rId33" name="Check Box 384">
              <controlPr defaultSize="0" autoFill="0" autoLine="0" autoPict="0" altText="3 Fahrstreifen">
                <anchor moveWithCells="1">
                  <from>
                    <xdr:col>1</xdr:col>
                    <xdr:colOff>0</xdr:colOff>
                    <xdr:row>52</xdr:row>
                    <xdr:rowOff>0</xdr:rowOff>
                  </from>
                  <to>
                    <xdr:col>2</xdr:col>
                    <xdr:colOff>0</xdr:colOff>
                    <xdr:row>52</xdr:row>
                    <xdr:rowOff>209550</xdr:rowOff>
                  </to>
                </anchor>
              </controlPr>
            </control>
          </mc:Choice>
        </mc:AlternateContent>
        <mc:AlternateContent xmlns:mc="http://schemas.openxmlformats.org/markup-compatibility/2006">
          <mc:Choice Requires="x14">
            <control shapeId="10625" r:id="rId34" name="Check Box 385">
              <controlPr defaultSize="0" autoFill="0" autoLine="0" autoPict="0" altText="3 Fahrstreifen">
                <anchor moveWithCells="1">
                  <from>
                    <xdr:col>1</xdr:col>
                    <xdr:colOff>0</xdr:colOff>
                    <xdr:row>54</xdr:row>
                    <xdr:rowOff>0</xdr:rowOff>
                  </from>
                  <to>
                    <xdr:col>2</xdr:col>
                    <xdr:colOff>0</xdr:colOff>
                    <xdr:row>54</xdr:row>
                    <xdr:rowOff>209550</xdr:rowOff>
                  </to>
                </anchor>
              </controlPr>
            </control>
          </mc:Choice>
        </mc:AlternateContent>
        <mc:AlternateContent xmlns:mc="http://schemas.openxmlformats.org/markup-compatibility/2006">
          <mc:Choice Requires="x14">
            <control shapeId="10627" r:id="rId35" name="Check Box 387">
              <controlPr defaultSize="0" autoFill="0" autoLine="0" autoPict="0" altText="">
                <anchor moveWithCells="1">
                  <from>
                    <xdr:col>1</xdr:col>
                    <xdr:colOff>0</xdr:colOff>
                    <xdr:row>90</xdr:row>
                    <xdr:rowOff>0</xdr:rowOff>
                  </from>
                  <to>
                    <xdr:col>2</xdr:col>
                    <xdr:colOff>0</xdr:colOff>
                    <xdr:row>90</xdr:row>
                    <xdr:rowOff>209550</xdr:rowOff>
                  </to>
                </anchor>
              </controlPr>
            </control>
          </mc:Choice>
        </mc:AlternateContent>
        <mc:AlternateContent xmlns:mc="http://schemas.openxmlformats.org/markup-compatibility/2006">
          <mc:Choice Requires="x14">
            <control shapeId="10628" r:id="rId36" name="Check Box 388">
              <controlPr defaultSize="0" autoFill="0" autoLine="0" autoPict="0" altText="">
                <anchor moveWithCells="1">
                  <from>
                    <xdr:col>1</xdr:col>
                    <xdr:colOff>0</xdr:colOff>
                    <xdr:row>22</xdr:row>
                    <xdr:rowOff>0</xdr:rowOff>
                  </from>
                  <to>
                    <xdr:col>2</xdr:col>
                    <xdr:colOff>0</xdr:colOff>
                    <xdr:row>22</xdr:row>
                    <xdr:rowOff>209550</xdr:rowOff>
                  </to>
                </anchor>
              </controlPr>
            </control>
          </mc:Choice>
        </mc:AlternateContent>
        <mc:AlternateContent xmlns:mc="http://schemas.openxmlformats.org/markup-compatibility/2006">
          <mc:Choice Requires="x14">
            <control shapeId="10634" r:id="rId37" name="Check Box 394">
              <controlPr defaultSize="0" autoFill="0" autoLine="0" autoPict="0" altText="">
                <anchor moveWithCells="1">
                  <from>
                    <xdr:col>1</xdr:col>
                    <xdr:colOff>9525</xdr:colOff>
                    <xdr:row>12</xdr:row>
                    <xdr:rowOff>0</xdr:rowOff>
                  </from>
                  <to>
                    <xdr:col>2</xdr:col>
                    <xdr:colOff>9525</xdr:colOff>
                    <xdr:row>13</xdr:row>
                    <xdr:rowOff>9525</xdr:rowOff>
                  </to>
                </anchor>
              </controlPr>
            </control>
          </mc:Choice>
        </mc:AlternateContent>
        <mc:AlternateContent xmlns:mc="http://schemas.openxmlformats.org/markup-compatibility/2006">
          <mc:Choice Requires="x14">
            <control shapeId="10635" r:id="rId38" name="Check Box 395">
              <controlPr defaultSize="0" autoFill="0" autoLine="0" autoPict="0" altText="">
                <anchor moveWithCells="1">
                  <from>
                    <xdr:col>1</xdr:col>
                    <xdr:colOff>9525</xdr:colOff>
                    <xdr:row>12</xdr:row>
                    <xdr:rowOff>0</xdr:rowOff>
                  </from>
                  <to>
                    <xdr:col>2</xdr:col>
                    <xdr:colOff>9525</xdr:colOff>
                    <xdr:row>13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6FED0095-38F6-40E0-8641-15CB4B9CFA77}">
            <xm:f>NOT(Projektgrundlagen!$I$22)</xm:f>
            <x14:dxf>
              <font>
                <strike/>
                <color theme="0" tint="-0.14996795556505021"/>
              </font>
              <fill>
                <patternFill>
                  <bgColor theme="0"/>
                </patternFill>
              </fill>
            </x14:dxf>
          </x14:cfRule>
          <xm:sqref>B66:E78 H66:J78</xm:sqref>
        </x14:conditionalFormatting>
        <x14:conditionalFormatting xmlns:xm="http://schemas.microsoft.com/office/excel/2006/main">
          <x14:cfRule type="expression" priority="9" id="{34B749BC-27D6-4273-917A-F1C9FB779DDA}">
            <xm:f>NOT(Projektgrundlagen!$I$22)</xm:f>
            <x14:dxf>
              <font>
                <strike/>
                <color theme="0" tint="-0.14996795556505021"/>
              </font>
              <fill>
                <patternFill>
                  <bgColor theme="0"/>
                </patternFill>
              </fill>
            </x14:dxf>
          </x14:cfRule>
          <xm:sqref>B82:E96</xm:sqref>
        </x14:conditionalFormatting>
        <x14:conditionalFormatting xmlns:xm="http://schemas.microsoft.com/office/excel/2006/main">
          <x14:cfRule type="expression" priority="56" id="{32B988C6-E77D-4A70-AD79-AC59EF0107FB}">
            <xm:f>NOT(Projektgrundlagen!$I$22)</xm:f>
            <x14:dxf>
              <font>
                <strike/>
                <color theme="0" tint="-0.14996795556505021"/>
              </font>
              <fill>
                <patternFill>
                  <bgColor theme="0"/>
                </patternFill>
              </fill>
            </x14:dxf>
          </x14:cfRule>
          <xm:sqref>B109:E110</xm:sqref>
        </x14:conditionalFormatting>
        <x14:conditionalFormatting xmlns:xm="http://schemas.microsoft.com/office/excel/2006/main">
          <x14:cfRule type="expression" priority="48" id="{8F10D856-279A-4D67-A1E2-E9F88B152D61}">
            <xm:f>NOT(Projektgrundlagen!$I$22)</xm:f>
            <x14:dxf>
              <font>
                <strike/>
                <color theme="0" tint="-0.14996795556505021"/>
              </font>
              <fill>
                <patternFill>
                  <bgColor theme="0"/>
                </patternFill>
              </fill>
            </x14:dxf>
          </x14:cfRule>
          <xm:sqref>B114:E115</xm:sqref>
        </x14:conditionalFormatting>
        <x14:conditionalFormatting xmlns:xm="http://schemas.microsoft.com/office/excel/2006/main">
          <x14:cfRule type="expression" priority="42" id="{672EA4BB-6836-4A29-B553-5C967CEF2C1F}">
            <xm:f>NOT(Projektgrundlagen!$I$22)</xm:f>
            <x14:dxf>
              <font>
                <strike/>
                <color theme="0" tint="-0.14996795556505021"/>
              </font>
              <fill>
                <patternFill>
                  <bgColor theme="0"/>
                </patternFill>
              </fill>
            </x14:dxf>
          </x14:cfRule>
          <xm:sqref>B119:E120</xm:sqref>
        </x14:conditionalFormatting>
        <x14:conditionalFormatting xmlns:xm="http://schemas.microsoft.com/office/excel/2006/main">
          <x14:cfRule type="expression" priority="1" id="{0F1F8775-4D51-4C49-BF55-F01B038046A2}">
            <xm:f>NOT(Projektgrundlagen!$I$22)</xm:f>
            <x14:dxf>
              <font>
                <strike/>
                <color theme="0" tint="-0.14996795556505021"/>
              </font>
              <fill>
                <patternFill>
                  <bgColor theme="0"/>
                </patternFill>
              </fill>
            </x14:dxf>
          </x14:cfRule>
          <xm:sqref>B13:J16</xm:sqref>
        </x14:conditionalFormatting>
        <x14:conditionalFormatting xmlns:xm="http://schemas.microsoft.com/office/excel/2006/main">
          <x14:cfRule type="expression" priority="28" id="{511EE0A0-2221-4A6A-8686-667996FB2E28}">
            <xm:f>'A anrechb Kosten'!$I$19</xm:f>
            <x14:dxf>
              <font>
                <b/>
                <i val="0"/>
              </font>
            </x14:dxf>
          </x14:cfRule>
          <xm:sqref>E25:H26</xm:sqref>
        </x14:conditionalFormatting>
        <x14:conditionalFormatting xmlns:xm="http://schemas.microsoft.com/office/excel/2006/main">
          <x14:cfRule type="expression" priority="15" id="{A2A2C3C8-5A2D-41A8-B81F-4E886CC9D897}">
            <xm:f>NOT(Projektgrundlagen!$I$22)</xm:f>
            <x14:dxf>
              <font>
                <strike/>
                <color theme="0" tint="-0.14996795556505021"/>
              </font>
              <fill>
                <patternFill>
                  <bgColor theme="0"/>
                </patternFill>
              </fill>
            </x14:dxf>
          </x14:cfRule>
          <xm:sqref>H19:J24 B19:E26 I25:J26 B30:E41 H30:J41 B45:E62 H45:J62 H82:J83 H85:J86 H88:J89 H94:J95 B100:E105 H100:J105 H109:J110 H114:J115 H119:J120</xm:sqref>
        </x14:conditionalFormatting>
        <x14:conditionalFormatting xmlns:xm="http://schemas.microsoft.com/office/excel/2006/main">
          <x14:cfRule type="expression" priority="30" id="{2DD94AC5-3DE8-4AA7-8B34-8B75B4DA6998}">
            <xm:f>NOT(Projektgrundlagen!$I$22)</xm:f>
            <x14:dxf>
              <font>
                <strike/>
                <color theme="0" tint="-0.14996795556505021"/>
              </font>
              <fill>
                <patternFill>
                  <bgColor theme="0"/>
                </patternFill>
              </fill>
            </x14:dxf>
          </x14:cfRule>
          <xm:sqref>H91:J92</xm:sqref>
        </x14:conditionalFormatting>
        <x14:conditionalFormatting xmlns:xm="http://schemas.microsoft.com/office/excel/2006/main">
          <x14:cfRule type="expression" priority="20" id="{80481DFC-81D1-4DF5-B64A-74D1FAB0CFA8}">
            <xm:f>NOT(Projektgrundlagen!$I$22)</xm:f>
            <x14:dxf>
              <font>
                <strike/>
                <color theme="0" tint="-0.14996795556505021"/>
              </font>
              <fill>
                <patternFill>
                  <bgColor theme="0"/>
                </patternFill>
              </fill>
            </x14:dxf>
          </x14:cfRule>
          <xm:sqref>I84:J84</xm:sqref>
        </x14:conditionalFormatting>
        <x14:conditionalFormatting xmlns:xm="http://schemas.microsoft.com/office/excel/2006/main">
          <x14:cfRule type="expression" priority="23" id="{CD01398B-6B57-42E9-BF43-7E0AD2C05D04}">
            <xm:f>NOT(Projektgrundlagen!$I$22)</xm:f>
            <x14:dxf>
              <font>
                <strike/>
                <color theme="0" tint="-0.14996795556505021"/>
              </font>
              <fill>
                <patternFill>
                  <bgColor theme="0"/>
                </patternFill>
              </fill>
            </x14:dxf>
          </x14:cfRule>
          <xm:sqref>I87:J87</xm:sqref>
        </x14:conditionalFormatting>
        <x14:conditionalFormatting xmlns:xm="http://schemas.microsoft.com/office/excel/2006/main">
          <x14:cfRule type="expression" priority="14" id="{C272ED7F-FF62-4958-805C-080B7DDE047F}">
            <xm:f>NOT(Projektgrundlagen!$I$22)</xm:f>
            <x14:dxf>
              <font>
                <strike/>
                <color theme="0" tint="-0.14996795556505021"/>
              </font>
              <fill>
                <patternFill>
                  <bgColor theme="0"/>
                </patternFill>
              </fill>
            </x14:dxf>
          </x14:cfRule>
          <xm:sqref>I90:J90</xm:sqref>
        </x14:conditionalFormatting>
        <x14:conditionalFormatting xmlns:xm="http://schemas.microsoft.com/office/excel/2006/main">
          <x14:cfRule type="expression" priority="12" id="{7C28C606-31AB-43FF-BCF2-07AFC54D9708}">
            <xm:f>NOT(Projektgrundlagen!$I$22)</xm:f>
            <x14:dxf>
              <font>
                <strike/>
                <color theme="0" tint="-0.14996795556505021"/>
              </font>
              <fill>
                <patternFill>
                  <bgColor theme="0"/>
                </patternFill>
              </fill>
            </x14:dxf>
          </x14:cfRule>
          <xm:sqref>I93:J93</xm:sqref>
        </x14:conditionalFormatting>
        <x14:conditionalFormatting xmlns:xm="http://schemas.microsoft.com/office/excel/2006/main">
          <x14:cfRule type="expression" priority="10" id="{18CF847C-0DAD-4D6E-BCB9-B71616DC2A96}">
            <xm:f>NOT(Projektgrundlagen!$I$22)</xm:f>
            <x14:dxf>
              <font>
                <strike/>
                <color theme="0" tint="-0.14996795556505021"/>
              </font>
              <fill>
                <patternFill>
                  <bgColor theme="0"/>
                </patternFill>
              </fill>
            </x14:dxf>
          </x14:cfRule>
          <xm:sqref>I96:J96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theme="7" tint="0.59999389629810485"/>
    <pageSetUpPr fitToPage="1"/>
  </sheetPr>
  <dimension ref="A1:AC133"/>
  <sheetViews>
    <sheetView showGridLines="0" showRuler="0" zoomScaleNormal="100" zoomScaleSheetLayoutView="110" workbookViewId="0">
      <pane ySplit="12" topLeftCell="A13" activePane="bottomLeft" state="frozen"/>
      <selection activeCell="B2" sqref="B2:H2"/>
      <selection pane="bottomLeft" activeCell="B2" sqref="B2:H2"/>
    </sheetView>
  </sheetViews>
  <sheetFormatPr baseColWidth="10" defaultColWidth="0" defaultRowHeight="16.5" zeroHeight="1"/>
  <cols>
    <col min="1" max="1" width="5.7109375" style="498" customWidth="1"/>
    <col min="2" max="2" width="3.28515625" style="84" customWidth="1"/>
    <col min="3" max="5" width="3.28515625" style="80" customWidth="1"/>
    <col min="6" max="6" width="51.7109375" style="80" customWidth="1"/>
    <col min="7" max="8" width="7.28515625" style="80" customWidth="1"/>
    <col min="9" max="9" width="12.28515625" style="80" customWidth="1"/>
    <col min="10" max="10" width="12.7109375" style="80" customWidth="1"/>
    <col min="11" max="11" width="2.7109375" style="80" customWidth="1"/>
    <col min="12" max="12" width="12.7109375" style="81" hidden="1" customWidth="1"/>
    <col min="13" max="13" width="16.85546875" style="153" hidden="1" customWidth="1"/>
    <col min="14" max="29" width="16.85546875" style="80" hidden="1" customWidth="1"/>
    <col min="30" max="16384" width="12.7109375" style="80" hidden="1"/>
  </cols>
  <sheetData>
    <row r="1" spans="1:15"/>
    <row r="2" spans="1:15" s="1" customFormat="1" ht="16.5" customHeight="1">
      <c r="A2" s="457"/>
      <c r="B2" s="1327" t="str">
        <f>IF(Projektgrundlagen!B2="","",Projektgrundlagen!B2)</f>
        <v>Fachplanung Tragwerksplanung</v>
      </c>
      <c r="C2" s="1327"/>
      <c r="D2" s="1327"/>
      <c r="E2" s="1327"/>
      <c r="F2" s="1328"/>
      <c r="G2" s="1355" t="str">
        <f>IF(Projektgrundlagen!F2="","",Projektgrundlagen!F2)</f>
        <v>VII.12.4</v>
      </c>
      <c r="H2" s="1330"/>
      <c r="I2" s="1330" t="s">
        <v>307</v>
      </c>
      <c r="J2" s="1331"/>
      <c r="K2" s="1536" t="s">
        <v>331</v>
      </c>
      <c r="L2" s="63" t="s">
        <v>54</v>
      </c>
      <c r="M2" s="152"/>
      <c r="O2" s="195" t="s">
        <v>153</v>
      </c>
    </row>
    <row r="3" spans="1:15" s="1" customFormat="1">
      <c r="A3" s="457"/>
      <c r="B3" s="1257" t="s">
        <v>442</v>
      </c>
      <c r="C3" s="1257"/>
      <c r="D3" s="1257"/>
      <c r="E3" s="1257"/>
      <c r="F3" s="1258"/>
      <c r="G3" s="1356" t="str">
        <f>IF(Projektgrundlagen!F3="","",Projektgrundlagen!F3)</f>
        <v>Vertragsnr.:</v>
      </c>
      <c r="H3" s="1357"/>
      <c r="I3" s="1352" t="str">
        <f>IF(Projektgrundlagen!G3="","",Projektgrundlagen!G3)</f>
        <v>000.411.425</v>
      </c>
      <c r="J3" s="1353"/>
      <c r="K3" s="1536"/>
      <c r="L3" s="78"/>
      <c r="M3" s="152"/>
      <c r="O3" s="1" t="str">
        <f ca="1">MID(CELL("dateiname",A2),FIND("]",CELL("dateiname",A2))+1,255)</f>
        <v>HB-C2 Grundlstg Bund</v>
      </c>
    </row>
    <row r="4" spans="1:15" s="1" customFormat="1" ht="7.5" customHeight="1">
      <c r="A4" s="457"/>
      <c r="B4" s="368"/>
      <c r="C4" s="368"/>
      <c r="D4" s="368"/>
      <c r="E4" s="368"/>
      <c r="F4" s="368"/>
      <c r="G4" s="138"/>
      <c r="H4" s="138"/>
      <c r="I4" s="180"/>
      <c r="J4" s="180"/>
      <c r="K4" s="1536"/>
      <c r="L4" s="78"/>
      <c r="M4" s="152"/>
    </row>
    <row r="5" spans="1:15" s="1" customFormat="1">
      <c r="A5" s="457"/>
      <c r="B5" s="1359" t="str">
        <f>IF(Projektgrundlagen!B5="","",Projektgrundlagen!B5)</f>
        <v>Maßnahmennr:</v>
      </c>
      <c r="C5" s="1360"/>
      <c r="D5" s="1360"/>
      <c r="E5" s="1360"/>
      <c r="F5" s="387" t="str">
        <f>IF(Projektgrundlagen!E5="","",Projektgrundlagen!E5)</f>
        <v>B63SABBD000300</v>
      </c>
      <c r="G5" s="1358" t="str">
        <f>IF(Projektgrundlagen!F5="","",Projektgrundlagen!F5)</f>
        <v>Vergabenr.:</v>
      </c>
      <c r="H5" s="1358"/>
      <c r="I5" s="1338" t="str">
        <f>IF(Projektgrundlagen!G5="","",Projektgrundlagen!G5)</f>
        <v>24-080603 D</v>
      </c>
      <c r="J5" s="1354"/>
      <c r="K5" s="1536"/>
      <c r="L5" s="78"/>
      <c r="M5" s="152"/>
    </row>
    <row r="6" spans="1:15" s="1" customFormat="1">
      <c r="A6" s="457"/>
      <c r="B6" s="1361" t="str">
        <f>IF(Projektgrundlagen!B6="","",Projektgrundlagen!B6)</f>
        <v>Maßnahme:</v>
      </c>
      <c r="C6" s="1362"/>
      <c r="D6" s="1362"/>
      <c r="E6" s="1362"/>
      <c r="F6" s="1365" t="str">
        <f>IF(Projektgrundlagen!E6="","",Projektgrundlagen!E6)</f>
        <v>B 26, Erneuerung der Brücke über die Bahn bei Wernfeld</v>
      </c>
      <c r="G6" s="1365"/>
      <c r="H6" s="1365"/>
      <c r="I6" s="1365"/>
      <c r="J6" s="1366"/>
      <c r="K6" s="1536"/>
      <c r="L6" s="78"/>
      <c r="M6" s="152"/>
    </row>
    <row r="7" spans="1:15" s="1" customFormat="1">
      <c r="A7" s="457"/>
      <c r="B7" s="1363" t="str">
        <f>IF(Projektgrundlagen!B7="","",Projektgrundlagen!B7)</f>
        <v/>
      </c>
      <c r="C7" s="1364"/>
      <c r="D7" s="1364"/>
      <c r="E7" s="1364"/>
      <c r="F7" s="1367" t="str">
        <f>IF(Projektgrundlagen!E7="","",Projektgrundlagen!E7)</f>
        <v>Behelfsbrücke über die Bahn</v>
      </c>
      <c r="G7" s="1367"/>
      <c r="H7" s="1367"/>
      <c r="I7" s="1367"/>
      <c r="J7" s="1368"/>
      <c r="K7" s="1536"/>
      <c r="L7" s="78"/>
      <c r="M7" s="152"/>
    </row>
    <row r="8" spans="1:15" s="1" customFormat="1">
      <c r="A8" s="457"/>
      <c r="B8" s="1380" t="str">
        <f>IF(Projektgrundlagen!B8="","",Projektgrundlagen!B8)</f>
        <v>Bieter:</v>
      </c>
      <c r="C8" s="1381"/>
      <c r="D8" s="1381"/>
      <c r="E8" s="1381"/>
      <c r="F8" s="1378" t="str">
        <f>IF(Projektgrundlagen!E8="","",Projektgrundlagen!E8)</f>
        <v/>
      </c>
      <c r="G8" s="1378"/>
      <c r="H8" s="1378"/>
      <c r="I8" s="1378"/>
      <c r="J8" s="1379"/>
      <c r="K8" s="1536"/>
      <c r="L8" s="78"/>
      <c r="M8" s="152"/>
    </row>
    <row r="9" spans="1:15" s="1" customFormat="1">
      <c r="A9" s="457"/>
      <c r="B9" s="557"/>
      <c r="C9" s="557"/>
      <c r="D9" s="558"/>
      <c r="E9" s="557"/>
      <c r="F9" s="557"/>
      <c r="G9" s="557"/>
      <c r="H9" s="557"/>
      <c r="I9" s="557"/>
      <c r="J9" s="557"/>
      <c r="L9" s="78"/>
      <c r="M9" s="152"/>
    </row>
    <row r="10" spans="1:15" ht="27" customHeight="1">
      <c r="B10" s="1537" t="s">
        <v>854</v>
      </c>
      <c r="C10" s="1537"/>
      <c r="D10" s="1537"/>
      <c r="E10" s="1537"/>
      <c r="F10" s="1537"/>
      <c r="G10" s="1537"/>
      <c r="H10" s="1538"/>
      <c r="I10" s="1051" t="s">
        <v>374</v>
      </c>
      <c r="J10" s="1052" t="s">
        <v>362</v>
      </c>
      <c r="M10" s="154"/>
    </row>
    <row r="11" spans="1:15" ht="27" customHeight="1">
      <c r="B11" s="837" t="s">
        <v>852</v>
      </c>
      <c r="C11" s="764"/>
      <c r="D11" s="764"/>
      <c r="E11" s="764"/>
      <c r="F11" s="764"/>
      <c r="G11" s="838"/>
      <c r="H11" s="839" t="str">
        <f>IF(Projektgrundlagen!I23,"","Grundleistungen Hochbau Bund sind nicht Teil dieser Honorarermittlung!")</f>
        <v>Grundleistungen Hochbau Bund sind nicht Teil dieser Honorarermittlung!</v>
      </c>
      <c r="I11" s="857" t="s">
        <v>267</v>
      </c>
      <c r="J11" s="858" t="s">
        <v>267</v>
      </c>
      <c r="M11" s="154"/>
    </row>
    <row r="12" spans="1:15" ht="7.5" customHeight="1">
      <c r="B12" s="832"/>
      <c r="C12" s="832"/>
      <c r="D12" s="833"/>
      <c r="E12" s="834"/>
      <c r="F12" s="834"/>
      <c r="G12" s="835"/>
      <c r="H12" s="835"/>
      <c r="I12" s="836"/>
      <c r="J12" s="836"/>
      <c r="M12" s="1034" t="s">
        <v>454</v>
      </c>
    </row>
    <row r="13" spans="1:15" ht="16.5" customHeight="1">
      <c r="B13" s="235"/>
      <c r="C13" s="416"/>
      <c r="D13" s="1392" t="s">
        <v>799</v>
      </c>
      <c r="E13" s="1392"/>
      <c r="F13" s="1392"/>
      <c r="G13" s="1392"/>
      <c r="H13" s="1392"/>
      <c r="I13" s="1392"/>
      <c r="J13" s="1393"/>
      <c r="L13" s="81" t="b">
        <v>0</v>
      </c>
      <c r="M13" s="1092" t="b">
        <f>IF(COUNTIF(L13:L15,TRUE)=1,TRUE,FALSE)</f>
        <v>0</v>
      </c>
    </row>
    <row r="14" spans="1:15" ht="16.5" customHeight="1">
      <c r="B14" s="1124"/>
      <c r="C14" s="1126"/>
      <c r="D14" s="1531" t="s">
        <v>833</v>
      </c>
      <c r="E14" s="1531"/>
      <c r="F14" s="1531"/>
      <c r="G14" s="1531"/>
      <c r="H14" s="1531"/>
      <c r="I14" s="1531"/>
      <c r="J14" s="1370"/>
      <c r="M14" s="1092"/>
    </row>
    <row r="15" spans="1:15" ht="16.5" customHeight="1">
      <c r="B15" s="235"/>
      <c r="C15" s="1127"/>
      <c r="D15" s="1508" t="s">
        <v>805</v>
      </c>
      <c r="E15" s="1508"/>
      <c r="F15" s="1508"/>
      <c r="G15" s="1508"/>
      <c r="H15" s="1508"/>
      <c r="I15" s="1508"/>
      <c r="J15" s="1509"/>
      <c r="L15" s="81" t="b">
        <v>0</v>
      </c>
    </row>
    <row r="16" spans="1:15" ht="16.5" customHeight="1">
      <c r="B16" s="1124"/>
      <c r="C16" s="1125"/>
      <c r="D16" s="1532" t="s">
        <v>830</v>
      </c>
      <c r="E16" s="1532"/>
      <c r="F16" s="1532"/>
      <c r="G16" s="1532"/>
      <c r="H16" s="1532"/>
      <c r="I16" s="1532"/>
      <c r="J16" s="1533"/>
    </row>
    <row r="17" spans="1:14" ht="7.5" customHeight="1">
      <c r="B17" s="162"/>
      <c r="C17" s="162"/>
      <c r="D17" s="163"/>
      <c r="E17" s="164"/>
      <c r="F17" s="164"/>
      <c r="G17" s="53"/>
      <c r="H17" s="53"/>
      <c r="I17" s="165"/>
      <c r="J17" s="165"/>
    </row>
    <row r="18" spans="1:14" s="82" customFormat="1" ht="30" customHeight="1">
      <c r="A18" s="518"/>
      <c r="B18" s="1503" t="s">
        <v>818</v>
      </c>
      <c r="C18" s="1504"/>
      <c r="D18" s="1504"/>
      <c r="E18" s="1504"/>
      <c r="F18" s="1504"/>
      <c r="G18" s="1504"/>
      <c r="H18" s="1504"/>
      <c r="I18" s="264"/>
      <c r="J18" s="52"/>
      <c r="L18" s="83"/>
      <c r="M18" s="156"/>
    </row>
    <row r="19" spans="1:14" ht="18">
      <c r="B19" s="174"/>
      <c r="C19" s="1135" t="s">
        <v>225</v>
      </c>
      <c r="D19" s="1147"/>
      <c r="E19" s="1505" t="s">
        <v>400</v>
      </c>
      <c r="F19" s="1505"/>
      <c r="G19" s="1505"/>
      <c r="H19" s="399"/>
      <c r="I19" s="760">
        <v>2.6</v>
      </c>
      <c r="J19" s="409">
        <f>IF(AND(NOT('A anrechb Kosten'!$I$19),L19),I19,0)</f>
        <v>0</v>
      </c>
      <c r="L19" s="81" t="b">
        <v>0</v>
      </c>
      <c r="N19" s="153"/>
    </row>
    <row r="20" spans="1:14" ht="16.5" customHeight="1">
      <c r="B20" s="173"/>
      <c r="C20" s="191"/>
      <c r="D20" s="672"/>
      <c r="E20" s="1506" t="s">
        <v>543</v>
      </c>
      <c r="F20" s="1506"/>
      <c r="G20" s="1506"/>
      <c r="H20" s="190"/>
      <c r="I20" s="759"/>
      <c r="J20" s="259"/>
      <c r="N20" s="153"/>
    </row>
    <row r="21" spans="1:14" ht="18">
      <c r="B21" s="174"/>
      <c r="C21" s="1135" t="s">
        <v>228</v>
      </c>
      <c r="D21" s="1136"/>
      <c r="E21" s="1505" t="s">
        <v>475</v>
      </c>
      <c r="F21" s="1505"/>
      <c r="G21" s="1505"/>
      <c r="H21" s="399"/>
      <c r="I21" s="760">
        <v>0.25</v>
      </c>
      <c r="J21" s="409">
        <f>IF(AND(NOT('A anrechb Kosten'!$I$19),L21),I21,0)</f>
        <v>0</v>
      </c>
      <c r="L21" s="81" t="b">
        <v>0</v>
      </c>
      <c r="N21" s="153"/>
    </row>
    <row r="22" spans="1:14" ht="16.5" customHeight="1">
      <c r="B22" s="173"/>
      <c r="C22" s="191"/>
      <c r="D22" s="672"/>
      <c r="E22" s="1506" t="s">
        <v>476</v>
      </c>
      <c r="F22" s="1506"/>
      <c r="G22" s="1506"/>
      <c r="H22" s="190"/>
      <c r="I22" s="759"/>
      <c r="J22" s="259"/>
      <c r="N22" s="153"/>
    </row>
    <row r="23" spans="1:14" ht="18">
      <c r="B23" s="174"/>
      <c r="C23" s="1135" t="s">
        <v>229</v>
      </c>
      <c r="D23" s="1136"/>
      <c r="E23" s="1505" t="s">
        <v>478</v>
      </c>
      <c r="F23" s="1505"/>
      <c r="G23" s="1505"/>
      <c r="H23" s="399"/>
      <c r="I23" s="760">
        <v>0.15</v>
      </c>
      <c r="J23" s="409">
        <f>IF(AND(NOT('A anrechb Kosten'!$I$19),L23),I23,0)</f>
        <v>0</v>
      </c>
      <c r="L23" s="81" t="b">
        <v>0</v>
      </c>
      <c r="N23" s="153"/>
    </row>
    <row r="24" spans="1:14" ht="16.5" customHeight="1">
      <c r="B24" s="173"/>
      <c r="C24" s="191"/>
      <c r="D24" s="672"/>
      <c r="E24" s="1506"/>
      <c r="F24" s="1506"/>
      <c r="G24" s="1506"/>
      <c r="H24" s="190"/>
      <c r="I24" s="759"/>
      <c r="J24" s="259"/>
      <c r="N24" s="153"/>
    </row>
    <row r="25" spans="1:14">
      <c r="B25" s="406"/>
      <c r="C25" s="1141"/>
      <c r="D25" s="1148"/>
      <c r="E25" s="1527" t="s">
        <v>788</v>
      </c>
      <c r="F25" s="1527"/>
      <c r="G25" s="1527"/>
      <c r="H25" s="1528"/>
      <c r="I25" s="1080"/>
      <c r="J25" s="1081"/>
      <c r="L25" s="81" t="b">
        <v>0</v>
      </c>
      <c r="N25" s="153"/>
    </row>
    <row r="26" spans="1:14" ht="50.1" customHeight="1" thickBot="1">
      <c r="B26" s="192"/>
      <c r="C26" s="397"/>
      <c r="D26" s="674"/>
      <c r="E26" s="1529" t="s">
        <v>789</v>
      </c>
      <c r="F26" s="1529"/>
      <c r="G26" s="1529"/>
      <c r="H26" s="1530"/>
      <c r="I26" s="759"/>
      <c r="J26" s="259"/>
      <c r="N26" s="153"/>
    </row>
    <row r="27" spans="1:14" ht="22.5" customHeight="1" thickBot="1">
      <c r="B27" s="1514" t="s">
        <v>542</v>
      </c>
      <c r="C27" s="1515"/>
      <c r="D27" s="1515"/>
      <c r="E27" s="1515"/>
      <c r="F27" s="1515" t="s">
        <v>226</v>
      </c>
      <c r="G27" s="1515"/>
      <c r="H27" s="1515"/>
      <c r="I27" s="524">
        <f>IF(Projektgrundlagen!I23,SUM(I19:I24),0)</f>
        <v>0</v>
      </c>
      <c r="J27" s="525">
        <f>IF(Projektgrundlagen!I23,SUMIF(L19:L24,TRUE,J19:J24),0)</f>
        <v>0</v>
      </c>
    </row>
    <row r="28" spans="1:14" ht="7.5" customHeight="1">
      <c r="B28" s="863"/>
      <c r="C28" s="869"/>
      <c r="D28" s="871"/>
      <c r="E28" s="871"/>
      <c r="F28" s="878"/>
      <c r="G28" s="871"/>
      <c r="H28" s="168"/>
      <c r="I28" s="873"/>
      <c r="J28" s="161"/>
    </row>
    <row r="29" spans="1:14" s="82" customFormat="1" ht="30" customHeight="1">
      <c r="A29" s="518"/>
      <c r="B29" s="1503" t="s">
        <v>217</v>
      </c>
      <c r="C29" s="1504"/>
      <c r="D29" s="1504"/>
      <c r="E29" s="1504"/>
      <c r="F29" s="1504"/>
      <c r="G29" s="1504"/>
      <c r="H29" s="1504"/>
      <c r="I29" s="264"/>
      <c r="J29" s="52"/>
      <c r="L29" s="83"/>
      <c r="M29" s="156"/>
    </row>
    <row r="30" spans="1:14" ht="18" customHeight="1">
      <c r="B30" s="174"/>
      <c r="C30" s="1149" t="s">
        <v>225</v>
      </c>
      <c r="D30" s="1131"/>
      <c r="E30" s="1526" t="s">
        <v>479</v>
      </c>
      <c r="F30" s="1526"/>
      <c r="G30" s="1526"/>
      <c r="H30" s="193"/>
      <c r="I30" s="758">
        <v>0.1</v>
      </c>
      <c r="J30" s="409">
        <f>IF(L30,I30,0)</f>
        <v>0</v>
      </c>
      <c r="L30" s="81" t="b">
        <v>0</v>
      </c>
    </row>
    <row r="31" spans="1:14" ht="16.5" customHeight="1">
      <c r="B31" s="173"/>
      <c r="C31" s="191"/>
      <c r="D31" s="672"/>
      <c r="E31" s="1506"/>
      <c r="F31" s="1506"/>
      <c r="G31" s="1506"/>
      <c r="H31" s="190"/>
      <c r="I31" s="759"/>
      <c r="J31" s="259"/>
      <c r="N31" s="153"/>
    </row>
    <row r="32" spans="1:14" ht="18">
      <c r="B32" s="174"/>
      <c r="C32" s="1135" t="s">
        <v>228</v>
      </c>
      <c r="D32" s="1136"/>
      <c r="E32" s="1505" t="s">
        <v>547</v>
      </c>
      <c r="F32" s="1505"/>
      <c r="G32" s="1505"/>
      <c r="H32" s="399"/>
      <c r="I32" s="760">
        <v>0.5</v>
      </c>
      <c r="J32" s="409">
        <f>IF(L32,I32,0)</f>
        <v>0</v>
      </c>
      <c r="L32" s="81" t="b">
        <v>0</v>
      </c>
      <c r="N32" s="153"/>
    </row>
    <row r="33" spans="2:14" ht="30" customHeight="1">
      <c r="B33" s="173"/>
      <c r="C33" s="191"/>
      <c r="D33" s="672"/>
      <c r="E33" s="1506" t="s">
        <v>546</v>
      </c>
      <c r="F33" s="1506"/>
      <c r="G33" s="1506"/>
      <c r="H33" s="190"/>
      <c r="I33" s="759"/>
      <c r="J33" s="259"/>
      <c r="N33" s="153"/>
    </row>
    <row r="34" spans="2:14" ht="18" customHeight="1">
      <c r="B34" s="174"/>
      <c r="C34" s="1135" t="s">
        <v>229</v>
      </c>
      <c r="D34" s="1136"/>
      <c r="E34" s="1505" t="s">
        <v>482</v>
      </c>
      <c r="F34" s="1505"/>
      <c r="G34" s="1505"/>
      <c r="H34" s="399"/>
      <c r="I34" s="760">
        <v>8</v>
      </c>
      <c r="J34" s="409">
        <f>IF(L34,I34,0)</f>
        <v>0</v>
      </c>
      <c r="L34" s="81" t="b">
        <v>0</v>
      </c>
      <c r="N34" s="153"/>
    </row>
    <row r="35" spans="2:14" ht="70.5" customHeight="1">
      <c r="B35" s="173"/>
      <c r="C35" s="191"/>
      <c r="D35" s="672"/>
      <c r="E35" s="1506" t="s">
        <v>483</v>
      </c>
      <c r="F35" s="1506"/>
      <c r="G35" s="1506"/>
      <c r="H35" s="190"/>
      <c r="I35" s="759"/>
      <c r="J35" s="259"/>
      <c r="N35" s="153"/>
    </row>
    <row r="36" spans="2:14" ht="18">
      <c r="B36" s="174"/>
      <c r="C36" s="1135" t="s">
        <v>230</v>
      </c>
      <c r="D36" s="1136"/>
      <c r="E36" s="1505" t="s">
        <v>484</v>
      </c>
      <c r="F36" s="1505"/>
      <c r="G36" s="1505"/>
      <c r="H36" s="399"/>
      <c r="I36" s="760">
        <v>0.5</v>
      </c>
      <c r="J36" s="409">
        <f>IF(L36,I36,0)</f>
        <v>0</v>
      </c>
      <c r="L36" s="81" t="b">
        <v>0</v>
      </c>
    </row>
    <row r="37" spans="2:14" ht="16.5" customHeight="1">
      <c r="B37" s="173"/>
      <c r="C37" s="191"/>
      <c r="D37" s="672"/>
      <c r="E37" s="1506" t="s">
        <v>485</v>
      </c>
      <c r="F37" s="1506"/>
      <c r="G37" s="1506"/>
      <c r="H37" s="190"/>
      <c r="I37" s="759"/>
      <c r="J37" s="259"/>
    </row>
    <row r="38" spans="2:14" ht="18">
      <c r="B38" s="174"/>
      <c r="C38" s="1135" t="s">
        <v>231</v>
      </c>
      <c r="D38" s="1136"/>
      <c r="E38" s="1505" t="s">
        <v>486</v>
      </c>
      <c r="F38" s="1505"/>
      <c r="G38" s="1505"/>
      <c r="H38" s="399"/>
      <c r="I38" s="760">
        <v>0.65</v>
      </c>
      <c r="J38" s="409">
        <f>IF(L38,I38,0)</f>
        <v>0</v>
      </c>
      <c r="L38" s="81" t="b">
        <v>0</v>
      </c>
    </row>
    <row r="39" spans="2:14">
      <c r="B39" s="173"/>
      <c r="C39" s="191"/>
      <c r="D39" s="672"/>
      <c r="E39" s="1506"/>
      <c r="F39" s="1506"/>
      <c r="G39" s="1506"/>
      <c r="H39" s="190"/>
      <c r="I39" s="759"/>
      <c r="J39" s="259"/>
      <c r="N39" s="153"/>
    </row>
    <row r="40" spans="2:14" ht="18">
      <c r="B40" s="174"/>
      <c r="C40" s="1135" t="s">
        <v>232</v>
      </c>
      <c r="D40" s="1136"/>
      <c r="E40" s="1505" t="s">
        <v>478</v>
      </c>
      <c r="F40" s="1505"/>
      <c r="G40" s="1505"/>
      <c r="H40" s="399"/>
      <c r="I40" s="760">
        <v>0.25</v>
      </c>
      <c r="J40" s="409">
        <f>IF(L40,I40,0)</f>
        <v>0</v>
      </c>
      <c r="L40" s="81" t="b">
        <v>0</v>
      </c>
    </row>
    <row r="41" spans="2:14" ht="17.25" thickBot="1">
      <c r="B41" s="173"/>
      <c r="C41" s="191"/>
      <c r="D41" s="672"/>
      <c r="E41" s="1506"/>
      <c r="F41" s="1506"/>
      <c r="G41" s="1506"/>
      <c r="H41" s="190"/>
      <c r="I41" s="759"/>
      <c r="J41" s="259"/>
      <c r="N41" s="153"/>
    </row>
    <row r="42" spans="2:14" ht="22.5" customHeight="1" thickBot="1">
      <c r="B42" s="1514" t="s">
        <v>544</v>
      </c>
      <c r="C42" s="1515"/>
      <c r="D42" s="1515"/>
      <c r="E42" s="1515"/>
      <c r="F42" s="1515"/>
      <c r="G42" s="1515"/>
      <c r="H42" s="1515"/>
      <c r="I42" s="524">
        <f>IF(Projektgrundlagen!I23,SUM(I30:I41),0)</f>
        <v>0</v>
      </c>
      <c r="J42" s="525">
        <f>IF(Projektgrundlagen!I23,SUMIF(L30:L41,TRUE,J30:J41),0)</f>
        <v>0</v>
      </c>
    </row>
    <row r="43" spans="2:14" ht="7.5" customHeight="1">
      <c r="B43" s="863"/>
      <c r="C43" s="869"/>
      <c r="D43" s="865"/>
      <c r="E43" s="865"/>
      <c r="F43" s="870"/>
      <c r="G43" s="871"/>
      <c r="H43" s="168"/>
      <c r="I43" s="872"/>
      <c r="J43" s="161"/>
    </row>
    <row r="44" spans="2:14" ht="30" customHeight="1">
      <c r="B44" s="1503" t="s">
        <v>168</v>
      </c>
      <c r="C44" s="1504"/>
      <c r="D44" s="1504"/>
      <c r="E44" s="1504"/>
      <c r="F44" s="1504"/>
      <c r="G44" s="1504"/>
      <c r="H44" s="1504"/>
      <c r="I44" s="521"/>
      <c r="J44" s="522"/>
    </row>
    <row r="45" spans="2:14" ht="18">
      <c r="B45" s="174"/>
      <c r="C45" s="1135" t="s">
        <v>225</v>
      </c>
      <c r="D45" s="1131"/>
      <c r="E45" s="1526" t="s">
        <v>548</v>
      </c>
      <c r="F45" s="1526"/>
      <c r="G45" s="1526"/>
      <c r="H45" s="399"/>
      <c r="I45" s="758">
        <v>8.5</v>
      </c>
      <c r="J45" s="409">
        <f>IF(L45,I45,0)</f>
        <v>0</v>
      </c>
      <c r="L45" s="81" t="b">
        <v>0</v>
      </c>
    </row>
    <row r="46" spans="2:14" ht="30" customHeight="1">
      <c r="B46" s="189"/>
      <c r="C46" s="397"/>
      <c r="D46" s="672"/>
      <c r="E46" s="1507" t="s">
        <v>549</v>
      </c>
      <c r="F46" s="1507"/>
      <c r="G46" s="1507"/>
      <c r="H46" s="395"/>
      <c r="I46" s="761"/>
      <c r="J46" s="408"/>
    </row>
    <row r="47" spans="2:14" ht="18">
      <c r="B47" s="174"/>
      <c r="C47" s="1135" t="s">
        <v>228</v>
      </c>
      <c r="D47" s="1136"/>
      <c r="E47" s="1505" t="s">
        <v>492</v>
      </c>
      <c r="F47" s="1505"/>
      <c r="G47" s="1505"/>
      <c r="H47" s="399"/>
      <c r="I47" s="760">
        <v>1.5</v>
      </c>
      <c r="J47" s="409">
        <f>IF(L47,I47,0)</f>
        <v>0</v>
      </c>
      <c r="L47" s="81" t="b">
        <v>0</v>
      </c>
    </row>
    <row r="48" spans="2:14">
      <c r="B48" s="189"/>
      <c r="C48" s="397"/>
      <c r="D48" s="672"/>
      <c r="E48" s="1507"/>
      <c r="F48" s="1507"/>
      <c r="G48" s="1507"/>
      <c r="H48" s="395"/>
      <c r="I48" s="761"/>
      <c r="J48" s="408"/>
    </row>
    <row r="49" spans="2:12" ht="18">
      <c r="B49" s="174"/>
      <c r="C49" s="1135" t="s">
        <v>229</v>
      </c>
      <c r="D49" s="1136"/>
      <c r="E49" s="1505" t="s">
        <v>493</v>
      </c>
      <c r="F49" s="1505"/>
      <c r="G49" s="1505"/>
      <c r="H49" s="399"/>
      <c r="I49" s="760">
        <v>2.25</v>
      </c>
      <c r="J49" s="409">
        <f>IF(L49,I49,0)</f>
        <v>0</v>
      </c>
      <c r="L49" s="81" t="b">
        <v>0</v>
      </c>
    </row>
    <row r="50" spans="2:12" ht="43.5" customHeight="1">
      <c r="B50" s="189"/>
      <c r="C50" s="397"/>
      <c r="D50" s="672"/>
      <c r="E50" s="1507" t="s">
        <v>494</v>
      </c>
      <c r="F50" s="1507"/>
      <c r="G50" s="1507"/>
      <c r="H50" s="395"/>
      <c r="I50" s="761"/>
      <c r="J50" s="408"/>
    </row>
    <row r="51" spans="2:12" ht="18">
      <c r="B51" s="174"/>
      <c r="C51" s="1135" t="s">
        <v>230</v>
      </c>
      <c r="D51" s="1136"/>
      <c r="E51" s="1505" t="s">
        <v>495</v>
      </c>
      <c r="F51" s="1505"/>
      <c r="G51" s="1505"/>
      <c r="H51" s="399"/>
      <c r="I51" s="760">
        <v>1</v>
      </c>
      <c r="J51" s="409">
        <f>IF(L51,I51,0)</f>
        <v>0</v>
      </c>
      <c r="L51" s="81" t="b">
        <v>0</v>
      </c>
    </row>
    <row r="52" spans="2:12">
      <c r="B52" s="173"/>
      <c r="C52" s="191"/>
      <c r="D52" s="672"/>
      <c r="E52" s="1506" t="s">
        <v>496</v>
      </c>
      <c r="F52" s="1506"/>
      <c r="G52" s="1506"/>
      <c r="H52" s="190"/>
      <c r="I52" s="759"/>
      <c r="J52" s="259"/>
    </row>
    <row r="53" spans="2:12" ht="18">
      <c r="B53" s="174"/>
      <c r="C53" s="1135" t="s">
        <v>231</v>
      </c>
      <c r="D53" s="1136"/>
      <c r="E53" s="1505" t="s">
        <v>497</v>
      </c>
      <c r="F53" s="1505"/>
      <c r="G53" s="1505"/>
      <c r="H53" s="399"/>
      <c r="I53" s="760">
        <v>0.5</v>
      </c>
      <c r="J53" s="409">
        <f>IF(L53,I53,0)</f>
        <v>0</v>
      </c>
      <c r="L53" s="81" t="b">
        <v>0</v>
      </c>
    </row>
    <row r="54" spans="2:12">
      <c r="B54" s="173"/>
      <c r="C54" s="191"/>
      <c r="D54" s="672"/>
      <c r="E54" s="1506" t="s">
        <v>550</v>
      </c>
      <c r="F54" s="1506"/>
      <c r="G54" s="1506"/>
      <c r="H54" s="190"/>
      <c r="I54" s="759"/>
      <c r="J54" s="259"/>
    </row>
    <row r="55" spans="2:12" ht="18">
      <c r="B55" s="174"/>
      <c r="C55" s="1135" t="s">
        <v>232</v>
      </c>
      <c r="D55" s="1136"/>
      <c r="E55" s="1505" t="s">
        <v>499</v>
      </c>
      <c r="F55" s="1505"/>
      <c r="G55" s="1505"/>
      <c r="H55" s="399"/>
      <c r="I55" s="760">
        <v>0.25</v>
      </c>
      <c r="J55" s="409">
        <f>IF(L55,I55,0)</f>
        <v>0</v>
      </c>
      <c r="L55" s="81" t="b">
        <v>0</v>
      </c>
    </row>
    <row r="56" spans="2:12" ht="16.5" customHeight="1">
      <c r="B56" s="189"/>
      <c r="C56" s="397"/>
      <c r="D56" s="673"/>
      <c r="E56" s="1507" t="s">
        <v>500</v>
      </c>
      <c r="F56" s="1507"/>
      <c r="G56" s="1507"/>
      <c r="H56" s="395"/>
      <c r="I56" s="761"/>
      <c r="J56" s="408"/>
    </row>
    <row r="57" spans="2:12" ht="18">
      <c r="B57" s="174"/>
      <c r="C57" s="1135" t="s">
        <v>233</v>
      </c>
      <c r="D57" s="1147"/>
      <c r="E57" s="1505" t="s">
        <v>551</v>
      </c>
      <c r="F57" s="1505"/>
      <c r="G57" s="1505"/>
      <c r="H57" s="399"/>
      <c r="I57" s="760">
        <v>0.5</v>
      </c>
      <c r="J57" s="409">
        <f>IF(L57,I57,0)</f>
        <v>0</v>
      </c>
      <c r="L57" s="81" t="b">
        <v>0</v>
      </c>
    </row>
    <row r="58" spans="2:12">
      <c r="B58" s="189"/>
      <c r="C58" s="397"/>
      <c r="D58" s="673"/>
      <c r="E58" s="1507" t="s">
        <v>552</v>
      </c>
      <c r="F58" s="1507"/>
      <c r="G58" s="1507"/>
      <c r="H58" s="395"/>
      <c r="I58" s="761"/>
      <c r="J58" s="408"/>
    </row>
    <row r="59" spans="2:12" ht="18">
      <c r="B59" s="174"/>
      <c r="C59" s="1135" t="s">
        <v>234</v>
      </c>
      <c r="D59" s="1147"/>
      <c r="E59" s="1505" t="s">
        <v>553</v>
      </c>
      <c r="F59" s="1505"/>
      <c r="G59" s="1505"/>
      <c r="H59" s="399"/>
      <c r="I59" s="760">
        <v>0.25</v>
      </c>
      <c r="J59" s="409">
        <f>IF(L59,I59,0)</f>
        <v>0</v>
      </c>
      <c r="L59" s="81" t="b">
        <v>0</v>
      </c>
    </row>
    <row r="60" spans="2:12">
      <c r="B60" s="189"/>
      <c r="C60" s="397"/>
      <c r="D60" s="673"/>
      <c r="E60" s="1507"/>
      <c r="F60" s="1507"/>
      <c r="G60" s="1507"/>
      <c r="H60" s="395"/>
      <c r="I60" s="761"/>
      <c r="J60" s="408"/>
    </row>
    <row r="61" spans="2:12" ht="18">
      <c r="B61" s="174"/>
      <c r="C61" s="1135" t="s">
        <v>235</v>
      </c>
      <c r="D61" s="1147"/>
      <c r="E61" s="1505" t="s">
        <v>554</v>
      </c>
      <c r="F61" s="1505"/>
      <c r="G61" s="1505"/>
      <c r="H61" s="399"/>
      <c r="I61" s="760">
        <v>0.25</v>
      </c>
      <c r="J61" s="409">
        <f>IF(L61,I61,0)</f>
        <v>0</v>
      </c>
      <c r="L61" s="81" t="b">
        <v>0</v>
      </c>
    </row>
    <row r="62" spans="2:12" ht="30" customHeight="1">
      <c r="B62" s="173"/>
      <c r="C62" s="191"/>
      <c r="D62" s="672"/>
      <c r="E62" s="1506" t="s">
        <v>820</v>
      </c>
      <c r="F62" s="1506"/>
      <c r="G62" s="1506"/>
      <c r="H62" s="190"/>
      <c r="I62" s="759"/>
      <c r="J62" s="259"/>
    </row>
    <row r="63" spans="2:12">
      <c r="B63" s="192"/>
      <c r="C63" s="191"/>
      <c r="D63" s="1114"/>
      <c r="E63" s="1535" t="s">
        <v>819</v>
      </c>
      <c r="F63" s="1535"/>
      <c r="G63" s="1535"/>
      <c r="H63" s="1115"/>
      <c r="I63" s="759"/>
      <c r="J63" s="259"/>
    </row>
    <row r="64" spans="2:12" ht="17.25" thickBot="1">
      <c r="B64" s="1071"/>
      <c r="C64" s="397"/>
      <c r="D64" s="1085"/>
      <c r="E64" s="1501" t="s">
        <v>821</v>
      </c>
      <c r="F64" s="1501"/>
      <c r="G64" s="1501"/>
      <c r="H64" s="1502"/>
      <c r="I64" s="761"/>
      <c r="J64" s="408"/>
    </row>
    <row r="65" spans="2:12" ht="22.5" customHeight="1" thickBot="1">
      <c r="B65" s="1514" t="s">
        <v>570</v>
      </c>
      <c r="C65" s="1515"/>
      <c r="D65" s="1515"/>
      <c r="E65" s="1515"/>
      <c r="F65" s="1515"/>
      <c r="G65" s="1515"/>
      <c r="H65" s="1516"/>
      <c r="I65" s="524">
        <f>IF(Projektgrundlagen!I23,SUM(I45:I62),0)</f>
        <v>0</v>
      </c>
      <c r="J65" s="525">
        <f>IF(Projektgrundlagen!I23,SUMIF(L45:L62,TRUE,J45:J62),0)</f>
        <v>0</v>
      </c>
    </row>
    <row r="66" spans="2:12" ht="7.5" customHeight="1">
      <c r="B66" s="863"/>
      <c r="C66" s="869"/>
      <c r="D66" s="871"/>
      <c r="E66" s="871"/>
      <c r="F66" s="871"/>
      <c r="G66" s="871"/>
      <c r="H66" s="168"/>
      <c r="I66" s="873"/>
      <c r="J66" s="161"/>
    </row>
    <row r="67" spans="2:12" ht="30" customHeight="1">
      <c r="B67" s="1503" t="s">
        <v>169</v>
      </c>
      <c r="C67" s="1504"/>
      <c r="D67" s="1504"/>
      <c r="E67" s="1504"/>
      <c r="F67" s="1504"/>
      <c r="G67" s="1504"/>
      <c r="H67" s="1504"/>
      <c r="I67" s="521"/>
      <c r="J67" s="522"/>
    </row>
    <row r="68" spans="2:12" ht="18">
      <c r="B68" s="174"/>
      <c r="C68" s="1149" t="s">
        <v>225</v>
      </c>
      <c r="D68" s="1131"/>
      <c r="E68" s="1526" t="s">
        <v>555</v>
      </c>
      <c r="F68" s="1526"/>
      <c r="G68" s="1526"/>
      <c r="H68" s="193"/>
      <c r="I68" s="758">
        <v>21</v>
      </c>
      <c r="J68" s="410">
        <f>IF(L68,I68,0)</f>
        <v>0</v>
      </c>
      <c r="L68" s="81" t="b">
        <v>0</v>
      </c>
    </row>
    <row r="69" spans="2:12" ht="30" customHeight="1">
      <c r="B69" s="189"/>
      <c r="C69" s="397"/>
      <c r="D69" s="673"/>
      <c r="E69" s="1507" t="s">
        <v>507</v>
      </c>
      <c r="F69" s="1507"/>
      <c r="G69" s="1507"/>
      <c r="H69" s="395"/>
      <c r="I69" s="761"/>
      <c r="J69" s="408"/>
    </row>
    <row r="70" spans="2:12" ht="18">
      <c r="B70" s="174"/>
      <c r="C70" s="1135" t="s">
        <v>228</v>
      </c>
      <c r="D70" s="1147"/>
      <c r="E70" s="1505" t="s">
        <v>508</v>
      </c>
      <c r="F70" s="1505"/>
      <c r="G70" s="1505"/>
      <c r="H70" s="399"/>
      <c r="I70" s="760">
        <v>1</v>
      </c>
      <c r="J70" s="409">
        <f>IF(L70,I70,0)</f>
        <v>0</v>
      </c>
      <c r="L70" s="81" t="b">
        <v>0</v>
      </c>
    </row>
    <row r="71" spans="2:12">
      <c r="B71" s="173"/>
      <c r="C71" s="191"/>
      <c r="D71" s="672"/>
      <c r="E71" s="1506"/>
      <c r="F71" s="1506"/>
      <c r="G71" s="1506"/>
      <c r="H71" s="190"/>
      <c r="I71" s="759"/>
      <c r="J71" s="259"/>
    </row>
    <row r="72" spans="2:12" ht="18">
      <c r="B72" s="174"/>
      <c r="C72" s="1135" t="s">
        <v>229</v>
      </c>
      <c r="D72" s="1136"/>
      <c r="E72" s="1542" t="s">
        <v>556</v>
      </c>
      <c r="F72" s="1505"/>
      <c r="G72" s="1505"/>
      <c r="H72" s="399"/>
      <c r="I72" s="760">
        <v>7</v>
      </c>
      <c r="J72" s="409">
        <f>IF(L72,I72,0)</f>
        <v>0</v>
      </c>
      <c r="L72" s="81" t="b">
        <v>0</v>
      </c>
    </row>
    <row r="73" spans="2:12" ht="43.5" customHeight="1">
      <c r="B73" s="189"/>
      <c r="C73" s="397"/>
      <c r="D73" s="673"/>
      <c r="E73" s="1507" t="s">
        <v>557</v>
      </c>
      <c r="F73" s="1507"/>
      <c r="G73" s="1507"/>
      <c r="H73" s="395"/>
      <c r="I73" s="761"/>
      <c r="J73" s="408"/>
    </row>
    <row r="74" spans="2:12" ht="18">
      <c r="B74" s="174"/>
      <c r="C74" s="1135" t="s">
        <v>230</v>
      </c>
      <c r="D74" s="1147"/>
      <c r="E74" s="1505" t="s">
        <v>511</v>
      </c>
      <c r="F74" s="1505"/>
      <c r="G74" s="1505"/>
      <c r="H74" s="399"/>
      <c r="I74" s="760">
        <v>0.25</v>
      </c>
      <c r="J74" s="409">
        <f>IF(L74,I74,0)</f>
        <v>0</v>
      </c>
      <c r="L74" s="81" t="b">
        <v>0</v>
      </c>
    </row>
    <row r="75" spans="2:12" ht="16.5" customHeight="1">
      <c r="B75" s="173"/>
      <c r="C75" s="191"/>
      <c r="D75" s="672"/>
      <c r="E75" s="1506" t="s">
        <v>823</v>
      </c>
      <c r="F75" s="1506"/>
      <c r="G75" s="1506"/>
      <c r="H75" s="190"/>
      <c r="I75" s="759"/>
      <c r="J75" s="259"/>
    </row>
    <row r="76" spans="2:12">
      <c r="B76" s="192"/>
      <c r="C76" s="191"/>
      <c r="D76" s="1114"/>
      <c r="E76" s="1535" t="s">
        <v>822</v>
      </c>
      <c r="F76" s="1535"/>
      <c r="G76" s="1535"/>
      <c r="H76" s="1115"/>
      <c r="I76" s="759"/>
      <c r="J76" s="259"/>
    </row>
    <row r="77" spans="2:12" ht="18">
      <c r="B77" s="174"/>
      <c r="C77" s="1135" t="s">
        <v>231</v>
      </c>
      <c r="D77" s="1136"/>
      <c r="E77" s="1505" t="s">
        <v>558</v>
      </c>
      <c r="F77" s="1505"/>
      <c r="G77" s="1505"/>
      <c r="H77" s="399"/>
      <c r="I77" s="760">
        <v>0.5</v>
      </c>
      <c r="J77" s="409">
        <f>IF(L77,I77,0)</f>
        <v>0</v>
      </c>
      <c r="L77" s="81" t="b">
        <v>0</v>
      </c>
    </row>
    <row r="78" spans="2:12" ht="16.5" customHeight="1">
      <c r="B78" s="173"/>
      <c r="C78" s="191"/>
      <c r="D78" s="672"/>
      <c r="E78" s="1506" t="s">
        <v>514</v>
      </c>
      <c r="F78" s="1506"/>
      <c r="G78" s="1506"/>
      <c r="H78" s="190"/>
      <c r="I78" s="759"/>
      <c r="J78" s="259"/>
    </row>
    <row r="79" spans="2:12" ht="18">
      <c r="B79" s="174"/>
      <c r="C79" s="1135" t="s">
        <v>232</v>
      </c>
      <c r="D79" s="1136"/>
      <c r="E79" s="1505" t="s">
        <v>559</v>
      </c>
      <c r="F79" s="1505"/>
      <c r="G79" s="1505"/>
      <c r="H79" s="399"/>
      <c r="I79" s="760">
        <v>0.25</v>
      </c>
      <c r="J79" s="409">
        <f>IF(L79,I79,0)</f>
        <v>0</v>
      </c>
      <c r="L79" s="81" t="b">
        <v>0</v>
      </c>
    </row>
    <row r="80" spans="2:12" ht="16.5" customHeight="1" thickBot="1">
      <c r="B80" s="173"/>
      <c r="C80" s="191"/>
      <c r="D80" s="672"/>
      <c r="E80" s="1506" t="s">
        <v>516</v>
      </c>
      <c r="F80" s="1506"/>
      <c r="G80" s="1506"/>
      <c r="H80" s="190"/>
      <c r="I80" s="759"/>
      <c r="J80" s="259"/>
    </row>
    <row r="81" spans="1:20" s="153" customFormat="1" ht="22.5" customHeight="1" thickBot="1">
      <c r="A81" s="498"/>
      <c r="B81" s="1514" t="s">
        <v>572</v>
      </c>
      <c r="C81" s="1515"/>
      <c r="D81" s="1515"/>
      <c r="E81" s="1515"/>
      <c r="F81" s="1515"/>
      <c r="G81" s="1515"/>
      <c r="H81" s="1516"/>
      <c r="I81" s="524">
        <f>IF(Projektgrundlagen!I23,SUM(I68:I80),0)</f>
        <v>0</v>
      </c>
      <c r="J81" s="525">
        <f>IF(Projektgrundlagen!I23,SUMIF(L68:L80,TRUE,J68:J80),0)</f>
        <v>0</v>
      </c>
      <c r="K81" s="80"/>
      <c r="L81" s="81"/>
      <c r="N81" s="80"/>
    </row>
    <row r="82" spans="1:20" s="153" customFormat="1" ht="7.5" customHeight="1" thickBot="1">
      <c r="A82" s="498"/>
      <c r="B82" s="234"/>
      <c r="C82" s="176"/>
      <c r="D82" s="411"/>
      <c r="E82" s="175"/>
      <c r="F82" s="175"/>
      <c r="G82" s="175"/>
      <c r="H82" s="177"/>
      <c r="I82" s="263"/>
      <c r="J82" s="161"/>
      <c r="K82" s="80"/>
      <c r="L82" s="81"/>
      <c r="N82" s="80"/>
    </row>
    <row r="83" spans="1:20" s="153" customFormat="1" ht="22.15" customHeight="1" thickBot="1">
      <c r="A83" s="498"/>
      <c r="B83" s="1514" t="s">
        <v>571</v>
      </c>
      <c r="C83" s="1515"/>
      <c r="D83" s="1515"/>
      <c r="E83" s="1515"/>
      <c r="F83" s="1515"/>
      <c r="G83" s="1515"/>
      <c r="H83" s="1516"/>
      <c r="I83" s="524">
        <f>I81+I65+I42+I27</f>
        <v>0</v>
      </c>
      <c r="J83" s="531">
        <f>J81+J65+J42+J27</f>
        <v>0</v>
      </c>
      <c r="K83" s="80"/>
      <c r="L83" s="81"/>
      <c r="N83" s="80"/>
    </row>
    <row r="84" spans="1:20" s="153" customFormat="1">
      <c r="A84" s="498"/>
      <c r="B84" s="863"/>
      <c r="C84" s="869"/>
      <c r="D84" s="874"/>
      <c r="E84" s="874"/>
      <c r="F84" s="874"/>
      <c r="G84" s="874"/>
      <c r="H84" s="875"/>
      <c r="I84" s="873"/>
      <c r="J84" s="161"/>
      <c r="K84" s="80"/>
      <c r="L84" s="81"/>
      <c r="N84" s="80"/>
      <c r="O84" s="80"/>
      <c r="P84" s="80"/>
      <c r="Q84" s="80"/>
      <c r="R84" s="80"/>
      <c r="S84" s="80"/>
      <c r="T84" s="80"/>
    </row>
    <row r="85" spans="1:20" s="153" customFormat="1" ht="30" customHeight="1">
      <c r="A85" s="498"/>
      <c r="B85" s="1503" t="s">
        <v>135</v>
      </c>
      <c r="C85" s="1504"/>
      <c r="D85" s="1504"/>
      <c r="E85" s="1504"/>
      <c r="F85" s="1504"/>
      <c r="G85" s="1504"/>
      <c r="H85" s="1504"/>
      <c r="I85" s="527"/>
      <c r="J85" s="528"/>
      <c r="K85" s="80"/>
      <c r="L85" s="81"/>
      <c r="N85" s="80"/>
      <c r="O85" s="80"/>
      <c r="P85" s="80"/>
      <c r="Q85" s="80"/>
      <c r="R85" s="80"/>
      <c r="S85" s="1120"/>
      <c r="T85" s="1121"/>
    </row>
    <row r="86" spans="1:20" s="153" customFormat="1" ht="18">
      <c r="A86" s="498"/>
      <c r="B86" s="174"/>
      <c r="C86" s="1135" t="s">
        <v>225</v>
      </c>
      <c r="D86" s="1131"/>
      <c r="E86" s="1526" t="s">
        <v>517</v>
      </c>
      <c r="F86" s="1526"/>
      <c r="G86" s="1526"/>
      <c r="H86" s="399"/>
      <c r="I86" s="758">
        <v>7</v>
      </c>
      <c r="J86" s="409">
        <f>IF(L86,IF(AND(L13,'B HZone'!K12,'B HZone'!I13&gt;=3,'B HZone'!I13&lt;=5),10,I86),0)</f>
        <v>0</v>
      </c>
      <c r="K86" s="80"/>
      <c r="L86" s="81" t="b">
        <v>0</v>
      </c>
      <c r="N86" s="80"/>
      <c r="O86" s="1089"/>
      <c r="P86" s="80"/>
      <c r="Q86" s="80"/>
      <c r="R86" s="80"/>
      <c r="S86" s="1118"/>
      <c r="T86" s="80"/>
    </row>
    <row r="87" spans="1:20">
      <c r="B87" s="173"/>
      <c r="C87" s="191"/>
      <c r="D87" s="672"/>
      <c r="E87" s="1506" t="s">
        <v>814</v>
      </c>
      <c r="F87" s="1506"/>
      <c r="G87" s="1506"/>
      <c r="H87" s="190"/>
      <c r="I87" s="759"/>
      <c r="J87" s="259"/>
    </row>
    <row r="88" spans="1:20" ht="27" customHeight="1">
      <c r="B88" s="1071"/>
      <c r="C88" s="397"/>
      <c r="D88" s="1085"/>
      <c r="E88" s="1501" t="s">
        <v>834</v>
      </c>
      <c r="F88" s="1501"/>
      <c r="G88" s="1501"/>
      <c r="H88" s="1502"/>
      <c r="I88" s="761"/>
      <c r="J88" s="408"/>
    </row>
    <row r="89" spans="1:20" ht="18">
      <c r="B89" s="174"/>
      <c r="C89" s="1135" t="s">
        <v>228</v>
      </c>
      <c r="D89" s="1147"/>
      <c r="E89" s="1505" t="s">
        <v>518</v>
      </c>
      <c r="F89" s="1505"/>
      <c r="G89" s="1505"/>
      <c r="H89" s="399"/>
      <c r="I89" s="760">
        <v>12</v>
      </c>
      <c r="J89" s="409">
        <f>IF(AND(L13,M13),0,IF(L89,(IF(OR(L86,L92,L95,L98),I89,20)),0))</f>
        <v>0</v>
      </c>
      <c r="L89" s="81" t="b">
        <v>0</v>
      </c>
    </row>
    <row r="90" spans="1:20">
      <c r="B90" s="173"/>
      <c r="C90" s="191"/>
      <c r="D90" s="672"/>
      <c r="E90" s="1506" t="s">
        <v>810</v>
      </c>
      <c r="F90" s="1506"/>
      <c r="G90" s="1506"/>
      <c r="H90" s="190"/>
      <c r="I90" s="759"/>
      <c r="J90" s="259"/>
    </row>
    <row r="91" spans="1:20" ht="27" customHeight="1">
      <c r="B91" s="1071"/>
      <c r="C91" s="397"/>
      <c r="D91" s="1085"/>
      <c r="E91" s="1501" t="s">
        <v>791</v>
      </c>
      <c r="F91" s="1501"/>
      <c r="G91" s="1501"/>
      <c r="H91" s="1502"/>
      <c r="I91" s="761"/>
      <c r="J91" s="408"/>
      <c r="O91" s="1123"/>
    </row>
    <row r="92" spans="1:20" ht="18">
      <c r="B92" s="174"/>
      <c r="C92" s="1149" t="s">
        <v>229</v>
      </c>
      <c r="D92" s="1147"/>
      <c r="E92" s="1534" t="s">
        <v>519</v>
      </c>
      <c r="F92" s="1534"/>
      <c r="G92" s="1534"/>
      <c r="H92" s="193"/>
      <c r="I92" s="1084">
        <v>18</v>
      </c>
      <c r="J92" s="410">
        <f>IF(L92,IF(AND(L13,L15),I92,IF(AND(L13,'B HZone'!K12,'B HZone'!I13&gt;=3,'B HZone'!I13&lt;=5),23.5,IF(L15,21,I92))),0)</f>
        <v>0</v>
      </c>
      <c r="L92" s="81" t="b">
        <v>0</v>
      </c>
      <c r="O92" s="1089"/>
    </row>
    <row r="93" spans="1:20" ht="30" customHeight="1">
      <c r="B93" s="173"/>
      <c r="C93" s="191"/>
      <c r="D93" s="672"/>
      <c r="E93" s="1506" t="s">
        <v>811</v>
      </c>
      <c r="F93" s="1506"/>
      <c r="G93" s="1506"/>
      <c r="H93" s="190"/>
      <c r="I93" s="759"/>
      <c r="J93" s="259"/>
      <c r="S93" s="1119"/>
      <c r="T93" s="1119"/>
    </row>
    <row r="94" spans="1:20" ht="50.1" customHeight="1">
      <c r="B94" s="1071"/>
      <c r="C94" s="397"/>
      <c r="D94" s="1085"/>
      <c r="E94" s="1501" t="s">
        <v>835</v>
      </c>
      <c r="F94" s="1501"/>
      <c r="G94" s="1501"/>
      <c r="H94" s="1502"/>
      <c r="I94" s="761"/>
      <c r="J94" s="408"/>
      <c r="O94" s="84"/>
      <c r="T94" s="1122"/>
    </row>
    <row r="95" spans="1:20" ht="18">
      <c r="B95" s="174"/>
      <c r="C95" s="1135" t="s">
        <v>230</v>
      </c>
      <c r="D95" s="1147"/>
      <c r="E95" s="1505" t="s">
        <v>520</v>
      </c>
      <c r="F95" s="1505"/>
      <c r="G95" s="1505"/>
      <c r="H95" s="399"/>
      <c r="I95" s="760">
        <v>2.5</v>
      </c>
      <c r="J95" s="409">
        <f>IF(L95,IF(AND(L13,L15),I95,IF(AND(L13,'B HZone'!K12,'B HZone'!I13&gt;=3,'B HZone'!I13&lt;=5),3.5,IF(L15,3.5,I95))),0)</f>
        <v>0</v>
      </c>
      <c r="L95" s="81" t="b">
        <v>0</v>
      </c>
      <c r="O95" s="1089"/>
      <c r="T95" s="1119"/>
    </row>
    <row r="96" spans="1:20" ht="16.5" customHeight="1">
      <c r="B96" s="173"/>
      <c r="C96" s="191"/>
      <c r="D96" s="672"/>
      <c r="E96" s="1506" t="s">
        <v>812</v>
      </c>
      <c r="F96" s="1506"/>
      <c r="G96" s="1506"/>
      <c r="H96" s="190"/>
      <c r="I96" s="759"/>
      <c r="J96" s="259"/>
      <c r="S96" s="1119"/>
      <c r="T96" s="1119"/>
    </row>
    <row r="97" spans="1:20" ht="50.1" customHeight="1">
      <c r="B97" s="1071"/>
      <c r="C97" s="397"/>
      <c r="D97" s="1085"/>
      <c r="E97" s="1501" t="s">
        <v>837</v>
      </c>
      <c r="F97" s="1501"/>
      <c r="G97" s="1501"/>
      <c r="H97" s="1502"/>
      <c r="I97" s="761"/>
      <c r="J97" s="408"/>
      <c r="O97" s="84"/>
      <c r="T97" s="1122"/>
    </row>
    <row r="98" spans="1:20" ht="18">
      <c r="B98" s="174"/>
      <c r="C98" s="1135" t="s">
        <v>231</v>
      </c>
      <c r="D98" s="1136"/>
      <c r="E98" s="1505" t="s">
        <v>560</v>
      </c>
      <c r="F98" s="1505"/>
      <c r="G98" s="1505"/>
      <c r="H98" s="399"/>
      <c r="I98" s="760">
        <v>0.5</v>
      </c>
      <c r="J98" s="409">
        <f>IF(L98,IF(AND(L13,L15),I98,IF(AND(L13,'B HZone'!K12,'B HZone'!I13&gt;=3,'B HZone'!I13&lt;=5),1,I98)),0)</f>
        <v>0</v>
      </c>
      <c r="L98" s="81" t="b">
        <v>0</v>
      </c>
      <c r="O98" s="1089"/>
    </row>
    <row r="99" spans="1:20" ht="16.5" customHeight="1">
      <c r="B99" s="173"/>
      <c r="C99" s="191"/>
      <c r="D99" s="672"/>
      <c r="E99" s="1506" t="s">
        <v>813</v>
      </c>
      <c r="F99" s="1506"/>
      <c r="G99" s="1506"/>
      <c r="H99" s="190"/>
      <c r="I99" s="759"/>
      <c r="J99" s="259"/>
      <c r="S99" s="1119"/>
    </row>
    <row r="100" spans="1:20" ht="27" customHeight="1" thickBot="1">
      <c r="B100" s="1071"/>
      <c r="C100" s="397"/>
      <c r="D100" s="1085"/>
      <c r="E100" s="1501" t="s">
        <v>831</v>
      </c>
      <c r="F100" s="1501"/>
      <c r="G100" s="1501"/>
      <c r="H100" s="1502"/>
      <c r="I100" s="761"/>
      <c r="J100" s="408"/>
    </row>
    <row r="101" spans="1:20" ht="22.5" customHeight="1" thickBot="1">
      <c r="B101" s="1514" t="s">
        <v>804</v>
      </c>
      <c r="C101" s="1515"/>
      <c r="D101" s="1515"/>
      <c r="E101" s="1515"/>
      <c r="F101" s="1515"/>
      <c r="G101" s="1515"/>
      <c r="H101" s="1516"/>
      <c r="I101" s="524">
        <f>IF(Projektgrundlagen!I23,SUM(I86:I99),0)</f>
        <v>0</v>
      </c>
      <c r="J101" s="525">
        <f>IF(Projektgrundlagen!I23,SUMIF(L86:L99,TRUE,J86:J99),0)</f>
        <v>0</v>
      </c>
    </row>
    <row r="102" spans="1:20">
      <c r="B102" s="863"/>
      <c r="C102" s="869"/>
      <c r="D102" s="874"/>
      <c r="E102" s="874"/>
      <c r="F102" s="874"/>
      <c r="G102" s="874"/>
      <c r="H102" s="875"/>
      <c r="I102" s="872"/>
      <c r="J102" s="161"/>
    </row>
    <row r="103" spans="1:20" s="85" customFormat="1" ht="30" customHeight="1">
      <c r="A103" s="520"/>
      <c r="B103" s="1503" t="s">
        <v>170</v>
      </c>
      <c r="C103" s="1504"/>
      <c r="D103" s="1504"/>
      <c r="E103" s="1504"/>
      <c r="F103" s="1504"/>
      <c r="G103" s="1504"/>
      <c r="H103" s="1504"/>
      <c r="I103" s="529"/>
      <c r="J103" s="530"/>
      <c r="L103" s="86"/>
      <c r="M103" s="157"/>
    </row>
    <row r="104" spans="1:20" ht="18">
      <c r="B104" s="174"/>
      <c r="C104" s="1135" t="s">
        <v>225</v>
      </c>
      <c r="D104" s="1131"/>
      <c r="E104" s="1526" t="s">
        <v>562</v>
      </c>
      <c r="F104" s="1526"/>
      <c r="G104" s="1526"/>
      <c r="H104" s="399"/>
      <c r="I104" s="758">
        <v>1</v>
      </c>
      <c r="J104" s="409">
        <f>IF(L104,I104,0)</f>
        <v>0</v>
      </c>
      <c r="L104" s="81" t="b">
        <v>0</v>
      </c>
    </row>
    <row r="105" spans="1:20" ht="43.5" customHeight="1">
      <c r="B105" s="189"/>
      <c r="C105" s="397"/>
      <c r="D105" s="673"/>
      <c r="E105" s="1507" t="s">
        <v>563</v>
      </c>
      <c r="F105" s="1507"/>
      <c r="G105" s="1507"/>
      <c r="H105" s="395"/>
      <c r="I105" s="761"/>
      <c r="J105" s="408"/>
    </row>
    <row r="106" spans="1:20" ht="18">
      <c r="B106" s="174"/>
      <c r="C106" s="1135" t="s">
        <v>228</v>
      </c>
      <c r="D106" s="1147"/>
      <c r="E106" s="1505" t="s">
        <v>564</v>
      </c>
      <c r="F106" s="1505"/>
      <c r="G106" s="1505"/>
      <c r="H106" s="399"/>
      <c r="I106" s="760">
        <v>0.5</v>
      </c>
      <c r="J106" s="409">
        <f>IF(L106,I106,0)</f>
        <v>0</v>
      </c>
      <c r="L106" s="81" t="b">
        <v>0</v>
      </c>
    </row>
    <row r="107" spans="1:20" ht="30" customHeight="1">
      <c r="B107" s="189"/>
      <c r="C107" s="397"/>
      <c r="D107" s="673"/>
      <c r="E107" s="1507" t="s">
        <v>526</v>
      </c>
      <c r="F107" s="1507"/>
      <c r="G107" s="1507"/>
      <c r="H107" s="395"/>
      <c r="I107" s="761"/>
      <c r="J107" s="408"/>
    </row>
    <row r="108" spans="1:20" ht="18">
      <c r="B108" s="174"/>
      <c r="C108" s="1135" t="s">
        <v>229</v>
      </c>
      <c r="D108" s="1147"/>
      <c r="E108" s="1505" t="s">
        <v>565</v>
      </c>
      <c r="F108" s="1505"/>
      <c r="G108" s="1505"/>
      <c r="H108" s="399"/>
      <c r="I108" s="760">
        <v>0.5</v>
      </c>
      <c r="J108" s="409">
        <f>IF(L108,I108,0)</f>
        <v>0</v>
      </c>
      <c r="L108" s="81" t="b">
        <v>0</v>
      </c>
    </row>
    <row r="109" spans="1:20" ht="30" customHeight="1" thickBot="1">
      <c r="B109" s="189"/>
      <c r="C109" s="397"/>
      <c r="D109" s="673"/>
      <c r="E109" s="1507" t="s">
        <v>566</v>
      </c>
      <c r="F109" s="1507"/>
      <c r="G109" s="1507"/>
      <c r="H109" s="395"/>
      <c r="I109" s="761"/>
      <c r="J109" s="408"/>
    </row>
    <row r="110" spans="1:20" ht="22.5" customHeight="1" thickBot="1">
      <c r="B110" s="1514" t="s">
        <v>561</v>
      </c>
      <c r="C110" s="1515"/>
      <c r="D110" s="1515"/>
      <c r="E110" s="1515"/>
      <c r="F110" s="1515"/>
      <c r="G110" s="1515"/>
      <c r="H110" s="1516"/>
      <c r="I110" s="524">
        <f>IF(Projektgrundlagen!I23,SUM(I104:I109),0)</f>
        <v>0</v>
      </c>
      <c r="J110" s="525">
        <f>IF(Projektgrundlagen!I23,SUMIF(L104:L109,TRUE,J104:J109),0)</f>
        <v>0</v>
      </c>
    </row>
    <row r="111" spans="1:20" ht="7.5" customHeight="1">
      <c r="B111" s="863"/>
      <c r="C111" s="869"/>
      <c r="D111" s="874"/>
      <c r="E111" s="874"/>
      <c r="F111" s="874"/>
      <c r="G111" s="874"/>
      <c r="H111" s="875"/>
      <c r="I111" s="873"/>
      <c r="J111" s="161"/>
    </row>
    <row r="112" spans="1:20" ht="30" customHeight="1">
      <c r="B112" s="1503" t="s">
        <v>171</v>
      </c>
      <c r="C112" s="1504"/>
      <c r="D112" s="1504"/>
      <c r="E112" s="1504"/>
      <c r="F112" s="1504"/>
      <c r="G112" s="1504"/>
      <c r="H112" s="1504"/>
      <c r="I112" s="527"/>
      <c r="J112" s="528"/>
    </row>
    <row r="113" spans="1:14" ht="18">
      <c r="B113" s="1091"/>
      <c r="C113" s="929"/>
      <c r="D113" s="928"/>
      <c r="E113" s="1525"/>
      <c r="F113" s="1525"/>
      <c r="G113" s="1525"/>
      <c r="H113" s="399"/>
      <c r="I113" s="758"/>
      <c r="J113" s="409"/>
      <c r="L113" s="84" t="b">
        <v>0</v>
      </c>
    </row>
    <row r="114" spans="1:14" ht="16.5" customHeight="1" thickBot="1">
      <c r="B114" s="173"/>
      <c r="C114" s="191"/>
      <c r="D114" s="672"/>
      <c r="E114" s="1506"/>
      <c r="F114" s="1506"/>
      <c r="G114" s="1506"/>
      <c r="H114" s="190"/>
      <c r="I114" s="759"/>
      <c r="J114" s="259"/>
    </row>
    <row r="115" spans="1:14" s="153" customFormat="1" ht="22.5" customHeight="1" thickBot="1">
      <c r="A115" s="498"/>
      <c r="B115" s="1514" t="s">
        <v>567</v>
      </c>
      <c r="C115" s="1515"/>
      <c r="D115" s="1515"/>
      <c r="E115" s="1515"/>
      <c r="F115" s="1515"/>
      <c r="G115" s="1515"/>
      <c r="H115" s="1516"/>
      <c r="I115" s="524">
        <f>IF(Projektgrundlagen!I23,SUM(I113:I114),0)</f>
        <v>0</v>
      </c>
      <c r="J115" s="525">
        <f>IF(Projektgrundlagen!I23,SUMIF(L113:L114,TRUE,J113:J114),0)</f>
        <v>0</v>
      </c>
      <c r="K115" s="80"/>
      <c r="L115" s="81"/>
      <c r="N115" s="80"/>
    </row>
    <row r="116" spans="1:14" s="153" customFormat="1" ht="7.5" customHeight="1" thickBot="1">
      <c r="A116" s="498"/>
      <c r="B116" s="234"/>
      <c r="C116" s="176"/>
      <c r="D116" s="175"/>
      <c r="E116" s="175"/>
      <c r="F116" s="175"/>
      <c r="G116" s="175"/>
      <c r="H116" s="177"/>
      <c r="I116" s="263"/>
      <c r="J116" s="161"/>
      <c r="K116" s="80"/>
      <c r="L116" s="81"/>
      <c r="N116" s="80"/>
    </row>
    <row r="117" spans="1:14" s="153" customFormat="1" ht="22.5" customHeight="1" thickBot="1">
      <c r="A117" s="498"/>
      <c r="B117" s="1514" t="s">
        <v>806</v>
      </c>
      <c r="C117" s="1515"/>
      <c r="D117" s="1515"/>
      <c r="E117" s="1515"/>
      <c r="F117" s="1515"/>
      <c r="G117" s="1515"/>
      <c r="H117" s="1516"/>
      <c r="I117" s="524">
        <f>I115+I110</f>
        <v>0</v>
      </c>
      <c r="J117" s="525">
        <f>J115+J110</f>
        <v>0</v>
      </c>
      <c r="K117" s="80"/>
      <c r="L117" s="81"/>
      <c r="N117" s="80"/>
    </row>
    <row r="118" spans="1:14" s="153" customFormat="1">
      <c r="A118" s="498"/>
      <c r="B118" s="863"/>
      <c r="C118" s="869"/>
      <c r="D118" s="874"/>
      <c r="E118" s="874"/>
      <c r="F118" s="874"/>
      <c r="G118" s="874"/>
      <c r="H118" s="875"/>
      <c r="I118" s="873"/>
      <c r="J118" s="161"/>
      <c r="K118" s="80"/>
      <c r="L118" s="81"/>
      <c r="N118" s="80"/>
    </row>
    <row r="119" spans="1:14" s="153" customFormat="1" ht="30" customHeight="1">
      <c r="A119" s="498"/>
      <c r="B119" s="1503" t="s">
        <v>667</v>
      </c>
      <c r="C119" s="1504"/>
      <c r="D119" s="1504"/>
      <c r="E119" s="1504"/>
      <c r="F119" s="1504"/>
      <c r="G119" s="1504"/>
      <c r="H119" s="1504"/>
      <c r="I119" s="521"/>
      <c r="J119" s="522"/>
      <c r="K119" s="80"/>
      <c r="L119" s="81"/>
      <c r="N119" s="80"/>
    </row>
    <row r="120" spans="1:14" s="153" customFormat="1" ht="18">
      <c r="A120" s="498"/>
      <c r="B120" s="1091"/>
      <c r="C120" s="929"/>
      <c r="D120" s="928"/>
      <c r="E120" s="1525"/>
      <c r="F120" s="1525"/>
      <c r="G120" s="1525"/>
      <c r="H120" s="399"/>
      <c r="I120" s="758"/>
      <c r="J120" s="409"/>
      <c r="K120" s="80"/>
      <c r="L120" s="81" t="b">
        <v>0</v>
      </c>
      <c r="N120" s="80"/>
    </row>
    <row r="121" spans="1:14" s="153" customFormat="1" ht="17.25" thickBot="1">
      <c r="A121" s="498"/>
      <c r="B121" s="189"/>
      <c r="C121" s="397"/>
      <c r="D121" s="673"/>
      <c r="E121" s="1507"/>
      <c r="F121" s="1507"/>
      <c r="G121" s="1507"/>
      <c r="H121" s="395"/>
      <c r="I121" s="761"/>
      <c r="J121" s="408"/>
      <c r="K121" s="80"/>
      <c r="L121" s="81"/>
      <c r="N121" s="80"/>
    </row>
    <row r="122" spans="1:14" s="153" customFormat="1" ht="22.5" customHeight="1" thickBot="1">
      <c r="A122" s="498"/>
      <c r="B122" s="1514" t="s">
        <v>568</v>
      </c>
      <c r="C122" s="1515"/>
      <c r="D122" s="1515"/>
      <c r="E122" s="1515"/>
      <c r="F122" s="1515"/>
      <c r="G122" s="1515"/>
      <c r="H122" s="1516"/>
      <c r="I122" s="524">
        <f>IF(Projektgrundlagen!I23,SUM(I120:I121),0)</f>
        <v>0</v>
      </c>
      <c r="J122" s="525">
        <f>IF(Projektgrundlagen!I23,SUMIF(L120:L121,TRUE,J120:J121),0)</f>
        <v>0</v>
      </c>
      <c r="K122" s="80"/>
      <c r="L122" s="81"/>
      <c r="N122" s="80"/>
    </row>
    <row r="123" spans="1:14" s="153" customFormat="1">
      <c r="A123" s="498"/>
      <c r="B123" s="863"/>
      <c r="C123" s="869"/>
      <c r="D123" s="874"/>
      <c r="E123" s="874"/>
      <c r="F123" s="875"/>
      <c r="G123" s="876"/>
      <c r="H123" s="875"/>
      <c r="I123" s="873"/>
      <c r="J123" s="161"/>
      <c r="K123" s="80"/>
      <c r="L123" s="81"/>
      <c r="N123" s="80"/>
    </row>
    <row r="124" spans="1:14" s="153" customFormat="1" ht="30" customHeight="1">
      <c r="A124" s="498"/>
      <c r="B124" s="1503" t="s">
        <v>138</v>
      </c>
      <c r="C124" s="1504"/>
      <c r="D124" s="1504"/>
      <c r="E124" s="1504"/>
      <c r="F124" s="1504"/>
      <c r="G124" s="1504"/>
      <c r="H124" s="1504"/>
      <c r="I124" s="521"/>
      <c r="J124" s="522"/>
      <c r="K124" s="80"/>
      <c r="L124" s="81"/>
      <c r="N124" s="80"/>
    </row>
    <row r="125" spans="1:14" s="153" customFormat="1" ht="18">
      <c r="A125" s="498"/>
      <c r="B125" s="1091"/>
      <c r="C125" s="930"/>
      <c r="D125" s="928"/>
      <c r="E125" s="1525"/>
      <c r="F125" s="1525"/>
      <c r="G125" s="1525"/>
      <c r="H125" s="398"/>
      <c r="I125" s="758"/>
      <c r="J125" s="407"/>
      <c r="K125" s="80"/>
      <c r="L125" s="81" t="b">
        <v>0</v>
      </c>
      <c r="N125" s="80"/>
    </row>
    <row r="126" spans="1:14" s="153" customFormat="1" ht="17.25" thickBot="1">
      <c r="A126" s="498"/>
      <c r="B126" s="189"/>
      <c r="C126" s="397"/>
      <c r="D126" s="673"/>
      <c r="E126" s="1507"/>
      <c r="F126" s="1507"/>
      <c r="G126" s="1507"/>
      <c r="H126" s="395"/>
      <c r="I126" s="761"/>
      <c r="J126" s="408"/>
      <c r="K126" s="80"/>
      <c r="L126" s="81"/>
      <c r="N126" s="80"/>
    </row>
    <row r="127" spans="1:14" s="153" customFormat="1" ht="22.5" customHeight="1" thickBot="1">
      <c r="A127" s="498"/>
      <c r="B127" s="1514" t="s">
        <v>569</v>
      </c>
      <c r="C127" s="1515"/>
      <c r="D127" s="1515"/>
      <c r="E127" s="1515"/>
      <c r="F127" s="1515"/>
      <c r="G127" s="1515"/>
      <c r="H127" s="1516"/>
      <c r="I127" s="524">
        <f>IF(Projektgrundlagen!I23,SUM(I125:I126),0)</f>
        <v>0</v>
      </c>
      <c r="J127" s="525">
        <f>IF(Projektgrundlagen!I23,SUMIF(L125:L126,TRUE,J125:J126),0)</f>
        <v>0</v>
      </c>
      <c r="K127" s="80"/>
      <c r="L127" s="81"/>
      <c r="N127" s="80"/>
    </row>
    <row r="128" spans="1:14" s="153" customFormat="1" ht="17.25" thickBot="1">
      <c r="A128" s="498"/>
      <c r="B128" s="80"/>
      <c r="C128" s="80"/>
      <c r="D128" s="80"/>
      <c r="E128" s="80"/>
      <c r="F128" s="80"/>
      <c r="G128" s="80"/>
      <c r="H128" s="80"/>
      <c r="I128" s="80"/>
      <c r="J128" s="80"/>
      <c r="K128" s="80"/>
      <c r="L128" s="81"/>
      <c r="N128" s="80"/>
    </row>
    <row r="129" spans="2:10" ht="30" customHeight="1" thickBot="1">
      <c r="B129" s="1539" t="s">
        <v>793</v>
      </c>
      <c r="C129" s="1540"/>
      <c r="D129" s="1540"/>
      <c r="E129" s="1540"/>
      <c r="F129" s="1540"/>
      <c r="G129" s="1540"/>
      <c r="H129" s="1541"/>
      <c r="I129" s="732">
        <f>SUM(I27,I42,I65,I81,I101,I110,I115,I122,I127)</f>
        <v>0</v>
      </c>
      <c r="J129" s="733">
        <f>SUM(J27,J42,J65,J81,J101,J110,J115,J122,J127)</f>
        <v>0</v>
      </c>
    </row>
    <row r="130" spans="2:10" ht="12.75" customHeight="1"/>
    <row r="131" spans="2:10"/>
    <row r="132" spans="2:10"/>
    <row r="133" spans="2:10"/>
  </sheetData>
  <sheetProtection sheet="1" formatRows="0"/>
  <mergeCells count="122">
    <mergeCell ref="B10:H10"/>
    <mergeCell ref="B129:H129"/>
    <mergeCell ref="B85:H85"/>
    <mergeCell ref="E54:G54"/>
    <mergeCell ref="E55:G55"/>
    <mergeCell ref="E56:G56"/>
    <mergeCell ref="E57:G57"/>
    <mergeCell ref="E58:G58"/>
    <mergeCell ref="E59:G59"/>
    <mergeCell ref="E60:G60"/>
    <mergeCell ref="E61:G61"/>
    <mergeCell ref="E62:G62"/>
    <mergeCell ref="E68:G68"/>
    <mergeCell ref="E69:G69"/>
    <mergeCell ref="E72:G72"/>
    <mergeCell ref="E73:G73"/>
    <mergeCell ref="E74:G74"/>
    <mergeCell ref="E75:G75"/>
    <mergeCell ref="E77:G77"/>
    <mergeCell ref="E78:G78"/>
    <mergeCell ref="E105:G105"/>
    <mergeCell ref="B124:H124"/>
    <mergeCell ref="B122:H122"/>
    <mergeCell ref="B67:H67"/>
    <mergeCell ref="E99:G99"/>
    <mergeCell ref="E104:G104"/>
    <mergeCell ref="E64:H64"/>
    <mergeCell ref="E63:G63"/>
    <mergeCell ref="E80:G80"/>
    <mergeCell ref="E100:H100"/>
    <mergeCell ref="E40:G40"/>
    <mergeCell ref="E41:G41"/>
    <mergeCell ref="E45:G45"/>
    <mergeCell ref="E46:G46"/>
    <mergeCell ref="E47:G47"/>
    <mergeCell ref="E48:G48"/>
    <mergeCell ref="E49:G49"/>
    <mergeCell ref="E50:G50"/>
    <mergeCell ref="E51:G51"/>
    <mergeCell ref="F6:J6"/>
    <mergeCell ref="G3:H3"/>
    <mergeCell ref="E121:G121"/>
    <mergeCell ref="G2:H2"/>
    <mergeCell ref="B18:H18"/>
    <mergeCell ref="E30:G30"/>
    <mergeCell ref="E31:G31"/>
    <mergeCell ref="E19:G19"/>
    <mergeCell ref="E20:G20"/>
    <mergeCell ref="B27:H27"/>
    <mergeCell ref="E21:G21"/>
    <mergeCell ref="E22:G22"/>
    <mergeCell ref="E23:G23"/>
    <mergeCell ref="E24:G24"/>
    <mergeCell ref="B7:E7"/>
    <mergeCell ref="F7:J7"/>
    <mergeCell ref="I2:J2"/>
    <mergeCell ref="I3:J3"/>
    <mergeCell ref="B8:E8"/>
    <mergeCell ref="F8:J8"/>
    <mergeCell ref="B5:E5"/>
    <mergeCell ref="G5:H5"/>
    <mergeCell ref="E79:G79"/>
    <mergeCell ref="E52:G52"/>
    <mergeCell ref="I5:J5"/>
    <mergeCell ref="E25:H25"/>
    <mergeCell ref="E97:H97"/>
    <mergeCell ref="E76:G76"/>
    <mergeCell ref="K2:K8"/>
    <mergeCell ref="B127:H127"/>
    <mergeCell ref="B117:H117"/>
    <mergeCell ref="B110:H110"/>
    <mergeCell ref="B101:H101"/>
    <mergeCell ref="B83:H83"/>
    <mergeCell ref="B81:H81"/>
    <mergeCell ref="B65:H65"/>
    <mergeCell ref="B42:H42"/>
    <mergeCell ref="D13:J13"/>
    <mergeCell ref="D15:J15"/>
    <mergeCell ref="B103:H103"/>
    <mergeCell ref="B29:H29"/>
    <mergeCell ref="E34:G34"/>
    <mergeCell ref="E35:G35"/>
    <mergeCell ref="E36:G36"/>
    <mergeCell ref="E37:G37"/>
    <mergeCell ref="B2:F2"/>
    <mergeCell ref="B3:F3"/>
    <mergeCell ref="B6:E6"/>
    <mergeCell ref="E125:G125"/>
    <mergeCell ref="E126:G126"/>
    <mergeCell ref="E106:G106"/>
    <mergeCell ref="E107:G107"/>
    <mergeCell ref="E108:G108"/>
    <mergeCell ref="E109:G109"/>
    <mergeCell ref="B112:H112"/>
    <mergeCell ref="B119:H119"/>
    <mergeCell ref="B115:H115"/>
    <mergeCell ref="E113:G113"/>
    <mergeCell ref="E114:G114"/>
    <mergeCell ref="E120:G120"/>
    <mergeCell ref="D14:J14"/>
    <mergeCell ref="D16:J16"/>
    <mergeCell ref="E89:G89"/>
    <mergeCell ref="E90:G90"/>
    <mergeCell ref="E92:G92"/>
    <mergeCell ref="E93:G93"/>
    <mergeCell ref="E98:G98"/>
    <mergeCell ref="E39:G39"/>
    <mergeCell ref="B44:H44"/>
    <mergeCell ref="E32:G32"/>
    <mergeCell ref="E33:G33"/>
    <mergeCell ref="E86:G86"/>
    <mergeCell ref="E87:G87"/>
    <mergeCell ref="E38:G38"/>
    <mergeCell ref="E88:H88"/>
    <mergeCell ref="E94:H94"/>
    <mergeCell ref="E26:H26"/>
    <mergeCell ref="E91:H91"/>
    <mergeCell ref="E53:G53"/>
    <mergeCell ref="E70:G70"/>
    <mergeCell ref="E71:G71"/>
    <mergeCell ref="E95:G95"/>
    <mergeCell ref="E96:G96"/>
  </mergeCells>
  <conditionalFormatting sqref="B13:B16">
    <cfRule type="expression" dxfId="1062" priority="2058">
      <formula>AND(L13,NOT(#REF!))</formula>
    </cfRule>
  </conditionalFormatting>
  <conditionalFormatting sqref="B89">
    <cfRule type="expression" dxfId="1061" priority="18">
      <formula>AND($L$13,$L89)</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Februar 2023&amp;R&amp;P</oddFooter>
  </headerFooter>
  <rowBreaks count="6" manualBreakCount="6">
    <brk id="28" max="10" man="1"/>
    <brk id="43" max="10" man="1"/>
    <brk id="66" max="10" man="1"/>
    <brk id="84" max="10" man="1"/>
    <brk id="102" max="10" man="1"/>
    <brk id="11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9941" r:id="rId4" name="Check Box 5">
              <controlPr defaultSize="0" autoFill="0" autoLine="0" autoPict="0" altText="">
                <anchor moveWithCells="1">
                  <from>
                    <xdr:col>1</xdr:col>
                    <xdr:colOff>0</xdr:colOff>
                    <xdr:row>29</xdr:row>
                    <xdr:rowOff>0</xdr:rowOff>
                  </from>
                  <to>
                    <xdr:col>2</xdr:col>
                    <xdr:colOff>0</xdr:colOff>
                    <xdr:row>29</xdr:row>
                    <xdr:rowOff>209550</xdr:rowOff>
                  </to>
                </anchor>
              </controlPr>
            </control>
          </mc:Choice>
        </mc:AlternateContent>
        <mc:AlternateContent xmlns:mc="http://schemas.openxmlformats.org/markup-compatibility/2006">
          <mc:Choice Requires="x14">
            <control shapeId="39942" r:id="rId5" name="Check Box 6">
              <controlPr defaultSize="0" autoFill="0" autoLine="0" autoPict="0" altText="">
                <anchor moveWithCells="1">
                  <from>
                    <xdr:col>1</xdr:col>
                    <xdr:colOff>0</xdr:colOff>
                    <xdr:row>31</xdr:row>
                    <xdr:rowOff>0</xdr:rowOff>
                  </from>
                  <to>
                    <xdr:col>2</xdr:col>
                    <xdr:colOff>0</xdr:colOff>
                    <xdr:row>31</xdr:row>
                    <xdr:rowOff>209550</xdr:rowOff>
                  </to>
                </anchor>
              </controlPr>
            </control>
          </mc:Choice>
        </mc:AlternateContent>
        <mc:AlternateContent xmlns:mc="http://schemas.openxmlformats.org/markup-compatibility/2006">
          <mc:Choice Requires="x14">
            <control shapeId="39943" r:id="rId6" name="Check Box 7">
              <controlPr defaultSize="0" autoFill="0" autoLine="0" autoPict="0" altText="">
                <anchor moveWithCells="1">
                  <from>
                    <xdr:col>1</xdr:col>
                    <xdr:colOff>0</xdr:colOff>
                    <xdr:row>33</xdr:row>
                    <xdr:rowOff>0</xdr:rowOff>
                  </from>
                  <to>
                    <xdr:col>2</xdr:col>
                    <xdr:colOff>0</xdr:colOff>
                    <xdr:row>33</xdr:row>
                    <xdr:rowOff>209550</xdr:rowOff>
                  </to>
                </anchor>
              </controlPr>
            </control>
          </mc:Choice>
        </mc:AlternateContent>
        <mc:AlternateContent xmlns:mc="http://schemas.openxmlformats.org/markup-compatibility/2006">
          <mc:Choice Requires="x14">
            <control shapeId="39944" r:id="rId7" name="Check Box 8">
              <controlPr defaultSize="0" autoFill="0" autoLine="0" autoPict="0" altText="">
                <anchor moveWithCells="1">
                  <from>
                    <xdr:col>1</xdr:col>
                    <xdr:colOff>0</xdr:colOff>
                    <xdr:row>35</xdr:row>
                    <xdr:rowOff>0</xdr:rowOff>
                  </from>
                  <to>
                    <xdr:col>2</xdr:col>
                    <xdr:colOff>0</xdr:colOff>
                    <xdr:row>35</xdr:row>
                    <xdr:rowOff>209550</xdr:rowOff>
                  </to>
                </anchor>
              </controlPr>
            </control>
          </mc:Choice>
        </mc:AlternateContent>
        <mc:AlternateContent xmlns:mc="http://schemas.openxmlformats.org/markup-compatibility/2006">
          <mc:Choice Requires="x14">
            <control shapeId="39945" r:id="rId8" name="Check Box 9">
              <controlPr defaultSize="0" autoFill="0" autoLine="0" autoPict="0" altText="">
                <anchor moveWithCells="1">
                  <from>
                    <xdr:col>1</xdr:col>
                    <xdr:colOff>0</xdr:colOff>
                    <xdr:row>37</xdr:row>
                    <xdr:rowOff>0</xdr:rowOff>
                  </from>
                  <to>
                    <xdr:col>2</xdr:col>
                    <xdr:colOff>0</xdr:colOff>
                    <xdr:row>37</xdr:row>
                    <xdr:rowOff>209550</xdr:rowOff>
                  </to>
                </anchor>
              </controlPr>
            </control>
          </mc:Choice>
        </mc:AlternateContent>
        <mc:AlternateContent xmlns:mc="http://schemas.openxmlformats.org/markup-compatibility/2006">
          <mc:Choice Requires="x14">
            <control shapeId="39946" r:id="rId9" name="Check Box 10">
              <controlPr defaultSize="0" autoFill="0" autoLine="0" autoPict="0" altText="">
                <anchor moveWithCells="1">
                  <from>
                    <xdr:col>1</xdr:col>
                    <xdr:colOff>0</xdr:colOff>
                    <xdr:row>39</xdr:row>
                    <xdr:rowOff>0</xdr:rowOff>
                  </from>
                  <to>
                    <xdr:col>2</xdr:col>
                    <xdr:colOff>0</xdr:colOff>
                    <xdr:row>39</xdr:row>
                    <xdr:rowOff>209550</xdr:rowOff>
                  </to>
                </anchor>
              </controlPr>
            </control>
          </mc:Choice>
        </mc:AlternateContent>
        <mc:AlternateContent xmlns:mc="http://schemas.openxmlformats.org/markup-compatibility/2006">
          <mc:Choice Requires="x14">
            <control shapeId="39952" r:id="rId10" name="Check Box 16">
              <controlPr defaultSize="0" autoFill="0" autoLine="0" autoPict="0" altText="">
                <anchor moveWithCells="1">
                  <from>
                    <xdr:col>1</xdr:col>
                    <xdr:colOff>0</xdr:colOff>
                    <xdr:row>46</xdr:row>
                    <xdr:rowOff>0</xdr:rowOff>
                  </from>
                  <to>
                    <xdr:col>2</xdr:col>
                    <xdr:colOff>0</xdr:colOff>
                    <xdr:row>46</xdr:row>
                    <xdr:rowOff>209550</xdr:rowOff>
                  </to>
                </anchor>
              </controlPr>
            </control>
          </mc:Choice>
        </mc:AlternateContent>
        <mc:AlternateContent xmlns:mc="http://schemas.openxmlformats.org/markup-compatibility/2006">
          <mc:Choice Requires="x14">
            <control shapeId="39953" r:id="rId11" name="Check Box 17">
              <controlPr defaultSize="0" autoFill="0" autoLine="0" autoPict="0" altText="">
                <anchor moveWithCells="1">
                  <from>
                    <xdr:col>1</xdr:col>
                    <xdr:colOff>0</xdr:colOff>
                    <xdr:row>48</xdr:row>
                    <xdr:rowOff>0</xdr:rowOff>
                  </from>
                  <to>
                    <xdr:col>2</xdr:col>
                    <xdr:colOff>0</xdr:colOff>
                    <xdr:row>48</xdr:row>
                    <xdr:rowOff>209550</xdr:rowOff>
                  </to>
                </anchor>
              </controlPr>
            </control>
          </mc:Choice>
        </mc:AlternateContent>
        <mc:AlternateContent xmlns:mc="http://schemas.openxmlformats.org/markup-compatibility/2006">
          <mc:Choice Requires="x14">
            <control shapeId="39954" r:id="rId12" name="Check Box 18">
              <controlPr defaultSize="0" autoFill="0" autoLine="0" autoPict="0" altText="">
                <anchor moveWithCells="1">
                  <from>
                    <xdr:col>1</xdr:col>
                    <xdr:colOff>0</xdr:colOff>
                    <xdr:row>50</xdr:row>
                    <xdr:rowOff>0</xdr:rowOff>
                  </from>
                  <to>
                    <xdr:col>2</xdr:col>
                    <xdr:colOff>0</xdr:colOff>
                    <xdr:row>50</xdr:row>
                    <xdr:rowOff>209550</xdr:rowOff>
                  </to>
                </anchor>
              </controlPr>
            </control>
          </mc:Choice>
        </mc:AlternateContent>
        <mc:AlternateContent xmlns:mc="http://schemas.openxmlformats.org/markup-compatibility/2006">
          <mc:Choice Requires="x14">
            <control shapeId="39957" r:id="rId13" name="Check Box 21">
              <controlPr defaultSize="0" autoFill="0" autoLine="0" autoPict="0" altText="3 Fahrstreifen">
                <anchor moveWithCells="1">
                  <from>
                    <xdr:col>1</xdr:col>
                    <xdr:colOff>0</xdr:colOff>
                    <xdr:row>56</xdr:row>
                    <xdr:rowOff>0</xdr:rowOff>
                  </from>
                  <to>
                    <xdr:col>2</xdr:col>
                    <xdr:colOff>0</xdr:colOff>
                    <xdr:row>56</xdr:row>
                    <xdr:rowOff>209550</xdr:rowOff>
                  </to>
                </anchor>
              </controlPr>
            </control>
          </mc:Choice>
        </mc:AlternateContent>
        <mc:AlternateContent xmlns:mc="http://schemas.openxmlformats.org/markup-compatibility/2006">
          <mc:Choice Requires="x14">
            <control shapeId="39958" r:id="rId14" name="Check Box 22">
              <controlPr defaultSize="0" autoFill="0" autoLine="0" autoPict="0" altText="">
                <anchor moveWithCells="1">
                  <from>
                    <xdr:col>1</xdr:col>
                    <xdr:colOff>0</xdr:colOff>
                    <xdr:row>69</xdr:row>
                    <xdr:rowOff>0</xdr:rowOff>
                  </from>
                  <to>
                    <xdr:col>2</xdr:col>
                    <xdr:colOff>0</xdr:colOff>
                    <xdr:row>69</xdr:row>
                    <xdr:rowOff>209550</xdr:rowOff>
                  </to>
                </anchor>
              </controlPr>
            </control>
          </mc:Choice>
        </mc:AlternateContent>
        <mc:AlternateContent xmlns:mc="http://schemas.openxmlformats.org/markup-compatibility/2006">
          <mc:Choice Requires="x14">
            <control shapeId="39959" r:id="rId15" name="Check Box 23">
              <controlPr defaultSize="0" autoFill="0" autoLine="0" autoPict="0" altText="">
                <anchor moveWithCells="1">
                  <from>
                    <xdr:col>1</xdr:col>
                    <xdr:colOff>0</xdr:colOff>
                    <xdr:row>73</xdr:row>
                    <xdr:rowOff>0</xdr:rowOff>
                  </from>
                  <to>
                    <xdr:col>2</xdr:col>
                    <xdr:colOff>0</xdr:colOff>
                    <xdr:row>73</xdr:row>
                    <xdr:rowOff>209550</xdr:rowOff>
                  </to>
                </anchor>
              </controlPr>
            </control>
          </mc:Choice>
        </mc:AlternateContent>
        <mc:AlternateContent xmlns:mc="http://schemas.openxmlformats.org/markup-compatibility/2006">
          <mc:Choice Requires="x14">
            <control shapeId="39960" r:id="rId16" name="Check Box 24">
              <controlPr defaultSize="0" autoFill="0" autoLine="0" autoPict="0" altText="3 Fahrstreifen">
                <anchor moveWithCells="1">
                  <from>
                    <xdr:col>1</xdr:col>
                    <xdr:colOff>0</xdr:colOff>
                    <xdr:row>71</xdr:row>
                    <xdr:rowOff>0</xdr:rowOff>
                  </from>
                  <to>
                    <xdr:col>2</xdr:col>
                    <xdr:colOff>0</xdr:colOff>
                    <xdr:row>71</xdr:row>
                    <xdr:rowOff>209550</xdr:rowOff>
                  </to>
                </anchor>
              </controlPr>
            </control>
          </mc:Choice>
        </mc:AlternateContent>
        <mc:AlternateContent xmlns:mc="http://schemas.openxmlformats.org/markup-compatibility/2006">
          <mc:Choice Requires="x14">
            <control shapeId="39961" r:id="rId17" name="Check Box 25">
              <controlPr defaultSize="0" autoFill="0" autoLine="0" autoPict="0" altText="3 Fahrstreifen">
                <anchor moveWithCells="1">
                  <from>
                    <xdr:col>1</xdr:col>
                    <xdr:colOff>0</xdr:colOff>
                    <xdr:row>76</xdr:row>
                    <xdr:rowOff>0</xdr:rowOff>
                  </from>
                  <to>
                    <xdr:col>2</xdr:col>
                    <xdr:colOff>0</xdr:colOff>
                    <xdr:row>76</xdr:row>
                    <xdr:rowOff>209550</xdr:rowOff>
                  </to>
                </anchor>
              </controlPr>
            </control>
          </mc:Choice>
        </mc:AlternateContent>
        <mc:AlternateContent xmlns:mc="http://schemas.openxmlformats.org/markup-compatibility/2006">
          <mc:Choice Requires="x14">
            <control shapeId="39962" r:id="rId18" name="Check Box 26">
              <controlPr defaultSize="0" autoFill="0" autoLine="0" autoPict="0" altText="">
                <anchor moveWithCells="1">
                  <from>
                    <xdr:col>1</xdr:col>
                    <xdr:colOff>0</xdr:colOff>
                    <xdr:row>78</xdr:row>
                    <xdr:rowOff>0</xdr:rowOff>
                  </from>
                  <to>
                    <xdr:col>2</xdr:col>
                    <xdr:colOff>0</xdr:colOff>
                    <xdr:row>78</xdr:row>
                    <xdr:rowOff>209550</xdr:rowOff>
                  </to>
                </anchor>
              </controlPr>
            </control>
          </mc:Choice>
        </mc:AlternateContent>
        <mc:AlternateContent xmlns:mc="http://schemas.openxmlformats.org/markup-compatibility/2006">
          <mc:Choice Requires="x14">
            <control shapeId="39963" r:id="rId19" name="Check Box 27">
              <controlPr defaultSize="0" autoFill="0" autoLine="0" autoPict="0" altText="">
                <anchor moveWithCells="1">
                  <from>
                    <xdr:col>1</xdr:col>
                    <xdr:colOff>0</xdr:colOff>
                    <xdr:row>85</xdr:row>
                    <xdr:rowOff>0</xdr:rowOff>
                  </from>
                  <to>
                    <xdr:col>2</xdr:col>
                    <xdr:colOff>0</xdr:colOff>
                    <xdr:row>86</xdr:row>
                    <xdr:rowOff>0</xdr:rowOff>
                  </to>
                </anchor>
              </controlPr>
            </control>
          </mc:Choice>
        </mc:AlternateContent>
        <mc:AlternateContent xmlns:mc="http://schemas.openxmlformats.org/markup-compatibility/2006">
          <mc:Choice Requires="x14">
            <control shapeId="39964" r:id="rId20" name="Check Box 28">
              <controlPr defaultSize="0" autoFill="0" autoLine="0" autoPict="0" altText="">
                <anchor moveWithCells="1">
                  <from>
                    <xdr:col>1</xdr:col>
                    <xdr:colOff>0</xdr:colOff>
                    <xdr:row>88</xdr:row>
                    <xdr:rowOff>0</xdr:rowOff>
                  </from>
                  <to>
                    <xdr:col>2</xdr:col>
                    <xdr:colOff>0</xdr:colOff>
                    <xdr:row>88</xdr:row>
                    <xdr:rowOff>209550</xdr:rowOff>
                  </to>
                </anchor>
              </controlPr>
            </control>
          </mc:Choice>
        </mc:AlternateContent>
        <mc:AlternateContent xmlns:mc="http://schemas.openxmlformats.org/markup-compatibility/2006">
          <mc:Choice Requires="x14">
            <control shapeId="39965" r:id="rId21" name="Check Box 29">
              <controlPr defaultSize="0" autoFill="0" autoLine="0" autoPict="0" altText="">
                <anchor moveWithCells="1">
                  <from>
                    <xdr:col>1</xdr:col>
                    <xdr:colOff>0</xdr:colOff>
                    <xdr:row>91</xdr:row>
                    <xdr:rowOff>0</xdr:rowOff>
                  </from>
                  <to>
                    <xdr:col>2</xdr:col>
                    <xdr:colOff>0</xdr:colOff>
                    <xdr:row>91</xdr:row>
                    <xdr:rowOff>209550</xdr:rowOff>
                  </to>
                </anchor>
              </controlPr>
            </control>
          </mc:Choice>
        </mc:AlternateContent>
        <mc:AlternateContent xmlns:mc="http://schemas.openxmlformats.org/markup-compatibility/2006">
          <mc:Choice Requires="x14">
            <control shapeId="39966" r:id="rId22" name="Check Box 30">
              <controlPr defaultSize="0" autoFill="0" autoLine="0" autoPict="0" altText="">
                <anchor moveWithCells="1">
                  <from>
                    <xdr:col>1</xdr:col>
                    <xdr:colOff>0</xdr:colOff>
                    <xdr:row>97</xdr:row>
                    <xdr:rowOff>0</xdr:rowOff>
                  </from>
                  <to>
                    <xdr:col>2</xdr:col>
                    <xdr:colOff>0</xdr:colOff>
                    <xdr:row>97</xdr:row>
                    <xdr:rowOff>209550</xdr:rowOff>
                  </to>
                </anchor>
              </controlPr>
            </control>
          </mc:Choice>
        </mc:AlternateContent>
        <mc:AlternateContent xmlns:mc="http://schemas.openxmlformats.org/markup-compatibility/2006">
          <mc:Choice Requires="x14">
            <control shapeId="39967" r:id="rId23" name="Check Box 31">
              <controlPr defaultSize="0" autoFill="0" autoLine="0" autoPict="0" altText="">
                <anchor moveWithCells="1">
                  <from>
                    <xdr:col>1</xdr:col>
                    <xdr:colOff>0</xdr:colOff>
                    <xdr:row>103</xdr:row>
                    <xdr:rowOff>0</xdr:rowOff>
                  </from>
                  <to>
                    <xdr:col>2</xdr:col>
                    <xdr:colOff>0</xdr:colOff>
                    <xdr:row>104</xdr:row>
                    <xdr:rowOff>0</xdr:rowOff>
                  </to>
                </anchor>
              </controlPr>
            </control>
          </mc:Choice>
        </mc:AlternateContent>
        <mc:AlternateContent xmlns:mc="http://schemas.openxmlformats.org/markup-compatibility/2006">
          <mc:Choice Requires="x14">
            <control shapeId="39968" r:id="rId24" name="Check Box 32">
              <controlPr defaultSize="0" autoFill="0" autoLine="0" autoPict="0" altText="">
                <anchor moveWithCells="1">
                  <from>
                    <xdr:col>1</xdr:col>
                    <xdr:colOff>0</xdr:colOff>
                    <xdr:row>105</xdr:row>
                    <xdr:rowOff>0</xdr:rowOff>
                  </from>
                  <to>
                    <xdr:col>2</xdr:col>
                    <xdr:colOff>0</xdr:colOff>
                    <xdr:row>105</xdr:row>
                    <xdr:rowOff>209550</xdr:rowOff>
                  </to>
                </anchor>
              </controlPr>
            </control>
          </mc:Choice>
        </mc:AlternateContent>
        <mc:AlternateContent xmlns:mc="http://schemas.openxmlformats.org/markup-compatibility/2006">
          <mc:Choice Requires="x14">
            <control shapeId="39969" r:id="rId25" name="Check Box 33">
              <controlPr defaultSize="0" autoFill="0" autoLine="0" autoPict="0" altText="3 Fahrstreifen">
                <anchor moveWithCells="1">
                  <from>
                    <xdr:col>1</xdr:col>
                    <xdr:colOff>0</xdr:colOff>
                    <xdr:row>107</xdr:row>
                    <xdr:rowOff>0</xdr:rowOff>
                  </from>
                  <to>
                    <xdr:col>2</xdr:col>
                    <xdr:colOff>0</xdr:colOff>
                    <xdr:row>107</xdr:row>
                    <xdr:rowOff>209550</xdr:rowOff>
                  </to>
                </anchor>
              </controlPr>
            </control>
          </mc:Choice>
        </mc:AlternateContent>
        <mc:AlternateContent xmlns:mc="http://schemas.openxmlformats.org/markup-compatibility/2006">
          <mc:Choice Requires="x14">
            <control shapeId="39995" r:id="rId26" name="Check Box 59">
              <controlPr defaultSize="0" autoFill="0" autoLine="0" autoPict="0" altText="">
                <anchor moveWithCells="1">
                  <from>
                    <xdr:col>1</xdr:col>
                    <xdr:colOff>0</xdr:colOff>
                    <xdr:row>60</xdr:row>
                    <xdr:rowOff>0</xdr:rowOff>
                  </from>
                  <to>
                    <xdr:col>2</xdr:col>
                    <xdr:colOff>0</xdr:colOff>
                    <xdr:row>60</xdr:row>
                    <xdr:rowOff>209550</xdr:rowOff>
                  </to>
                </anchor>
              </controlPr>
            </control>
          </mc:Choice>
        </mc:AlternateContent>
        <mc:AlternateContent xmlns:mc="http://schemas.openxmlformats.org/markup-compatibility/2006">
          <mc:Choice Requires="x14">
            <control shapeId="39996" r:id="rId27" name="Check Box 60">
              <controlPr defaultSize="0" autoFill="0" autoLine="0" autoPict="0" altText="">
                <anchor moveWithCells="1">
                  <from>
                    <xdr:col>1</xdr:col>
                    <xdr:colOff>0</xdr:colOff>
                    <xdr:row>67</xdr:row>
                    <xdr:rowOff>0</xdr:rowOff>
                  </from>
                  <to>
                    <xdr:col>2</xdr:col>
                    <xdr:colOff>0</xdr:colOff>
                    <xdr:row>68</xdr:row>
                    <xdr:rowOff>0</xdr:rowOff>
                  </to>
                </anchor>
              </controlPr>
            </control>
          </mc:Choice>
        </mc:AlternateContent>
        <mc:AlternateContent xmlns:mc="http://schemas.openxmlformats.org/markup-compatibility/2006">
          <mc:Choice Requires="x14">
            <control shapeId="39997" r:id="rId28" name="Check Box 61">
              <controlPr defaultSize="0" autoFill="0" autoLine="0" autoPict="0" altText="3 Fahrstreifen">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39998" r:id="rId29" name="Check Box 62">
              <controlPr defaultSize="0" autoFill="0" autoLine="0" autoPict="0" altText="">
                <anchor moveWithCells="1">
                  <from>
                    <xdr:col>1</xdr:col>
                    <xdr:colOff>0</xdr:colOff>
                    <xdr:row>58</xdr:row>
                    <xdr:rowOff>0</xdr:rowOff>
                  </from>
                  <to>
                    <xdr:col>2</xdr:col>
                    <xdr:colOff>0</xdr:colOff>
                    <xdr:row>58</xdr:row>
                    <xdr:rowOff>209550</xdr:rowOff>
                  </to>
                </anchor>
              </controlPr>
            </control>
          </mc:Choice>
        </mc:AlternateContent>
        <mc:AlternateContent xmlns:mc="http://schemas.openxmlformats.org/markup-compatibility/2006">
          <mc:Choice Requires="x14">
            <control shapeId="40008" r:id="rId30" name="Check Box 72">
              <controlPr defaultSize="0" autoFill="0" autoLine="0" autoPict="0" altText="3 Fahrstreifen">
                <anchor moveWithCells="1">
                  <from>
                    <xdr:col>1</xdr:col>
                    <xdr:colOff>0</xdr:colOff>
                    <xdr:row>54</xdr:row>
                    <xdr:rowOff>0</xdr:rowOff>
                  </from>
                  <to>
                    <xdr:col>2</xdr:col>
                    <xdr:colOff>0</xdr:colOff>
                    <xdr:row>54</xdr:row>
                    <xdr:rowOff>209550</xdr:rowOff>
                  </to>
                </anchor>
              </controlPr>
            </control>
          </mc:Choice>
        </mc:AlternateContent>
        <mc:AlternateContent xmlns:mc="http://schemas.openxmlformats.org/markup-compatibility/2006">
          <mc:Choice Requires="x14">
            <control shapeId="40009" r:id="rId31" name="Check Box 73">
              <controlPr defaultSize="0" autoFill="0" autoLine="0" autoPict="0" altText="3 Fahrstreifen">
                <anchor moveWithCells="1">
                  <from>
                    <xdr:col>1</xdr:col>
                    <xdr:colOff>0</xdr:colOff>
                    <xdr:row>52</xdr:row>
                    <xdr:rowOff>0</xdr:rowOff>
                  </from>
                  <to>
                    <xdr:col>2</xdr:col>
                    <xdr:colOff>0</xdr:colOff>
                    <xdr:row>52</xdr:row>
                    <xdr:rowOff>209550</xdr:rowOff>
                  </to>
                </anchor>
              </controlPr>
            </control>
          </mc:Choice>
        </mc:AlternateContent>
        <mc:AlternateContent xmlns:mc="http://schemas.openxmlformats.org/markup-compatibility/2006">
          <mc:Choice Requires="x14">
            <control shapeId="40011" r:id="rId32" name="Check Box 75">
              <controlPr defaultSize="0" autoFill="0" autoLine="0" autoPict="0" altText="">
                <anchor moveWithCells="1">
                  <from>
                    <xdr:col>1</xdr:col>
                    <xdr:colOff>0</xdr:colOff>
                    <xdr:row>18</xdr:row>
                    <xdr:rowOff>0</xdr:rowOff>
                  </from>
                  <to>
                    <xdr:col>2</xdr:col>
                    <xdr:colOff>0</xdr:colOff>
                    <xdr:row>18</xdr:row>
                    <xdr:rowOff>209550</xdr:rowOff>
                  </to>
                </anchor>
              </controlPr>
            </control>
          </mc:Choice>
        </mc:AlternateContent>
        <mc:AlternateContent xmlns:mc="http://schemas.openxmlformats.org/markup-compatibility/2006">
          <mc:Choice Requires="x14">
            <control shapeId="40012" r:id="rId33" name="Check Box 76">
              <controlPr defaultSize="0" autoFill="0" autoLine="0" autoPict="0" altText="">
                <anchor moveWithCells="1">
                  <from>
                    <xdr:col>1</xdr:col>
                    <xdr:colOff>0</xdr:colOff>
                    <xdr:row>20</xdr:row>
                    <xdr:rowOff>0</xdr:rowOff>
                  </from>
                  <to>
                    <xdr:col>2</xdr:col>
                    <xdr:colOff>0</xdr:colOff>
                    <xdr:row>20</xdr:row>
                    <xdr:rowOff>209550</xdr:rowOff>
                  </to>
                </anchor>
              </controlPr>
            </control>
          </mc:Choice>
        </mc:AlternateContent>
        <mc:AlternateContent xmlns:mc="http://schemas.openxmlformats.org/markup-compatibility/2006">
          <mc:Choice Requires="x14">
            <control shapeId="40016" r:id="rId34" name="Check Box 80">
              <controlPr defaultSize="0" autoFill="0" autoLine="0" autoPict="0" altText="">
                <anchor moveWithCells="1">
                  <from>
                    <xdr:col>1</xdr:col>
                    <xdr:colOff>0</xdr:colOff>
                    <xdr:row>22</xdr:row>
                    <xdr:rowOff>0</xdr:rowOff>
                  </from>
                  <to>
                    <xdr:col>2</xdr:col>
                    <xdr:colOff>0</xdr:colOff>
                    <xdr:row>22</xdr:row>
                    <xdr:rowOff>209550</xdr:rowOff>
                  </to>
                </anchor>
              </controlPr>
            </control>
          </mc:Choice>
        </mc:AlternateContent>
        <mc:AlternateContent xmlns:mc="http://schemas.openxmlformats.org/markup-compatibility/2006">
          <mc:Choice Requires="x14">
            <control shapeId="40017" r:id="rId35" name="Check Box 81">
              <controlPr defaultSize="0" autoFill="0" autoLine="0" autoPict="0" altText="">
                <anchor moveWithCells="1">
                  <from>
                    <xdr:col>1</xdr:col>
                    <xdr:colOff>0</xdr:colOff>
                    <xdr:row>94</xdr:row>
                    <xdr:rowOff>0</xdr:rowOff>
                  </from>
                  <to>
                    <xdr:col>2</xdr:col>
                    <xdr:colOff>0</xdr:colOff>
                    <xdr:row>94</xdr:row>
                    <xdr:rowOff>209550</xdr:rowOff>
                  </to>
                </anchor>
              </controlPr>
            </control>
          </mc:Choice>
        </mc:AlternateContent>
        <mc:AlternateContent xmlns:mc="http://schemas.openxmlformats.org/markup-compatibility/2006">
          <mc:Choice Requires="x14">
            <control shapeId="40019" r:id="rId36" name="Check Box 83">
              <controlPr defaultSize="0" autoFill="0" autoLine="0" autoPict="0" altText="">
                <anchor moveWithCells="1">
                  <from>
                    <xdr:col>1</xdr:col>
                    <xdr:colOff>9525</xdr:colOff>
                    <xdr:row>12</xdr:row>
                    <xdr:rowOff>0</xdr:rowOff>
                  </from>
                  <to>
                    <xdr:col>2</xdr:col>
                    <xdr:colOff>9525</xdr:colOff>
                    <xdr:row>13</xdr:row>
                    <xdr:rowOff>9525</xdr:rowOff>
                  </to>
                </anchor>
              </controlPr>
            </control>
          </mc:Choice>
        </mc:AlternateContent>
        <mc:AlternateContent xmlns:mc="http://schemas.openxmlformats.org/markup-compatibility/2006">
          <mc:Choice Requires="x14">
            <control shapeId="40020" r:id="rId37" name="Check Box 84">
              <controlPr defaultSize="0" autoFill="0" autoLine="0" autoPict="0" altText="">
                <anchor moveWithCells="1">
                  <from>
                    <xdr:col>1</xdr:col>
                    <xdr:colOff>9525</xdr:colOff>
                    <xdr:row>14</xdr:row>
                    <xdr:rowOff>0</xdr:rowOff>
                  </from>
                  <to>
                    <xdr:col>2</xdr:col>
                    <xdr:colOff>9525</xdr:colOff>
                    <xdr:row>15</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4" id="{AC3C470D-8E5E-421F-A156-F071A3DE2822}">
            <xm:f>NOT(Projektgrundlagen!$I$23)</xm:f>
            <x14:dxf>
              <font>
                <strike/>
                <color theme="0" tint="-0.14996795556505021"/>
              </font>
              <fill>
                <patternFill>
                  <bgColor theme="0"/>
                </patternFill>
              </fill>
            </x14:dxf>
          </x14:cfRule>
          <xm:sqref>B19:E26</xm:sqref>
        </x14:conditionalFormatting>
        <x14:conditionalFormatting xmlns:xm="http://schemas.microsoft.com/office/excel/2006/main">
          <x14:cfRule type="expression" priority="4" id="{FDC1EF53-092B-4820-B9D3-8AC38A613496}">
            <xm:f>NOT(Projektgrundlagen!$I$23)</xm:f>
            <x14:dxf>
              <font>
                <strike/>
                <color theme="0" tint="-0.14996795556505021"/>
              </font>
              <fill>
                <patternFill>
                  <bgColor theme="0"/>
                </patternFill>
              </fill>
            </x14:dxf>
          </x14:cfRule>
          <xm:sqref>B45:E64</xm:sqref>
        </x14:conditionalFormatting>
        <x14:conditionalFormatting xmlns:xm="http://schemas.microsoft.com/office/excel/2006/main">
          <x14:cfRule type="expression" priority="1" id="{18E37276-6A45-4C4D-A08A-FA2B7D43AF36}">
            <xm:f>NOT(Projektgrundlagen!$I$23)</xm:f>
            <x14:dxf>
              <font>
                <strike/>
                <color theme="0" tint="-0.14996795556505021"/>
              </font>
              <fill>
                <patternFill>
                  <bgColor theme="0"/>
                </patternFill>
              </fill>
            </x14:dxf>
          </x14:cfRule>
          <xm:sqref>B68:E80</xm:sqref>
        </x14:conditionalFormatting>
        <x14:conditionalFormatting xmlns:xm="http://schemas.microsoft.com/office/excel/2006/main">
          <x14:cfRule type="expression" priority="89" id="{9BBC4B79-5DF9-492E-9851-7C19E939CBFE}">
            <xm:f>NOT(Projektgrundlagen!$I$23)</xm:f>
            <x14:dxf>
              <font>
                <strike/>
                <color theme="0" tint="-0.14996795556505021"/>
              </font>
              <fill>
                <patternFill>
                  <bgColor theme="0"/>
                </patternFill>
              </fill>
            </x14:dxf>
          </x14:cfRule>
          <xm:sqref>B104:E109</xm:sqref>
        </x14:conditionalFormatting>
        <x14:conditionalFormatting xmlns:xm="http://schemas.microsoft.com/office/excel/2006/main">
          <x14:cfRule type="expression" priority="86" id="{4AA8CBD2-4B34-4D35-8D54-6A05D975D030}">
            <xm:f>NOT(Projektgrundlagen!$I$23)</xm:f>
            <x14:dxf>
              <font>
                <strike/>
                <color theme="0" tint="-0.14996795556505021"/>
              </font>
              <fill>
                <patternFill>
                  <bgColor theme="0"/>
                </patternFill>
              </fill>
            </x14:dxf>
          </x14:cfRule>
          <xm:sqref>B113:E114</xm:sqref>
        </x14:conditionalFormatting>
        <x14:conditionalFormatting xmlns:xm="http://schemas.microsoft.com/office/excel/2006/main">
          <x14:cfRule type="expression" priority="71" id="{87611CCD-32AF-4891-8E7E-2F64D46FF247}">
            <xm:f>NOT(Projektgrundlagen!$I$23)</xm:f>
            <x14:dxf>
              <font>
                <strike/>
                <color theme="0" tint="-0.14996795556505021"/>
              </font>
              <fill>
                <patternFill>
                  <bgColor theme="0"/>
                </patternFill>
              </fill>
            </x14:dxf>
          </x14:cfRule>
          <xm:sqref>B125:E126</xm:sqref>
        </x14:conditionalFormatting>
        <x14:conditionalFormatting xmlns:xm="http://schemas.microsoft.com/office/excel/2006/main">
          <x14:cfRule type="expression" priority="9" id="{D6322AE1-2BF4-488C-9D50-7888CBC5951B}">
            <xm:f>NOT(Projektgrundlagen!$I$23)</xm:f>
            <x14:dxf>
              <font>
                <strike/>
                <color theme="0" tint="-0.14996795556505021"/>
              </font>
              <fill>
                <patternFill>
                  <bgColor theme="0"/>
                </patternFill>
              </fill>
            </x14:dxf>
          </x14:cfRule>
          <xm:sqref>B13:J16 B30:E41 H30:J41 H45:J62 H68:J75 H77:J80 H86:J87 B86:E100 H89:J90 H92:J93 H98:J99 H104:J109 H113:J114 B120:E121 H120:J121 H125:J126</xm:sqref>
        </x14:conditionalFormatting>
        <x14:conditionalFormatting xmlns:xm="http://schemas.microsoft.com/office/excel/2006/main">
          <x14:cfRule type="expression" priority="26" id="{2C200E2D-3F9F-4522-9083-88432438B3C8}">
            <xm:f>'A anrechb Kosten'!$I$19</xm:f>
            <x14:dxf>
              <font>
                <b/>
                <i val="0"/>
              </font>
            </x14:dxf>
          </x14:cfRule>
          <xm:sqref>E25:H26</xm:sqref>
        </x14:conditionalFormatting>
        <x14:conditionalFormatting xmlns:xm="http://schemas.microsoft.com/office/excel/2006/main">
          <x14:cfRule type="expression" priority="22" id="{1BE273FB-67FB-46A2-9810-962CDD9725D9}">
            <xm:f>NOT(Projektgrundlagen!$I$23)</xm:f>
            <x14:dxf>
              <font>
                <strike/>
                <color theme="0" tint="-0.14996795556505021"/>
              </font>
              <fill>
                <patternFill>
                  <bgColor theme="0"/>
                </patternFill>
              </fill>
            </x14:dxf>
          </x14:cfRule>
          <xm:sqref>H19:J24</xm:sqref>
        </x14:conditionalFormatting>
        <x14:conditionalFormatting xmlns:xm="http://schemas.microsoft.com/office/excel/2006/main">
          <x14:cfRule type="expression" priority="31" id="{0E6083C7-96E8-4086-AB35-5A4CB4D7A29B}">
            <xm:f>NOT(Projektgrundlagen!$I$23)</xm:f>
            <x14:dxf>
              <font>
                <strike/>
                <color theme="0" tint="-0.14996795556505021"/>
              </font>
              <fill>
                <patternFill>
                  <bgColor theme="0"/>
                </patternFill>
              </fill>
            </x14:dxf>
          </x14:cfRule>
          <xm:sqref>H95:J96</xm:sqref>
        </x14:conditionalFormatting>
        <x14:conditionalFormatting xmlns:xm="http://schemas.microsoft.com/office/excel/2006/main">
          <x14:cfRule type="expression" priority="30" id="{4C9A58E4-AD04-472A-9D56-A75057BD6DC9}">
            <xm:f>NOT(Projektgrundlagen!$I$23)</xm:f>
            <x14:dxf>
              <font>
                <strike/>
                <color theme="0" tint="-0.14996795556505021"/>
              </font>
              <fill>
                <patternFill>
                  <bgColor theme="0"/>
                </patternFill>
              </fill>
            </x14:dxf>
          </x14:cfRule>
          <xm:sqref>I25:J26</xm:sqref>
        </x14:conditionalFormatting>
        <x14:conditionalFormatting xmlns:xm="http://schemas.microsoft.com/office/excel/2006/main">
          <x14:cfRule type="expression" priority="5" id="{69A6AB6E-6B70-4540-A91F-DC26F233DC40}">
            <xm:f>NOT(Projektgrundlagen!$I$23)</xm:f>
            <x14:dxf>
              <font>
                <strike/>
                <color theme="0" tint="-0.14996795556505021"/>
              </font>
              <fill>
                <patternFill>
                  <bgColor theme="0"/>
                </patternFill>
              </fill>
            </x14:dxf>
          </x14:cfRule>
          <xm:sqref>I63:J64</xm:sqref>
        </x14:conditionalFormatting>
        <x14:conditionalFormatting xmlns:xm="http://schemas.microsoft.com/office/excel/2006/main">
          <x14:cfRule type="expression" priority="2" id="{CCD07BC3-ED5B-4F9A-B0B9-2B2F8AE2D870}">
            <xm:f>NOT(Projektgrundlagen!$I$23)</xm:f>
            <x14:dxf>
              <font>
                <strike/>
                <color theme="0" tint="-0.14996795556505021"/>
              </font>
              <fill>
                <patternFill>
                  <bgColor theme="0"/>
                </patternFill>
              </fill>
            </x14:dxf>
          </x14:cfRule>
          <xm:sqref>I76:J76</xm:sqref>
        </x14:conditionalFormatting>
        <x14:conditionalFormatting xmlns:xm="http://schemas.microsoft.com/office/excel/2006/main">
          <x14:cfRule type="expression" priority="16" id="{ACE82B42-8DD0-40BF-8E6D-7C50D8EF4EF6}">
            <xm:f>NOT(Projektgrundlagen!$I$23)</xm:f>
            <x14:dxf>
              <font>
                <strike/>
                <color theme="0" tint="-0.14996795556505021"/>
              </font>
              <fill>
                <patternFill>
                  <bgColor theme="0"/>
                </patternFill>
              </fill>
            </x14:dxf>
          </x14:cfRule>
          <xm:sqref>I88:J88</xm:sqref>
        </x14:conditionalFormatting>
        <x14:conditionalFormatting xmlns:xm="http://schemas.microsoft.com/office/excel/2006/main">
          <x14:cfRule type="expression" priority="20" id="{5801A8EC-4FE2-4D28-8C87-1C6C0ADC4BB5}">
            <xm:f>NOT(Projektgrundlagen!$I$23)</xm:f>
            <x14:dxf>
              <font>
                <strike/>
                <color theme="0" tint="-0.14996795556505021"/>
              </font>
              <fill>
                <patternFill>
                  <bgColor theme="0"/>
                </patternFill>
              </fill>
            </x14:dxf>
          </x14:cfRule>
          <xm:sqref>I91:J91</xm:sqref>
        </x14:conditionalFormatting>
        <x14:conditionalFormatting xmlns:xm="http://schemas.microsoft.com/office/excel/2006/main">
          <x14:cfRule type="expression" priority="14" id="{DFF29973-D2E7-47CD-BE65-315335910B5D}">
            <xm:f>NOT(Projektgrundlagen!$I$23)</xm:f>
            <x14:dxf>
              <font>
                <strike/>
                <color theme="0" tint="-0.14996795556505021"/>
              </font>
              <fill>
                <patternFill>
                  <bgColor theme="0"/>
                </patternFill>
              </fill>
            </x14:dxf>
          </x14:cfRule>
          <xm:sqref>I94:J94</xm:sqref>
        </x14:conditionalFormatting>
        <x14:conditionalFormatting xmlns:xm="http://schemas.microsoft.com/office/excel/2006/main">
          <x14:cfRule type="expression" priority="12" id="{551755A5-3DFA-460D-8265-7224DEC65D84}">
            <xm:f>NOT(Projektgrundlagen!$I$23)</xm:f>
            <x14:dxf>
              <font>
                <strike/>
                <color theme="0" tint="-0.14996795556505021"/>
              </font>
              <fill>
                <patternFill>
                  <bgColor theme="0"/>
                </patternFill>
              </fill>
            </x14:dxf>
          </x14:cfRule>
          <xm:sqref>I97:J97</xm:sqref>
        </x14:conditionalFormatting>
        <x14:conditionalFormatting xmlns:xm="http://schemas.microsoft.com/office/excel/2006/main">
          <x14:cfRule type="expression" priority="10" id="{C8542F2B-476B-4F8B-9E4C-CF97FD527F02}">
            <xm:f>NOT(Projektgrundlagen!$I$23)</xm:f>
            <x14:dxf>
              <font>
                <strike/>
                <color theme="0" tint="-0.14996795556505021"/>
              </font>
              <fill>
                <patternFill>
                  <bgColor theme="0"/>
                </patternFill>
              </fill>
            </x14:dxf>
          </x14:cfRule>
          <xm:sqref>I100:J100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79998168889431442"/>
    <pageSetUpPr fitToPage="1"/>
  </sheetPr>
  <dimension ref="A1:P107"/>
  <sheetViews>
    <sheetView showGridLines="0" showRuler="0" zoomScaleNormal="100" zoomScaleSheetLayoutView="110" workbookViewId="0">
      <pane ySplit="12" topLeftCell="A13" activePane="bottomLeft" state="frozen"/>
      <selection activeCell="B2" sqref="B2:H2"/>
      <selection pane="bottomLeft" activeCell="B2" sqref="B2:H2"/>
    </sheetView>
  </sheetViews>
  <sheetFormatPr baseColWidth="10" defaultColWidth="0" defaultRowHeight="16.5" zeroHeight="1"/>
  <cols>
    <col min="1" max="1" width="5.7109375" style="519" customWidth="1"/>
    <col min="2" max="2" width="3.28515625" style="87" customWidth="1"/>
    <col min="3" max="3" width="4.140625" style="87" customWidth="1"/>
    <col min="4" max="4" width="3.28515625" style="87" customWidth="1"/>
    <col min="5" max="5" width="2.7109375" style="87" customWidth="1"/>
    <col min="6" max="6" width="44.42578125" style="87" customWidth="1"/>
    <col min="7" max="7" width="12.28515625" style="87" customWidth="1"/>
    <col min="8" max="9" width="7.28515625" style="87" customWidth="1"/>
    <col min="10" max="10" width="12.28515625" style="87" customWidth="1"/>
    <col min="11" max="11" width="12.7109375" style="88" customWidth="1"/>
    <col min="12" max="12" width="2.7109375" style="116" customWidth="1"/>
    <col min="13" max="13" width="11.42578125" style="121" hidden="1" customWidth="1"/>
    <col min="14" max="16" width="0" style="122" hidden="1" customWidth="1"/>
    <col min="17" max="16384" width="10.7109375" style="122" hidden="1"/>
  </cols>
  <sheetData>
    <row r="1" spans="1:16"/>
    <row r="2" spans="1:16" s="119" customFormat="1" ht="16.5" customHeight="1">
      <c r="A2" s="458"/>
      <c r="B2" s="1327" t="str">
        <f>IF(Projektgrundlagen!B2="","",Projektgrundlagen!B2)</f>
        <v>Fachplanung Tragwerksplanung</v>
      </c>
      <c r="C2" s="1327"/>
      <c r="D2" s="1327"/>
      <c r="E2" s="1327"/>
      <c r="F2" s="1327"/>
      <c r="G2" s="1328"/>
      <c r="H2" s="1355" t="str">
        <f>IF(Projektgrundlagen!F2="","",Projektgrundlagen!F2)</f>
        <v>VII.12.4</v>
      </c>
      <c r="I2" s="1330"/>
      <c r="J2" s="1330" t="s">
        <v>309</v>
      </c>
      <c r="K2" s="1331"/>
      <c r="L2" s="1543" t="s">
        <v>846</v>
      </c>
      <c r="M2" s="118" t="s">
        <v>54</v>
      </c>
      <c r="P2" s="195" t="s">
        <v>153</v>
      </c>
    </row>
    <row r="3" spans="1:16" s="119" customFormat="1">
      <c r="A3" s="458"/>
      <c r="B3" s="1257" t="s">
        <v>444</v>
      </c>
      <c r="C3" s="1257"/>
      <c r="D3" s="1257"/>
      <c r="E3" s="1257"/>
      <c r="F3" s="1257"/>
      <c r="G3" s="1258"/>
      <c r="H3" s="1356" t="str">
        <f>IF(Projektgrundlagen!F3="","",Projektgrundlagen!F3)</f>
        <v>Vertragsnr.:</v>
      </c>
      <c r="I3" s="1357"/>
      <c r="J3" s="1352" t="str">
        <f>IF(Projektgrundlagen!G3="","",Projektgrundlagen!G3)</f>
        <v>000.411.425</v>
      </c>
      <c r="K3" s="1353"/>
      <c r="L3" s="1543"/>
      <c r="M3" s="120"/>
      <c r="P3" s="119" t="str">
        <f ca="1">MID(CELL("dateiname",A2),FIND("]",CELL("dateiname",A2))+1,255)</f>
        <v>HB-D1 Besondere Lstg Land</v>
      </c>
    </row>
    <row r="4" spans="1:16" s="119" customFormat="1" ht="7.5" customHeight="1">
      <c r="A4" s="458"/>
      <c r="B4" s="368"/>
      <c r="C4" s="368"/>
      <c r="D4" s="368"/>
      <c r="E4" s="368"/>
      <c r="F4" s="368"/>
      <c r="G4" s="388"/>
      <c r="H4" s="138"/>
      <c r="I4" s="138"/>
      <c r="J4" s="180"/>
      <c r="K4" s="180"/>
      <c r="L4" s="1543"/>
      <c r="M4" s="120"/>
    </row>
    <row r="5" spans="1:16" s="119" customFormat="1">
      <c r="A5" s="458"/>
      <c r="B5" s="1359" t="str">
        <f>IF(Projektgrundlagen!B5="","",Projektgrundlagen!B5)</f>
        <v>Maßnahmennr:</v>
      </c>
      <c r="C5" s="1360"/>
      <c r="D5" s="1360"/>
      <c r="E5" s="1360"/>
      <c r="F5" s="1402" t="str">
        <f>IF(Projektgrundlagen!E5="","",Projektgrundlagen!E5)</f>
        <v>B63SABBD000300</v>
      </c>
      <c r="G5" s="1402"/>
      <c r="H5" s="1358" t="str">
        <f>IF(Projektgrundlagen!F5="","",Projektgrundlagen!F5)</f>
        <v>Vergabenr.:</v>
      </c>
      <c r="I5" s="1358"/>
      <c r="J5" s="1338" t="str">
        <f>IF(Projektgrundlagen!G5="","",Projektgrundlagen!G5)</f>
        <v>24-080603 D</v>
      </c>
      <c r="K5" s="1354"/>
      <c r="L5" s="1543"/>
      <c r="M5" s="120"/>
    </row>
    <row r="6" spans="1:16" s="119" customFormat="1">
      <c r="A6" s="458"/>
      <c r="B6" s="1361" t="str">
        <f>IF(Projektgrundlagen!B6="","",Projektgrundlagen!B6)</f>
        <v>Maßnahme:</v>
      </c>
      <c r="C6" s="1362"/>
      <c r="D6" s="1362"/>
      <c r="E6" s="1362"/>
      <c r="F6" s="1365" t="str">
        <f>IF(Projektgrundlagen!E6="","",Projektgrundlagen!E6)</f>
        <v>B 26, Erneuerung der Brücke über die Bahn bei Wernfeld</v>
      </c>
      <c r="G6" s="1365"/>
      <c r="H6" s="1365"/>
      <c r="I6" s="1365"/>
      <c r="J6" s="1365"/>
      <c r="K6" s="1366"/>
      <c r="L6" s="1543"/>
      <c r="M6" s="120"/>
    </row>
    <row r="7" spans="1:16" s="119" customFormat="1">
      <c r="A7" s="458"/>
      <c r="B7" s="1363" t="str">
        <f>IF(Projektgrundlagen!B7="","",Projektgrundlagen!B7)</f>
        <v/>
      </c>
      <c r="C7" s="1364"/>
      <c r="D7" s="1364"/>
      <c r="E7" s="1364"/>
      <c r="F7" s="1367" t="str">
        <f>IF(Projektgrundlagen!E7="","",Projektgrundlagen!E7)</f>
        <v>Behelfsbrücke über die Bahn</v>
      </c>
      <c r="G7" s="1367"/>
      <c r="H7" s="1367"/>
      <c r="I7" s="1367"/>
      <c r="J7" s="1367"/>
      <c r="K7" s="1368"/>
      <c r="L7" s="1543"/>
      <c r="M7" s="120"/>
    </row>
    <row r="8" spans="1:16" s="119" customFormat="1">
      <c r="A8" s="458"/>
      <c r="B8" s="1380" t="str">
        <f>IF(Projektgrundlagen!B8="","",Projektgrundlagen!B8)</f>
        <v>Bieter:</v>
      </c>
      <c r="C8" s="1381"/>
      <c r="D8" s="1381"/>
      <c r="E8" s="1381"/>
      <c r="F8" s="1403" t="str">
        <f>IF(Projektgrundlagen!E8="","",Projektgrundlagen!E8)</f>
        <v/>
      </c>
      <c r="G8" s="1403"/>
      <c r="H8" s="1403"/>
      <c r="I8" s="1403"/>
      <c r="J8" s="1403"/>
      <c r="K8" s="1404"/>
      <c r="L8" s="1543"/>
      <c r="M8" s="120"/>
    </row>
    <row r="9" spans="1:16" s="119" customFormat="1">
      <c r="A9" s="458"/>
      <c r="B9" s="369"/>
      <c r="C9" s="346"/>
      <c r="D9" s="346"/>
      <c r="E9" s="369"/>
      <c r="F9" s="369"/>
      <c r="G9" s="369"/>
      <c r="H9" s="369"/>
      <c r="I9" s="369"/>
      <c r="J9" s="369"/>
      <c r="K9" s="369"/>
      <c r="L9" s="115"/>
      <c r="M9" s="120"/>
    </row>
    <row r="10" spans="1:16" s="119" customFormat="1" ht="27" customHeight="1">
      <c r="A10" s="458"/>
      <c r="B10" s="1551" t="s">
        <v>855</v>
      </c>
      <c r="C10" s="1551"/>
      <c r="D10" s="1551"/>
      <c r="E10" s="1551"/>
      <c r="F10" s="1551"/>
      <c r="G10" s="771" t="s">
        <v>355</v>
      </c>
      <c r="H10" s="1553" t="s">
        <v>857</v>
      </c>
      <c r="I10" s="1554"/>
      <c r="J10" s="589" t="s">
        <v>356</v>
      </c>
      <c r="K10" s="588" t="s">
        <v>357</v>
      </c>
      <c r="L10" s="115"/>
      <c r="M10" s="120"/>
      <c r="O10" s="926" t="s">
        <v>396</v>
      </c>
    </row>
    <row r="11" spans="1:16" s="119" customFormat="1" ht="27" customHeight="1">
      <c r="A11" s="458"/>
      <c r="B11" s="1552" t="str">
        <f>IF(Projektgrundlagen!I22,"","Besondere Leistungen Hochbau Land sind nicht Teil dieser Honorarermittlung!")</f>
        <v>Besondere Leistungen Hochbau Land sind nicht Teil dieser Honorarermittlung!</v>
      </c>
      <c r="C11" s="1552"/>
      <c r="D11" s="1552"/>
      <c r="E11" s="1552"/>
      <c r="F11" s="1552"/>
      <c r="G11" s="590"/>
      <c r="H11" s="774" t="str">
        <f>IF(AND('E Honorarberechnung'!I22=0,'E Honorarberechnung'!L14,NOT('E Honorarberechnung'!M14)),"Fehlende Angabe des Basishonorarsatzes!",IF(AND('E Honorarberechnung'!I23=0,'E Honorarberechnung'!M14,NOT('E Honorarberechnung'!L14)),"Fehlende Angabe des Honorarsatzes!",""))</f>
        <v/>
      </c>
      <c r="I11" s="775"/>
      <c r="J11" s="591"/>
      <c r="K11" s="587"/>
      <c r="L11" s="115"/>
      <c r="M11" s="120"/>
      <c r="O11" s="1557">
        <f>IF(AND('E Honorarberechnung'!L14,NOT('E Honorarberechnung'!M14)),'E Honorarberechnung'!P36,IF(AND('E Honorarberechnung'!M14,NOT('E Honorarberechnung'!L14)),'E Honorarberechnung'!P36,""))</f>
        <v>145093.25</v>
      </c>
      <c r="P11" s="1557"/>
    </row>
    <row r="12" spans="1:16" ht="7.5" customHeight="1">
      <c r="B12" s="262"/>
      <c r="C12" s="971"/>
      <c r="D12" s="169"/>
      <c r="E12" s="169"/>
      <c r="F12" s="166"/>
      <c r="G12" s="170"/>
      <c r="H12" s="166"/>
      <c r="I12" s="166"/>
      <c r="J12" s="171"/>
      <c r="K12" s="167"/>
    </row>
    <row r="13" spans="1:16" ht="22.7" customHeight="1">
      <c r="B13" s="573" t="s">
        <v>139</v>
      </c>
      <c r="C13" s="175"/>
      <c r="D13" s="175"/>
      <c r="E13" s="175"/>
      <c r="F13" s="175"/>
      <c r="G13" s="175"/>
      <c r="H13" s="529"/>
      <c r="I13" s="529"/>
      <c r="J13" s="574"/>
      <c r="K13" s="575"/>
      <c r="O13" s="419" t="s">
        <v>236</v>
      </c>
      <c r="P13" s="419" t="s">
        <v>238</v>
      </c>
    </row>
    <row r="14" spans="1:16" ht="18">
      <c r="B14" s="92"/>
      <c r="C14" s="1163" t="s">
        <v>37</v>
      </c>
      <c r="D14" s="1164"/>
      <c r="E14" s="1165"/>
      <c r="F14" s="1174"/>
      <c r="G14" s="273"/>
      <c r="H14" s="1549"/>
      <c r="I14" s="1550"/>
      <c r="J14" s="935"/>
      <c r="K14" s="429" t="str">
        <f>IF(M14,IF(O14,$O$11*H14%,IF(P14,J14)),"")</f>
        <v/>
      </c>
      <c r="M14" s="121" t="b">
        <v>0</v>
      </c>
      <c r="O14" s="122" t="b">
        <f>AND(M14,OR(AND(G14="",J14=""),G14="v.H.-Satz"))</f>
        <v>0</v>
      </c>
      <c r="P14" s="122" t="b">
        <f>AND(M14,OR(G14="",G14="pauschal"))</f>
        <v>0</v>
      </c>
    </row>
    <row r="15" spans="1:16" s="124" customFormat="1">
      <c r="A15" s="572"/>
      <c r="B15" s="179"/>
      <c r="C15" s="968"/>
      <c r="D15" s="666"/>
      <c r="E15" s="432"/>
      <c r="F15" s="426"/>
      <c r="G15" s="663"/>
      <c r="H15" s="942"/>
      <c r="I15" s="943"/>
      <c r="J15" s="664"/>
      <c r="K15" s="438"/>
      <c r="L15" s="117"/>
      <c r="M15" s="123"/>
    </row>
    <row r="16" spans="1:16" ht="18">
      <c r="B16" s="92"/>
      <c r="C16" s="1166" t="s">
        <v>36</v>
      </c>
      <c r="D16" s="1167"/>
      <c r="E16" s="1168"/>
      <c r="F16" s="1174"/>
      <c r="G16" s="439"/>
      <c r="H16" s="1544"/>
      <c r="I16" s="1545"/>
      <c r="J16" s="938"/>
      <c r="K16" s="428" t="str">
        <f>IF(M16,IF(O16,$O$11*H16%,IF(P16,J16)),"")</f>
        <v/>
      </c>
      <c r="M16" s="121" t="b">
        <v>0</v>
      </c>
      <c r="O16" s="122" t="b">
        <f>AND(M16,OR(AND(G16="",J16=""),G16="v.H.-Satz"))</f>
        <v>0</v>
      </c>
      <c r="P16" s="122" t="b">
        <f>AND(M16,OR(G16="",G16="pauschal"))</f>
        <v>0</v>
      </c>
    </row>
    <row r="17" spans="1:16" s="124" customFormat="1">
      <c r="A17" s="572"/>
      <c r="B17" s="179"/>
      <c r="C17" s="962"/>
      <c r="D17" s="667"/>
      <c r="E17" s="422"/>
      <c r="F17" s="426"/>
      <c r="G17" s="664"/>
      <c r="H17" s="939"/>
      <c r="I17" s="940"/>
      <c r="J17" s="664"/>
      <c r="K17" s="437"/>
      <c r="L17" s="117"/>
      <c r="M17" s="123"/>
    </row>
    <row r="18" spans="1:16" ht="18">
      <c r="B18" s="92"/>
      <c r="C18" s="1169" t="s">
        <v>35</v>
      </c>
      <c r="D18" s="1170"/>
      <c r="E18" s="1171"/>
      <c r="F18" s="1174"/>
      <c r="G18" s="436"/>
      <c r="H18" s="1546"/>
      <c r="I18" s="1547"/>
      <c r="J18" s="941"/>
      <c r="K18" s="428" t="str">
        <f>IF(M18,IF(O18,$O$11*H18%,IF(P18,J18)),"")</f>
        <v/>
      </c>
      <c r="M18" s="121" t="b">
        <v>0</v>
      </c>
      <c r="O18" s="122" t="b">
        <f>AND(M18,OR(AND(G18="",J18=""),G18="v.H.-Satz"))</f>
        <v>0</v>
      </c>
      <c r="P18" s="122" t="b">
        <f>AND(M18,OR(G18="",G18="pauschal"))</f>
        <v>0</v>
      </c>
    </row>
    <row r="19" spans="1:16" s="124" customFormat="1" ht="17.25" thickBot="1">
      <c r="A19" s="572"/>
      <c r="B19" s="179"/>
      <c r="C19" s="962"/>
      <c r="D19" s="668"/>
      <c r="E19" s="432"/>
      <c r="F19" s="426"/>
      <c r="G19" s="664"/>
      <c r="H19" s="939"/>
      <c r="I19" s="940"/>
      <c r="J19" s="665"/>
      <c r="K19" s="437"/>
      <c r="L19" s="117"/>
      <c r="M19" s="123"/>
    </row>
    <row r="20" spans="1:16" ht="22.7" customHeight="1" thickBot="1">
      <c r="B20" s="523"/>
      <c r="C20" s="972" t="s">
        <v>10</v>
      </c>
      <c r="D20" s="580"/>
      <c r="E20" s="582"/>
      <c r="F20" s="417"/>
      <c r="G20" s="1515" t="s">
        <v>457</v>
      </c>
      <c r="H20" s="1515"/>
      <c r="I20" s="1515"/>
      <c r="J20" s="1548"/>
      <c r="K20" s="540">
        <f>IF(Projektgrundlagen!I22,IF(COUNT(K14:K19)&gt;0,SUM(K14:K19),""),0)</f>
        <v>0</v>
      </c>
    </row>
    <row r="21" spans="1:16">
      <c r="B21" s="234"/>
      <c r="C21" s="973"/>
      <c r="D21" s="128"/>
      <c r="E21" s="128"/>
      <c r="F21" s="29"/>
      <c r="G21" s="129"/>
      <c r="H21" s="29"/>
      <c r="I21" s="29"/>
      <c r="J21" s="32"/>
      <c r="K21" s="167"/>
    </row>
    <row r="22" spans="1:16" ht="22.7" customHeight="1">
      <c r="B22" s="573" t="s">
        <v>140</v>
      </c>
      <c r="C22" s="175"/>
      <c r="D22" s="175"/>
      <c r="E22" s="175"/>
      <c r="F22" s="175"/>
      <c r="G22" s="175"/>
      <c r="H22" s="529"/>
      <c r="I22" s="529"/>
      <c r="J22" s="574"/>
      <c r="K22" s="576"/>
    </row>
    <row r="23" spans="1:16" ht="18">
      <c r="B23" s="92"/>
      <c r="C23" s="1163" t="s">
        <v>34</v>
      </c>
      <c r="D23" s="1164"/>
      <c r="E23" s="1165"/>
      <c r="F23" s="1174"/>
      <c r="G23" s="273"/>
      <c r="H23" s="1549"/>
      <c r="I23" s="1550"/>
      <c r="J23" s="935"/>
      <c r="K23" s="429" t="str">
        <f>IF(M23,IF(O23,$O$11*H23%,IF(P23,J23)),"")</f>
        <v/>
      </c>
      <c r="M23" s="121" t="b">
        <v>0</v>
      </c>
      <c r="O23" s="122" t="b">
        <f>AND(M23,OR(AND(G23="",J23=""),G23="v.H.-Satz"))</f>
        <v>0</v>
      </c>
      <c r="P23" s="122" t="b">
        <f>AND(M23,OR(G23="",G23="pauschal"))</f>
        <v>0</v>
      </c>
    </row>
    <row r="24" spans="1:16" s="124" customFormat="1">
      <c r="A24" s="572"/>
      <c r="B24" s="179"/>
      <c r="C24" s="968"/>
      <c r="D24" s="666"/>
      <c r="E24" s="432"/>
      <c r="F24" s="426"/>
      <c r="G24" s="663"/>
      <c r="H24" s="936"/>
      <c r="I24" s="937"/>
      <c r="J24" s="663"/>
      <c r="K24" s="438"/>
      <c r="L24" s="117"/>
      <c r="M24" s="123"/>
    </row>
    <row r="25" spans="1:16" ht="18">
      <c r="B25" s="92"/>
      <c r="C25" s="1166" t="s">
        <v>33</v>
      </c>
      <c r="D25" s="1167"/>
      <c r="E25" s="1168"/>
      <c r="F25" s="1174"/>
      <c r="G25" s="439"/>
      <c r="H25" s="1544"/>
      <c r="I25" s="1545"/>
      <c r="J25" s="938"/>
      <c r="K25" s="428" t="str">
        <f>IF(M25,IF(O25,$O$11*H25%,IF(P25,J25)),"")</f>
        <v/>
      </c>
      <c r="M25" s="121" t="b">
        <v>0</v>
      </c>
      <c r="O25" s="122" t="b">
        <f>AND(M25,OR(AND(G25="",J25=""),G25="v.H.-Satz"))</f>
        <v>0</v>
      </c>
      <c r="P25" s="122" t="b">
        <f>AND(M25,OR(G25="",G25="pauschal"))</f>
        <v>0</v>
      </c>
    </row>
    <row r="26" spans="1:16" s="124" customFormat="1">
      <c r="A26" s="572"/>
      <c r="B26" s="179"/>
      <c r="C26" s="962"/>
      <c r="D26" s="667"/>
      <c r="E26" s="422"/>
      <c r="F26" s="426"/>
      <c r="G26" s="664"/>
      <c r="H26" s="939"/>
      <c r="I26" s="940"/>
      <c r="J26" s="664"/>
      <c r="K26" s="437"/>
      <c r="L26" s="117"/>
      <c r="M26" s="123"/>
    </row>
    <row r="27" spans="1:16" ht="18">
      <c r="B27" s="92"/>
      <c r="C27" s="1169" t="s">
        <v>32</v>
      </c>
      <c r="D27" s="1170"/>
      <c r="E27" s="1171"/>
      <c r="F27" s="1174"/>
      <c r="G27" s="436"/>
      <c r="H27" s="1546"/>
      <c r="I27" s="1547"/>
      <c r="J27" s="941"/>
      <c r="K27" s="428" t="str">
        <f>IF(M27,IF(O27,$O$11*H27%,IF(P27,J27)),"")</f>
        <v/>
      </c>
      <c r="M27" s="121" t="b">
        <v>0</v>
      </c>
      <c r="O27" s="122" t="b">
        <f>AND(M27,OR(AND(G27="",J27=""),G27="v.H.-Satz"))</f>
        <v>0</v>
      </c>
      <c r="P27" s="122" t="b">
        <f>AND(M27,OR(G27="",G27="pauschal"))</f>
        <v>0</v>
      </c>
    </row>
    <row r="28" spans="1:16" s="124" customFormat="1" ht="17.25" thickBot="1">
      <c r="A28" s="572"/>
      <c r="B28" s="179"/>
      <c r="C28" s="962"/>
      <c r="D28" s="668"/>
      <c r="E28" s="432"/>
      <c r="F28" s="426"/>
      <c r="G28" s="664"/>
      <c r="H28" s="939"/>
      <c r="I28" s="940"/>
      <c r="J28" s="665"/>
      <c r="K28" s="437"/>
      <c r="L28" s="117"/>
      <c r="M28" s="123"/>
    </row>
    <row r="29" spans="1:16" ht="22.7" customHeight="1" thickBot="1">
      <c r="B29" s="523"/>
      <c r="C29" s="972" t="s">
        <v>10</v>
      </c>
      <c r="D29" s="580"/>
      <c r="E29" s="582"/>
      <c r="F29" s="417"/>
      <c r="G29" s="1515" t="s">
        <v>458</v>
      </c>
      <c r="H29" s="1515"/>
      <c r="I29" s="1515"/>
      <c r="J29" s="1548"/>
      <c r="K29" s="540">
        <f>IF(Projektgrundlagen!I22,IF(COUNT(K23:K28)&gt;0,SUM(K23:K28),""),0)</f>
        <v>0</v>
      </c>
    </row>
    <row r="30" spans="1:16">
      <c r="B30" s="863"/>
      <c r="C30" s="974"/>
      <c r="D30" s="130"/>
      <c r="E30" s="130"/>
      <c r="F30" s="131"/>
      <c r="G30" s="132"/>
      <c r="H30" s="131"/>
      <c r="I30" s="131"/>
      <c r="J30" s="168"/>
      <c r="K30" s="167"/>
    </row>
    <row r="31" spans="1:16" ht="22.7" customHeight="1">
      <c r="B31" s="573" t="s">
        <v>141</v>
      </c>
      <c r="C31" s="175"/>
      <c r="D31" s="175"/>
      <c r="E31" s="175"/>
      <c r="F31" s="175"/>
      <c r="G31" s="175"/>
      <c r="H31" s="529"/>
      <c r="I31" s="529"/>
      <c r="J31" s="574"/>
      <c r="K31" s="576"/>
    </row>
    <row r="32" spans="1:16" ht="18">
      <c r="B32" s="94"/>
      <c r="C32" s="1163" t="s">
        <v>31</v>
      </c>
      <c r="D32" s="1164"/>
      <c r="E32" s="1165"/>
      <c r="F32" s="1176" t="s">
        <v>532</v>
      </c>
      <c r="G32" s="273"/>
      <c r="H32" s="1549"/>
      <c r="I32" s="1550"/>
      <c r="J32" s="935"/>
      <c r="K32" s="429" t="str">
        <f>IF(M32,IF(O32,$O$11*H32%,IF(P32,J32)),"")</f>
        <v/>
      </c>
      <c r="M32" s="121" t="b">
        <v>0</v>
      </c>
      <c r="O32" s="122" t="b">
        <f>AND(M32,OR(AND(G32="",J32=""),G32="v.H.-Satz"))</f>
        <v>0</v>
      </c>
      <c r="P32" s="122" t="b">
        <f>AND(M32,OR(G32="",G32="pauschal"))</f>
        <v>0</v>
      </c>
    </row>
    <row r="33" spans="1:16" s="124" customFormat="1" ht="25.5">
      <c r="A33" s="572"/>
      <c r="B33" s="260"/>
      <c r="C33" s="968"/>
      <c r="D33" s="666"/>
      <c r="E33" s="432"/>
      <c r="F33" s="670" t="s">
        <v>533</v>
      </c>
      <c r="G33" s="663"/>
      <c r="H33" s="936"/>
      <c r="I33" s="937"/>
      <c r="J33" s="663"/>
      <c r="K33" s="438"/>
      <c r="L33" s="117"/>
      <c r="M33" s="123"/>
    </row>
    <row r="34" spans="1:16" ht="18">
      <c r="B34" s="94"/>
      <c r="C34" s="1166" t="s">
        <v>30</v>
      </c>
      <c r="D34" s="1167"/>
      <c r="E34" s="1168"/>
      <c r="F34" s="1176" t="s">
        <v>534</v>
      </c>
      <c r="G34" s="439"/>
      <c r="H34" s="1544"/>
      <c r="I34" s="1545"/>
      <c r="J34" s="938"/>
      <c r="K34" s="428" t="str">
        <f>IF(M34,IF(O34,$O$11*H34%,IF(P34,J34)),"")</f>
        <v/>
      </c>
      <c r="M34" s="121" t="b">
        <v>0</v>
      </c>
      <c r="O34" s="122" t="b">
        <f>AND(M34,OR(AND(G34="",J34=""),G34="v.H.-Satz"))</f>
        <v>0</v>
      </c>
      <c r="P34" s="122" t="b">
        <f>AND(M34,OR(G34="",G34="pauschal"))</f>
        <v>0</v>
      </c>
    </row>
    <row r="35" spans="1:16" s="124" customFormat="1">
      <c r="A35" s="572"/>
      <c r="B35" s="260"/>
      <c r="C35" s="962"/>
      <c r="D35" s="667"/>
      <c r="E35" s="422"/>
      <c r="F35" s="670" t="s">
        <v>535</v>
      </c>
      <c r="G35" s="664"/>
      <c r="H35" s="939"/>
      <c r="I35" s="940"/>
      <c r="J35" s="664"/>
      <c r="K35" s="437"/>
      <c r="L35" s="117"/>
      <c r="M35" s="123"/>
    </row>
    <row r="36" spans="1:16" ht="18">
      <c r="B36" s="94"/>
      <c r="C36" s="1172" t="s">
        <v>29</v>
      </c>
      <c r="D36" s="1167"/>
      <c r="E36" s="1168"/>
      <c r="F36" s="1174"/>
      <c r="G36" s="439"/>
      <c r="H36" s="1544"/>
      <c r="I36" s="1545"/>
      <c r="J36" s="938"/>
      <c r="K36" s="428" t="str">
        <f>IF(M36,IF(O36,$O$11*H36%,IF(P36,J36)),"")</f>
        <v/>
      </c>
      <c r="M36" s="121" t="b">
        <v>0</v>
      </c>
      <c r="O36" s="122" t="b">
        <f>AND(M36,OR(AND(G36="",J36=""),G36="v.H.-Satz"))</f>
        <v>0</v>
      </c>
      <c r="P36" s="122" t="b">
        <f>AND(M36,OR(G36="",G36="pauschal"))</f>
        <v>0</v>
      </c>
    </row>
    <row r="37" spans="1:16" s="124" customFormat="1">
      <c r="A37" s="572"/>
      <c r="B37" s="260"/>
      <c r="C37" s="962"/>
      <c r="D37" s="667"/>
      <c r="E37" s="422"/>
      <c r="F37" s="426"/>
      <c r="G37" s="664"/>
      <c r="H37" s="939"/>
      <c r="I37" s="940"/>
      <c r="J37" s="664"/>
      <c r="K37" s="437"/>
      <c r="L37" s="117"/>
      <c r="M37" s="123"/>
    </row>
    <row r="38" spans="1:16" ht="18">
      <c r="B38" s="94"/>
      <c r="C38" s="1172" t="s">
        <v>180</v>
      </c>
      <c r="D38" s="1167"/>
      <c r="E38" s="1168"/>
      <c r="F38" s="1174"/>
      <c r="G38" s="439"/>
      <c r="H38" s="1544"/>
      <c r="I38" s="1545"/>
      <c r="J38" s="938"/>
      <c r="K38" s="428" t="str">
        <f>IF(M38,IF(O38,$O$11*H38%,IF(P38,J38)),"")</f>
        <v/>
      </c>
      <c r="M38" s="121" t="b">
        <v>0</v>
      </c>
      <c r="O38" s="122" t="b">
        <f>AND(M38,OR(AND(G38="",J38=""),G38="v.H.-Satz"))</f>
        <v>0</v>
      </c>
      <c r="P38" s="122" t="b">
        <f>AND(M38,OR(G38="",G38="pauschal"))</f>
        <v>0</v>
      </c>
    </row>
    <row r="39" spans="1:16" s="124" customFormat="1">
      <c r="A39" s="572"/>
      <c r="B39" s="260"/>
      <c r="C39" s="962"/>
      <c r="D39" s="667"/>
      <c r="E39" s="422"/>
      <c r="F39" s="426"/>
      <c r="G39" s="664"/>
      <c r="H39" s="939"/>
      <c r="I39" s="940"/>
      <c r="J39" s="664"/>
      <c r="K39" s="437"/>
      <c r="L39" s="117"/>
      <c r="M39" s="123"/>
    </row>
    <row r="40" spans="1:16" ht="18">
      <c r="B40" s="94"/>
      <c r="C40" s="1173" t="s">
        <v>181</v>
      </c>
      <c r="D40" s="1170"/>
      <c r="E40" s="1171"/>
      <c r="F40" s="1174"/>
      <c r="G40" s="436"/>
      <c r="H40" s="1546"/>
      <c r="I40" s="1547"/>
      <c r="J40" s="941"/>
      <c r="K40" s="428" t="str">
        <f>IF(M40,IF(O40,$O$11*H40%,IF(P40,J40)),"")</f>
        <v/>
      </c>
      <c r="M40" s="121" t="b">
        <v>0</v>
      </c>
      <c r="O40" s="122" t="b">
        <f>AND(M40,OR(AND(G40="",J40=""),G40="v.H.-Satz"))</f>
        <v>0</v>
      </c>
      <c r="P40" s="122" t="b">
        <f>AND(M40,OR(G40="",G40="pauschal"))</f>
        <v>0</v>
      </c>
    </row>
    <row r="41" spans="1:16" s="124" customFormat="1" ht="17.25" thickBot="1">
      <c r="A41" s="572"/>
      <c r="B41" s="260"/>
      <c r="C41" s="962"/>
      <c r="D41" s="668"/>
      <c r="E41" s="432"/>
      <c r="F41" s="426"/>
      <c r="G41" s="664"/>
      <c r="H41" s="939"/>
      <c r="I41" s="940"/>
      <c r="J41" s="665"/>
      <c r="K41" s="437"/>
      <c r="L41" s="117"/>
      <c r="M41" s="123"/>
    </row>
    <row r="42" spans="1:16" ht="22.7" customHeight="1" thickBot="1">
      <c r="B42" s="523"/>
      <c r="C42" s="972" t="s">
        <v>10</v>
      </c>
      <c r="D42" s="580"/>
      <c r="E42" s="582"/>
      <c r="F42" s="417"/>
      <c r="G42" s="1515" t="s">
        <v>459</v>
      </c>
      <c r="H42" s="1515"/>
      <c r="I42" s="1515"/>
      <c r="J42" s="1548"/>
      <c r="K42" s="540">
        <f>IF(Projektgrundlagen!I22,IF(COUNT(K32:K41)&gt;0,SUM(K32:K41),""),0)</f>
        <v>0</v>
      </c>
    </row>
    <row r="43" spans="1:16">
      <c r="B43" s="863"/>
      <c r="C43" s="974"/>
      <c r="D43" s="130"/>
      <c r="E43" s="130"/>
      <c r="F43" s="131"/>
      <c r="G43" s="132"/>
      <c r="H43" s="131"/>
      <c r="I43" s="131"/>
      <c r="J43" s="168"/>
      <c r="K43" s="167"/>
    </row>
    <row r="44" spans="1:16" ht="22.7" customHeight="1">
      <c r="B44" s="573" t="s">
        <v>142</v>
      </c>
      <c r="C44" s="175"/>
      <c r="D44" s="175"/>
      <c r="E44" s="175"/>
      <c r="F44" s="175"/>
      <c r="G44" s="577"/>
      <c r="H44" s="529"/>
      <c r="I44" s="529"/>
      <c r="J44" s="574"/>
      <c r="K44" s="576"/>
    </row>
    <row r="45" spans="1:16" ht="18">
      <c r="B45" s="92"/>
      <c r="C45" s="1163" t="s">
        <v>28</v>
      </c>
      <c r="D45" s="1164"/>
      <c r="E45" s="1165"/>
      <c r="F45" s="1176" t="s">
        <v>536</v>
      </c>
      <c r="G45" s="273"/>
      <c r="H45" s="1549"/>
      <c r="I45" s="1550"/>
      <c r="J45" s="935"/>
      <c r="K45" s="429" t="str">
        <f>IF(M45,IF(O45,$O$11*H45%,IF(P45,J45)),"")</f>
        <v/>
      </c>
      <c r="M45" s="121" t="b">
        <v>0</v>
      </c>
      <c r="O45" s="122" t="b">
        <f>AND(M45,OR(AND(G45="",J45=""),G45="v.H.-Satz"))</f>
        <v>0</v>
      </c>
      <c r="P45" s="122" t="b">
        <f>AND(M45,OR(G45="",G45="pauschal"))</f>
        <v>0</v>
      </c>
    </row>
    <row r="46" spans="1:16" s="124" customFormat="1">
      <c r="A46" s="572"/>
      <c r="B46" s="179"/>
      <c r="C46" s="968"/>
      <c r="D46" s="666"/>
      <c r="E46" s="432"/>
      <c r="F46" s="670"/>
      <c r="G46" s="663"/>
      <c r="H46" s="936"/>
      <c r="I46" s="937"/>
      <c r="J46" s="663"/>
      <c r="K46" s="438"/>
      <c r="L46" s="117"/>
      <c r="M46" s="123"/>
    </row>
    <row r="47" spans="1:16" ht="18">
      <c r="B47" s="92"/>
      <c r="C47" s="1166" t="s">
        <v>206</v>
      </c>
      <c r="D47" s="1167"/>
      <c r="E47" s="1168"/>
      <c r="F47" s="1174"/>
      <c r="G47" s="439"/>
      <c r="H47" s="1544"/>
      <c r="I47" s="1545"/>
      <c r="J47" s="938"/>
      <c r="K47" s="428" t="str">
        <f>IF(M47,IF(O47,$O$11*H47%,IF(P47,J47)),"")</f>
        <v/>
      </c>
      <c r="M47" s="121" t="b">
        <v>0</v>
      </c>
      <c r="O47" s="122" t="b">
        <f>AND(M47,OR(AND(G47="",J47=""),G47="v.H.-Satz"))</f>
        <v>0</v>
      </c>
      <c r="P47" s="122" t="b">
        <f>AND(M47,OR(G47="",G47="pauschal"))</f>
        <v>0</v>
      </c>
    </row>
    <row r="48" spans="1:16" s="124" customFormat="1">
      <c r="A48" s="572"/>
      <c r="B48" s="179"/>
      <c r="C48" s="962"/>
      <c r="D48" s="667"/>
      <c r="E48" s="422"/>
      <c r="F48" s="426"/>
      <c r="G48" s="664"/>
      <c r="H48" s="939"/>
      <c r="I48" s="940"/>
      <c r="J48" s="664"/>
      <c r="K48" s="437"/>
      <c r="L48" s="117"/>
      <c r="M48" s="123"/>
    </row>
    <row r="49" spans="1:16" ht="18">
      <c r="B49" s="92"/>
      <c r="C49" s="1172" t="s">
        <v>44</v>
      </c>
      <c r="D49" s="1167"/>
      <c r="E49" s="1168"/>
      <c r="F49" s="1174"/>
      <c r="G49" s="439"/>
      <c r="H49" s="1544"/>
      <c r="I49" s="1545"/>
      <c r="J49" s="938"/>
      <c r="K49" s="428" t="str">
        <f>IF(M49,IF(O49,$O$11*H49%,IF(P49,J49)),"")</f>
        <v/>
      </c>
      <c r="M49" s="121" t="b">
        <v>0</v>
      </c>
      <c r="O49" s="122" t="b">
        <f>AND(M49,OR(AND(G49="",J49=""),G49="v.H.-Satz"))</f>
        <v>0</v>
      </c>
      <c r="P49" s="122" t="b">
        <f>AND(M49,OR(G49="",G49="pauschal"))</f>
        <v>0</v>
      </c>
    </row>
    <row r="50" spans="1:16" s="124" customFormat="1">
      <c r="A50" s="572"/>
      <c r="B50" s="179"/>
      <c r="C50" s="962"/>
      <c r="D50" s="667"/>
      <c r="E50" s="422"/>
      <c r="F50" s="426"/>
      <c r="G50" s="664"/>
      <c r="H50" s="939"/>
      <c r="I50" s="940"/>
      <c r="J50" s="664"/>
      <c r="K50" s="437"/>
      <c r="L50" s="117"/>
      <c r="M50" s="123"/>
    </row>
    <row r="51" spans="1:16" ht="18">
      <c r="B51" s="92"/>
      <c r="C51" s="1173" t="s">
        <v>207</v>
      </c>
      <c r="D51" s="1170"/>
      <c r="E51" s="1171"/>
      <c r="F51" s="1174"/>
      <c r="G51" s="436"/>
      <c r="H51" s="1546"/>
      <c r="I51" s="1547"/>
      <c r="J51" s="941"/>
      <c r="K51" s="428" t="str">
        <f>IF(M51,IF(O51,$O$11*H51%,IF(P51,J51)),"")</f>
        <v/>
      </c>
      <c r="M51" s="121" t="b">
        <v>0</v>
      </c>
      <c r="O51" s="122" t="b">
        <f>AND(M51,OR(AND(G51="",J51=""),G51="v.H.-Satz"))</f>
        <v>0</v>
      </c>
      <c r="P51" s="122" t="b">
        <f>AND(M51,OR(G51="",G51="pauschal"))</f>
        <v>0</v>
      </c>
    </row>
    <row r="52" spans="1:16" s="124" customFormat="1" ht="17.25" thickBot="1">
      <c r="A52" s="572"/>
      <c r="B52" s="179"/>
      <c r="C52" s="962"/>
      <c r="D52" s="668"/>
      <c r="E52" s="432"/>
      <c r="F52" s="426"/>
      <c r="G52" s="664"/>
      <c r="H52" s="939"/>
      <c r="I52" s="940"/>
      <c r="J52" s="665"/>
      <c r="K52" s="437"/>
      <c r="L52" s="117"/>
      <c r="M52" s="123"/>
    </row>
    <row r="53" spans="1:16" ht="22.7" customHeight="1" thickBot="1">
      <c r="B53" s="586"/>
      <c r="C53" s="972" t="s">
        <v>10</v>
      </c>
      <c r="D53" s="580"/>
      <c r="E53" s="582"/>
      <c r="F53" s="417"/>
      <c r="G53" s="1515" t="s">
        <v>460</v>
      </c>
      <c r="H53" s="1515"/>
      <c r="I53" s="1515"/>
      <c r="J53" s="1548"/>
      <c r="K53" s="540">
        <f>IF(Projektgrundlagen!I22,IF(COUNT(K45:K52)&gt;0,SUM(K45:K52),""),0)</f>
        <v>0</v>
      </c>
    </row>
    <row r="54" spans="1:16">
      <c r="B54" s="868"/>
      <c r="C54" s="868"/>
      <c r="D54" s="130"/>
      <c r="E54" s="130"/>
      <c r="F54" s="131"/>
      <c r="G54" s="132"/>
      <c r="H54" s="131"/>
      <c r="I54" s="131"/>
      <c r="J54" s="168"/>
      <c r="K54" s="167"/>
    </row>
    <row r="55" spans="1:16" ht="22.7" customHeight="1">
      <c r="B55" s="573" t="s">
        <v>143</v>
      </c>
      <c r="C55" s="175"/>
      <c r="D55" s="175"/>
      <c r="E55" s="175"/>
      <c r="F55" s="175"/>
      <c r="G55" s="577"/>
      <c r="H55" s="529"/>
      <c r="I55" s="529"/>
      <c r="J55" s="574"/>
      <c r="K55" s="576"/>
    </row>
    <row r="56" spans="1:16" ht="18">
      <c r="B56" s="89"/>
      <c r="C56" s="1163" t="s">
        <v>27</v>
      </c>
      <c r="D56" s="1164"/>
      <c r="E56" s="1165"/>
      <c r="F56" s="1174"/>
      <c r="G56" s="273"/>
      <c r="H56" s="1549"/>
      <c r="I56" s="1550"/>
      <c r="J56" s="935"/>
      <c r="K56" s="429" t="str">
        <f>IF(M56,IF(O56,$O$11*H56%,IF(P56,J56)),"")</f>
        <v/>
      </c>
      <c r="M56" s="121" t="b">
        <v>0</v>
      </c>
      <c r="O56" s="122" t="b">
        <f>AND(M56,OR(AND(G56="",J56=""),G56="v.H.-Satz"))</f>
        <v>0</v>
      </c>
      <c r="P56" s="122" t="b">
        <f>AND(M56,OR(G56="",G56="pauschal"))</f>
        <v>0</v>
      </c>
    </row>
    <row r="57" spans="1:16" s="124" customFormat="1">
      <c r="A57" s="572"/>
      <c r="B57" s="179"/>
      <c r="C57" s="968"/>
      <c r="D57" s="666"/>
      <c r="E57" s="432"/>
      <c r="F57" s="426"/>
      <c r="G57" s="663"/>
      <c r="H57" s="936"/>
      <c r="I57" s="937"/>
      <c r="J57" s="663"/>
      <c r="K57" s="438"/>
      <c r="L57" s="117"/>
      <c r="M57" s="123"/>
    </row>
    <row r="58" spans="1:16" ht="18">
      <c r="B58" s="93"/>
      <c r="C58" s="1166" t="s">
        <v>26</v>
      </c>
      <c r="D58" s="1167"/>
      <c r="E58" s="1168"/>
      <c r="F58" s="1174"/>
      <c r="G58" s="439"/>
      <c r="H58" s="1544"/>
      <c r="I58" s="1545"/>
      <c r="J58" s="938"/>
      <c r="K58" s="428" t="str">
        <f>IF(M58,IF(O58,$O$11*H58%,IF(P58,J58)),"")</f>
        <v/>
      </c>
      <c r="M58" s="121" t="b">
        <v>0</v>
      </c>
      <c r="O58" s="122" t="b">
        <f>AND(M58,OR(AND(G58="",J58=""),G58="v.H.-Satz"))</f>
        <v>0</v>
      </c>
      <c r="P58" s="122" t="b">
        <f>AND(M58,OR(G58="",G58="pauschal"))</f>
        <v>0</v>
      </c>
    </row>
    <row r="59" spans="1:16" s="124" customFormat="1">
      <c r="A59" s="572"/>
      <c r="B59" s="261"/>
      <c r="C59" s="962"/>
      <c r="D59" s="667"/>
      <c r="E59" s="422"/>
      <c r="F59" s="426"/>
      <c r="G59" s="664"/>
      <c r="H59" s="939"/>
      <c r="I59" s="940"/>
      <c r="J59" s="664"/>
      <c r="K59" s="437"/>
      <c r="L59" s="117"/>
      <c r="M59" s="123"/>
    </row>
    <row r="60" spans="1:16" ht="18">
      <c r="B60" s="93"/>
      <c r="C60" s="1169" t="s">
        <v>25</v>
      </c>
      <c r="D60" s="1170"/>
      <c r="E60" s="1171"/>
      <c r="F60" s="1174"/>
      <c r="G60" s="436"/>
      <c r="H60" s="1546"/>
      <c r="I60" s="1547"/>
      <c r="J60" s="941"/>
      <c r="K60" s="428" t="str">
        <f>IF(M60,IF(O60,$O$11*H60%,IF(P60,J60)),"")</f>
        <v/>
      </c>
      <c r="M60" s="121" t="b">
        <v>0</v>
      </c>
      <c r="O60" s="122" t="b">
        <f>AND(M60,OR(AND(G60="",J60=""),G60="v.H.-Satz"))</f>
        <v>0</v>
      </c>
      <c r="P60" s="122" t="b">
        <f>AND(M60,OR(G60="",G60="pauschal"))</f>
        <v>0</v>
      </c>
    </row>
    <row r="61" spans="1:16" s="124" customFormat="1" ht="17.25" thickBot="1">
      <c r="A61" s="572"/>
      <c r="B61" s="261"/>
      <c r="C61" s="962"/>
      <c r="D61" s="668"/>
      <c r="E61" s="432"/>
      <c r="F61" s="426"/>
      <c r="G61" s="664"/>
      <c r="H61" s="939"/>
      <c r="I61" s="940"/>
      <c r="J61" s="665"/>
      <c r="K61" s="437"/>
      <c r="L61" s="117"/>
      <c r="M61" s="123"/>
    </row>
    <row r="62" spans="1:16" ht="22.7" customHeight="1" thickBot="1">
      <c r="B62" s="583"/>
      <c r="C62" s="972" t="s">
        <v>10</v>
      </c>
      <c r="D62" s="580"/>
      <c r="E62" s="584"/>
      <c r="F62" s="585"/>
      <c r="G62" s="1515" t="s">
        <v>227</v>
      </c>
      <c r="H62" s="1515"/>
      <c r="I62" s="1515"/>
      <c r="J62" s="1548"/>
      <c r="K62" s="540">
        <f>IF(Projektgrundlagen!I22,IF(COUNT(K56:K61)&gt;0,SUM(K56:K61),""),0)</f>
        <v>0</v>
      </c>
    </row>
    <row r="63" spans="1:16">
      <c r="B63" s="234"/>
      <c r="C63" s="868"/>
      <c r="D63" s="130"/>
      <c r="E63" s="130"/>
      <c r="F63" s="131"/>
      <c r="G63" s="132"/>
      <c r="H63" s="131"/>
      <c r="I63" s="131"/>
      <c r="J63" s="168"/>
      <c r="K63" s="167"/>
    </row>
    <row r="64" spans="1:16" ht="22.7" customHeight="1">
      <c r="B64" s="578" t="s">
        <v>144</v>
      </c>
      <c r="C64" s="29"/>
      <c r="D64" s="29"/>
      <c r="E64" s="29"/>
      <c r="F64" s="29"/>
      <c r="G64" s="29"/>
      <c r="H64" s="529"/>
      <c r="I64" s="529"/>
      <c r="J64" s="574"/>
      <c r="K64" s="576"/>
    </row>
    <row r="65" spans="1:16" ht="18">
      <c r="B65" s="89"/>
      <c r="C65" s="1163" t="s">
        <v>24</v>
      </c>
      <c r="D65" s="1164"/>
      <c r="E65" s="1165"/>
      <c r="F65" s="1174"/>
      <c r="G65" s="273"/>
      <c r="H65" s="1549"/>
      <c r="I65" s="1550"/>
      <c r="J65" s="935"/>
      <c r="K65" s="429" t="str">
        <f>IF(M65,IF(O65,$O$11*H65%,IF(P65,J65)),"")</f>
        <v/>
      </c>
      <c r="M65" s="121" t="b">
        <v>0</v>
      </c>
      <c r="O65" s="122" t="b">
        <f>AND(M65,OR(AND(G65="",J65=""),G65="v.H.-Satz"))</f>
        <v>0</v>
      </c>
      <c r="P65" s="122" t="b">
        <f>AND(M65,OR(G65="",G65="pauschal"))</f>
        <v>0</v>
      </c>
    </row>
    <row r="66" spans="1:16" s="124" customFormat="1">
      <c r="A66" s="572"/>
      <c r="B66" s="179"/>
      <c r="C66" s="968"/>
      <c r="D66" s="666"/>
      <c r="E66" s="432"/>
      <c r="F66" s="426"/>
      <c r="G66" s="663"/>
      <c r="H66" s="936"/>
      <c r="I66" s="937"/>
      <c r="J66" s="663"/>
      <c r="K66" s="438"/>
      <c r="L66" s="117"/>
      <c r="M66" s="123"/>
    </row>
    <row r="67" spans="1:16" ht="18">
      <c r="B67" s="92"/>
      <c r="C67" s="1166" t="s">
        <v>23</v>
      </c>
      <c r="D67" s="1167"/>
      <c r="E67" s="1168"/>
      <c r="F67" s="1174"/>
      <c r="G67" s="439"/>
      <c r="H67" s="1544"/>
      <c r="I67" s="1545"/>
      <c r="J67" s="938"/>
      <c r="K67" s="428" t="str">
        <f>IF(M67,IF(O67,$O$11*H67%,IF(P67,J67)),"")</f>
        <v/>
      </c>
      <c r="M67" s="121" t="b">
        <v>0</v>
      </c>
      <c r="O67" s="122" t="b">
        <f>AND(M67,OR(AND(G67="",J67=""),G67="v.H.-Satz"))</f>
        <v>0</v>
      </c>
      <c r="P67" s="122" t="b">
        <f>AND(M67,OR(G67="",G67="pauschal"))</f>
        <v>0</v>
      </c>
    </row>
    <row r="68" spans="1:16" s="124" customFormat="1">
      <c r="A68" s="572"/>
      <c r="B68" s="179"/>
      <c r="C68" s="962"/>
      <c r="D68" s="667"/>
      <c r="E68" s="422"/>
      <c r="F68" s="426"/>
      <c r="G68" s="664"/>
      <c r="H68" s="939"/>
      <c r="I68" s="940"/>
      <c r="J68" s="664"/>
      <c r="K68" s="437"/>
      <c r="L68" s="117"/>
      <c r="M68" s="123"/>
    </row>
    <row r="69" spans="1:16" ht="18">
      <c r="B69" s="93"/>
      <c r="C69" s="1169" t="s">
        <v>45</v>
      </c>
      <c r="D69" s="1170"/>
      <c r="E69" s="1171"/>
      <c r="F69" s="1174"/>
      <c r="G69" s="436"/>
      <c r="H69" s="1546"/>
      <c r="I69" s="1547"/>
      <c r="J69" s="941"/>
      <c r="K69" s="428" t="str">
        <f>IF(M69,IF(O69,$O$11*H69%,IF(P69,J69)),"")</f>
        <v/>
      </c>
      <c r="M69" s="121" t="b">
        <v>0</v>
      </c>
      <c r="O69" s="122" t="b">
        <f>AND(M69,OR(AND(G69="",J69=""),G69="v.H.-Satz"))</f>
        <v>0</v>
      </c>
      <c r="P69" s="122" t="b">
        <f>AND(M69,OR(G69="",G69="pauschal"))</f>
        <v>0</v>
      </c>
    </row>
    <row r="70" spans="1:16" s="124" customFormat="1" ht="17.25" thickBot="1">
      <c r="A70" s="572"/>
      <c r="B70" s="261"/>
      <c r="C70" s="962"/>
      <c r="D70" s="668"/>
      <c r="E70" s="432"/>
      <c r="F70" s="426"/>
      <c r="G70" s="664"/>
      <c r="H70" s="939"/>
      <c r="I70" s="940"/>
      <c r="J70" s="665"/>
      <c r="K70" s="437"/>
      <c r="L70" s="117"/>
      <c r="M70" s="123"/>
    </row>
    <row r="71" spans="1:16" ht="22.7" customHeight="1" thickBot="1">
      <c r="B71" s="523"/>
      <c r="C71" s="972" t="s">
        <v>10</v>
      </c>
      <c r="D71" s="580"/>
      <c r="E71" s="582"/>
      <c r="F71" s="417"/>
      <c r="G71" s="1515" t="s">
        <v>461</v>
      </c>
      <c r="H71" s="1515"/>
      <c r="I71" s="1515"/>
      <c r="J71" s="1548"/>
      <c r="K71" s="540">
        <f>IF(Projektgrundlagen!I22,IF(COUNT(K65:K70)&gt;0,SUM(K65:K70),""),0)</f>
        <v>0</v>
      </c>
    </row>
    <row r="72" spans="1:16">
      <c r="B72" s="234"/>
      <c r="C72" s="971"/>
      <c r="D72" s="169"/>
      <c r="E72" s="169"/>
      <c r="F72" s="166"/>
      <c r="G72" s="170"/>
      <c r="H72" s="166"/>
      <c r="I72" s="166"/>
      <c r="J72" s="171"/>
      <c r="K72" s="167"/>
    </row>
    <row r="73" spans="1:16" ht="22.7" customHeight="1">
      <c r="B73" s="579" t="s">
        <v>145</v>
      </c>
      <c r="C73" s="166"/>
      <c r="D73" s="166"/>
      <c r="E73" s="166"/>
      <c r="F73" s="166"/>
      <c r="G73" s="29"/>
      <c r="H73" s="529"/>
      <c r="I73" s="529"/>
      <c r="J73" s="574"/>
      <c r="K73" s="576"/>
    </row>
    <row r="74" spans="1:16" ht="18">
      <c r="B74" s="89"/>
      <c r="C74" s="1163" t="s">
        <v>22</v>
      </c>
      <c r="D74" s="1164"/>
      <c r="E74" s="1165"/>
      <c r="F74" s="1176" t="s">
        <v>538</v>
      </c>
      <c r="G74" s="273"/>
      <c r="H74" s="1549"/>
      <c r="I74" s="1550"/>
      <c r="J74" s="935"/>
      <c r="K74" s="429" t="str">
        <f>IF(M74,IF(O74,$O$11*H74%,IF(P74,J74)),"")</f>
        <v/>
      </c>
      <c r="M74" s="121" t="b">
        <v>0</v>
      </c>
      <c r="O74" s="122" t="b">
        <f>AND(M74,OR(AND(G74="",J74=""),G74="v.H.-Satz"))</f>
        <v>0</v>
      </c>
      <c r="P74" s="122" t="b">
        <f>AND(M74,OR(G74="",G74="pauschal"))</f>
        <v>0</v>
      </c>
    </row>
    <row r="75" spans="1:16" s="124" customFormat="1">
      <c r="A75" s="572"/>
      <c r="B75" s="179"/>
      <c r="C75" s="968"/>
      <c r="D75" s="666"/>
      <c r="E75" s="432"/>
      <c r="F75" s="670" t="s">
        <v>539</v>
      </c>
      <c r="G75" s="663"/>
      <c r="H75" s="936"/>
      <c r="I75" s="937"/>
      <c r="J75" s="663"/>
      <c r="K75" s="438"/>
      <c r="L75" s="117"/>
      <c r="M75" s="123"/>
    </row>
    <row r="76" spans="1:16" ht="18">
      <c r="B76" s="92"/>
      <c r="C76" s="1166" t="s">
        <v>21</v>
      </c>
      <c r="D76" s="1167"/>
      <c r="E76" s="1168"/>
      <c r="F76" s="1174"/>
      <c r="G76" s="439"/>
      <c r="H76" s="1544"/>
      <c r="I76" s="1545"/>
      <c r="J76" s="938"/>
      <c r="K76" s="428" t="str">
        <f>IF(M76,IF(O76,$O$11*H76%,IF(P76,J76)),"")</f>
        <v/>
      </c>
      <c r="M76" s="121" t="b">
        <v>0</v>
      </c>
      <c r="O76" s="122" t="b">
        <f>AND(M76,OR(AND(G76="",J76=""),G76="v.H.-Satz"))</f>
        <v>0</v>
      </c>
      <c r="P76" s="122" t="b">
        <f>AND(M76,OR(G76="",G76="pauschal"))</f>
        <v>0</v>
      </c>
    </row>
    <row r="77" spans="1:16" s="124" customFormat="1">
      <c r="A77" s="572"/>
      <c r="B77" s="179"/>
      <c r="C77" s="962"/>
      <c r="D77" s="667"/>
      <c r="E77" s="422"/>
      <c r="F77" s="426"/>
      <c r="G77" s="664"/>
      <c r="H77" s="939"/>
      <c r="I77" s="940"/>
      <c r="J77" s="664"/>
      <c r="K77" s="437"/>
      <c r="L77" s="117"/>
      <c r="M77" s="123"/>
    </row>
    <row r="78" spans="1:16" ht="18">
      <c r="B78" s="92"/>
      <c r="C78" s="1172" t="s">
        <v>46</v>
      </c>
      <c r="D78" s="1167"/>
      <c r="E78" s="1168"/>
      <c r="F78" s="1174"/>
      <c r="G78" s="439"/>
      <c r="H78" s="1544"/>
      <c r="I78" s="1545"/>
      <c r="J78" s="938"/>
      <c r="K78" s="428" t="str">
        <f>IF(M78,IF(O78,$O$11*H78%,IF(P78,J78)),"")</f>
        <v/>
      </c>
      <c r="M78" s="121" t="b">
        <v>0</v>
      </c>
      <c r="O78" s="122" t="b">
        <f>AND(M78,OR(AND(G78="",J78=""),G78="v.H.-Satz"))</f>
        <v>0</v>
      </c>
      <c r="P78" s="122" t="b">
        <f>AND(M78,OR(G78="",G78="pauschal"))</f>
        <v>0</v>
      </c>
    </row>
    <row r="79" spans="1:16" s="124" customFormat="1">
      <c r="A79" s="572"/>
      <c r="B79" s="179"/>
      <c r="C79" s="962"/>
      <c r="D79" s="667"/>
      <c r="E79" s="422"/>
      <c r="F79" s="426"/>
      <c r="G79" s="664"/>
      <c r="H79" s="939"/>
      <c r="I79" s="940"/>
      <c r="J79" s="664"/>
      <c r="K79" s="437"/>
      <c r="L79" s="117"/>
      <c r="M79" s="123"/>
    </row>
    <row r="80" spans="1:16" ht="18">
      <c r="B80" s="93"/>
      <c r="C80" s="1173" t="s">
        <v>537</v>
      </c>
      <c r="D80" s="1170"/>
      <c r="E80" s="1171"/>
      <c r="F80" s="1174"/>
      <c r="G80" s="436"/>
      <c r="H80" s="1546"/>
      <c r="I80" s="1547"/>
      <c r="J80" s="941"/>
      <c r="K80" s="428" t="str">
        <f>IF(M80,IF(O80,$O$11*H80%,IF(P80,J80)),"")</f>
        <v/>
      </c>
      <c r="M80" s="121" t="b">
        <v>0</v>
      </c>
      <c r="O80" s="122" t="b">
        <f>AND(M80,OR(AND(G80="",J80=""),G80="v.H.-Satz"))</f>
        <v>0</v>
      </c>
      <c r="P80" s="122" t="b">
        <f>AND(M80,OR(G80="",G80="pauschal"))</f>
        <v>0</v>
      </c>
    </row>
    <row r="81" spans="1:16" s="124" customFormat="1" ht="17.25" thickBot="1">
      <c r="A81" s="572"/>
      <c r="B81" s="261"/>
      <c r="C81" s="962"/>
      <c r="D81" s="668"/>
      <c r="E81" s="432"/>
      <c r="F81" s="426"/>
      <c r="G81" s="664"/>
      <c r="H81" s="939"/>
      <c r="I81" s="940"/>
      <c r="J81" s="665"/>
      <c r="K81" s="437"/>
      <c r="L81" s="117"/>
      <c r="M81" s="123"/>
    </row>
    <row r="82" spans="1:16" ht="22.7" customHeight="1" thickBot="1">
      <c r="B82" s="523"/>
      <c r="C82" s="972" t="s">
        <v>10</v>
      </c>
      <c r="D82" s="580"/>
      <c r="E82" s="582"/>
      <c r="F82" s="417"/>
      <c r="G82" s="1515" t="s">
        <v>462</v>
      </c>
      <c r="H82" s="1515"/>
      <c r="I82" s="1515"/>
      <c r="J82" s="1548"/>
      <c r="K82" s="540">
        <f>IF(Projektgrundlagen!I22,IF(COUNT(K74:K81)&gt;0,SUM(K74:K81),""),0)</f>
        <v>0</v>
      </c>
    </row>
    <row r="83" spans="1:16">
      <c r="B83" s="863"/>
      <c r="C83" s="974"/>
      <c r="D83" s="130"/>
      <c r="E83" s="130"/>
      <c r="F83" s="131"/>
      <c r="G83" s="132"/>
      <c r="H83" s="131"/>
      <c r="I83" s="131"/>
      <c r="J83" s="168"/>
      <c r="K83" s="172"/>
    </row>
    <row r="84" spans="1:16" ht="22.7" customHeight="1">
      <c r="B84" s="578" t="s">
        <v>146</v>
      </c>
      <c r="C84" s="29"/>
      <c r="D84" s="29"/>
      <c r="E84" s="29"/>
      <c r="F84" s="29"/>
      <c r="G84" s="29"/>
      <c r="H84" s="529"/>
      <c r="I84" s="529"/>
      <c r="J84" s="574"/>
      <c r="K84" s="576"/>
    </row>
    <row r="85" spans="1:16" ht="18">
      <c r="B85" s="91"/>
      <c r="C85" s="1169" t="s">
        <v>20</v>
      </c>
      <c r="D85" s="1164"/>
      <c r="E85" s="1171"/>
      <c r="F85" s="1175" t="s">
        <v>540</v>
      </c>
      <c r="G85" s="436"/>
      <c r="H85" s="1544"/>
      <c r="I85" s="1545"/>
      <c r="J85" s="935"/>
      <c r="K85" s="429" t="str">
        <f>IF(M85,IF(O85,$O$11*H85%,IF(P85,J85)),"")</f>
        <v/>
      </c>
      <c r="M85" s="121" t="b">
        <v>0</v>
      </c>
      <c r="O85" s="122" t="b">
        <f>AND(M85,OR(AND(G85="",J85=""),G85="v.H.-Satz"))</f>
        <v>0</v>
      </c>
      <c r="P85" s="122" t="b">
        <f>AND(M85,OR(G85="",G85="pauschal"))</f>
        <v>0</v>
      </c>
    </row>
    <row r="86" spans="1:16" ht="25.5">
      <c r="B86" s="313"/>
      <c r="C86" s="962"/>
      <c r="D86" s="667"/>
      <c r="E86" s="422"/>
      <c r="F86" s="670" t="s">
        <v>541</v>
      </c>
      <c r="G86" s="664"/>
      <c r="H86" s="939"/>
      <c r="I86" s="940"/>
      <c r="J86" s="664"/>
      <c r="K86" s="437"/>
    </row>
    <row r="87" spans="1:16" ht="18">
      <c r="B87" s="91"/>
      <c r="C87" s="1169" t="s">
        <v>41</v>
      </c>
      <c r="D87" s="1170" t="s">
        <v>68</v>
      </c>
      <c r="E87" s="1171"/>
      <c r="F87" s="1174"/>
      <c r="G87" s="436"/>
      <c r="H87" s="1546"/>
      <c r="I87" s="1547"/>
      <c r="J87" s="941"/>
      <c r="K87" s="428" t="str">
        <f>IF(M87,IF(O87,$O$11*H87%,IF(P87,J87)),"")</f>
        <v/>
      </c>
      <c r="M87" s="121" t="b">
        <v>0</v>
      </c>
      <c r="O87" s="122" t="b">
        <f>AND(M87,OR(AND(G87="",J87=""),G87="v.H.-Satz"))</f>
        <v>0</v>
      </c>
      <c r="P87" s="122" t="b">
        <f>AND(M87,OR(G87="",G87="pauschal"))</f>
        <v>0</v>
      </c>
    </row>
    <row r="88" spans="1:16">
      <c r="B88" s="313"/>
      <c r="C88" s="975"/>
      <c r="D88" s="671"/>
      <c r="E88" s="440"/>
      <c r="F88" s="426"/>
      <c r="G88" s="664"/>
      <c r="H88" s="939"/>
      <c r="I88" s="940"/>
      <c r="J88" s="664"/>
      <c r="K88" s="437"/>
    </row>
    <row r="89" spans="1:16" ht="18">
      <c r="B89" s="91"/>
      <c r="C89" s="1169" t="s">
        <v>19</v>
      </c>
      <c r="D89" s="1170"/>
      <c r="E89" s="1171"/>
      <c r="F89" s="1174"/>
      <c r="G89" s="436"/>
      <c r="H89" s="1546"/>
      <c r="I89" s="1547"/>
      <c r="J89" s="941"/>
      <c r="K89" s="428" t="str">
        <f>IF(M89,IF(O89,$O$11*H89%,IF(P89,J89)),"")</f>
        <v/>
      </c>
      <c r="M89" s="121" t="b">
        <v>0</v>
      </c>
      <c r="O89" s="122" t="b">
        <f>AND(M89,OR(AND(G89="",J89=""),G89="v.H.-Satz"))</f>
        <v>0</v>
      </c>
      <c r="P89" s="122" t="b">
        <f>AND(M89,OR(G89="",G89="pauschal"))</f>
        <v>0</v>
      </c>
    </row>
    <row r="90" spans="1:16" s="124" customFormat="1">
      <c r="A90" s="572"/>
      <c r="B90" s="260"/>
      <c r="C90" s="962"/>
      <c r="D90" s="667"/>
      <c r="E90" s="432"/>
      <c r="F90" s="426"/>
      <c r="G90" s="664"/>
      <c r="H90" s="939"/>
      <c r="I90" s="940"/>
      <c r="J90" s="664"/>
      <c r="K90" s="437"/>
      <c r="L90" s="117"/>
      <c r="M90" s="123"/>
    </row>
    <row r="91" spans="1:16" ht="18">
      <c r="B91" s="91"/>
      <c r="C91" s="1169" t="s">
        <v>18</v>
      </c>
      <c r="D91" s="1170"/>
      <c r="E91" s="1168"/>
      <c r="F91" s="1174"/>
      <c r="G91" s="436"/>
      <c r="H91" s="1544"/>
      <c r="I91" s="1545"/>
      <c r="J91" s="938"/>
      <c r="K91" s="428" t="str">
        <f>IF(M91,IF(O91,$O$11*H91%,IF(P91,J91)),"")</f>
        <v/>
      </c>
      <c r="M91" s="121" t="b">
        <v>0</v>
      </c>
      <c r="O91" s="122" t="b">
        <f>AND(M91,OR(AND(G91="",J91=""),G91="v.H.-Satz"))</f>
        <v>0</v>
      </c>
      <c r="P91" s="122" t="b">
        <f>AND(M91,OR(G91="",G91="pauschal"))</f>
        <v>0</v>
      </c>
    </row>
    <row r="92" spans="1:16" ht="17.25" thickBot="1">
      <c r="B92" s="313"/>
      <c r="C92" s="962"/>
      <c r="D92" s="667"/>
      <c r="E92" s="432"/>
      <c r="F92" s="426"/>
      <c r="G92" s="664"/>
      <c r="H92" s="939"/>
      <c r="I92" s="940"/>
      <c r="J92" s="664"/>
      <c r="K92" s="437"/>
    </row>
    <row r="93" spans="1:16" ht="22.7" customHeight="1" thickBot="1">
      <c r="B93" s="523"/>
      <c r="C93" s="972"/>
      <c r="D93" s="580"/>
      <c r="E93" s="582"/>
      <c r="F93" s="417"/>
      <c r="G93" s="1515" t="s">
        <v>463</v>
      </c>
      <c r="H93" s="1515"/>
      <c r="I93" s="1515"/>
      <c r="J93" s="1548"/>
      <c r="K93" s="540">
        <f>IF(Projektgrundlagen!I22,IF(COUNT(K85:K92)&gt;0,SUM(K85:K92),""),0)</f>
        <v>0</v>
      </c>
    </row>
    <row r="94" spans="1:16">
      <c r="B94" s="863"/>
      <c r="C94" s="976"/>
      <c r="D94" s="864"/>
      <c r="E94" s="864"/>
      <c r="F94" s="865"/>
      <c r="G94" s="866"/>
      <c r="H94" s="865"/>
      <c r="I94" s="865"/>
      <c r="J94" s="867"/>
      <c r="K94" s="167"/>
    </row>
    <row r="95" spans="1:16" ht="22.7" customHeight="1">
      <c r="B95" s="578" t="s">
        <v>147</v>
      </c>
      <c r="C95" s="29"/>
      <c r="D95" s="29"/>
      <c r="E95" s="29"/>
      <c r="F95" s="29"/>
      <c r="G95" s="29"/>
      <c r="H95" s="529"/>
      <c r="I95" s="529"/>
      <c r="J95" s="574"/>
      <c r="K95" s="576"/>
    </row>
    <row r="96" spans="1:16" ht="18">
      <c r="B96" s="90"/>
      <c r="C96" s="1163" t="s">
        <v>15</v>
      </c>
      <c r="D96" s="1164"/>
      <c r="E96" s="1168"/>
      <c r="F96" s="1174"/>
      <c r="G96" s="439"/>
      <c r="H96" s="1549"/>
      <c r="I96" s="1550"/>
      <c r="J96" s="935"/>
      <c r="K96" s="429" t="str">
        <f>IF(M96,IF(O96,$O$11*H96%,IF(P96,J96)),"")</f>
        <v/>
      </c>
      <c r="M96" s="121" t="b">
        <v>0</v>
      </c>
      <c r="O96" s="122" t="b">
        <f>AND(M96,OR(AND(G96="",J96=""),G96="v.H.-Satz"))</f>
        <v>0</v>
      </c>
      <c r="P96" s="122" t="b">
        <f>AND(M96,OR(G96="",G96="pauschal"))</f>
        <v>0</v>
      </c>
    </row>
    <row r="97" spans="1:16">
      <c r="B97" s="194"/>
      <c r="C97" s="968"/>
      <c r="D97" s="666"/>
      <c r="E97" s="193"/>
      <c r="F97" s="426"/>
      <c r="G97" s="663"/>
      <c r="H97" s="936"/>
      <c r="I97" s="937"/>
      <c r="J97" s="663"/>
      <c r="K97" s="438"/>
    </row>
    <row r="98" spans="1:16" ht="18">
      <c r="B98" s="94"/>
      <c r="C98" s="1166" t="s">
        <v>14</v>
      </c>
      <c r="D98" s="1167"/>
      <c r="E98" s="1168"/>
      <c r="F98" s="1174"/>
      <c r="G98" s="439"/>
      <c r="H98" s="1544"/>
      <c r="I98" s="1545"/>
      <c r="J98" s="938"/>
      <c r="K98" s="428" t="str">
        <f>IF(M98,IF(O98,$O$11*H98%,IF(P98,J98)),"")</f>
        <v/>
      </c>
      <c r="M98" s="121" t="b">
        <v>0</v>
      </c>
      <c r="O98" s="122" t="b">
        <f>AND(M98,OR(AND(G98="",J98=""),G98="v.H.-Satz"))</f>
        <v>0</v>
      </c>
      <c r="P98" s="122" t="b">
        <f>AND(M98,OR(G98="",G98="pauschal"))</f>
        <v>0</v>
      </c>
    </row>
    <row r="99" spans="1:16">
      <c r="B99" s="316"/>
      <c r="C99" s="962"/>
      <c r="D99" s="667"/>
      <c r="E99" s="193"/>
      <c r="F99" s="426"/>
      <c r="G99" s="664"/>
      <c r="H99" s="939"/>
      <c r="I99" s="940"/>
      <c r="J99" s="664"/>
      <c r="K99" s="437"/>
    </row>
    <row r="100" spans="1:16" ht="18">
      <c r="B100" s="94"/>
      <c r="C100" s="1169" t="s">
        <v>132</v>
      </c>
      <c r="D100" s="1170"/>
      <c r="E100" s="1168"/>
      <c r="F100" s="1174"/>
      <c r="G100" s="439"/>
      <c r="H100" s="1546"/>
      <c r="I100" s="1547"/>
      <c r="J100" s="941"/>
      <c r="K100" s="428" t="str">
        <f>IF(M100,IF(O100,$O$11*H100%,IF(P100,J100)),"")</f>
        <v/>
      </c>
      <c r="M100" s="121" t="b">
        <v>0</v>
      </c>
      <c r="O100" s="122" t="b">
        <f>AND(M100,OR(AND(G100="",J100=""),G100="v.H.-Satz"))</f>
        <v>0</v>
      </c>
      <c r="P100" s="122" t="b">
        <f>AND(M100,OR(G100="",G100="pauschal"))</f>
        <v>0</v>
      </c>
    </row>
    <row r="101" spans="1:16" s="124" customFormat="1" ht="17.25" thickBot="1">
      <c r="A101" s="572"/>
      <c r="B101" s="260"/>
      <c r="C101" s="962"/>
      <c r="D101" s="667"/>
      <c r="E101" s="432"/>
      <c r="F101" s="426"/>
      <c r="G101" s="664"/>
      <c r="H101" s="939"/>
      <c r="I101" s="940"/>
      <c r="J101" s="664"/>
      <c r="K101" s="437"/>
      <c r="L101" s="117"/>
      <c r="M101" s="123"/>
    </row>
    <row r="102" spans="1:16" ht="22.7" customHeight="1" thickBot="1">
      <c r="B102" s="523"/>
      <c r="C102" s="972" t="s">
        <v>10</v>
      </c>
      <c r="D102" s="580"/>
      <c r="E102" s="581"/>
      <c r="F102" s="526"/>
      <c r="G102" s="1515" t="s">
        <v>378</v>
      </c>
      <c r="H102" s="1515"/>
      <c r="I102" s="1515"/>
      <c r="J102" s="1548"/>
      <c r="K102" s="540">
        <f>IF(Projektgrundlagen!I22,IF(COUNT(K96:K101)&gt;0,SUM(K96:K101),""),0)</f>
        <v>0</v>
      </c>
    </row>
    <row r="103" spans="1:16" ht="17.25" thickBot="1">
      <c r="B103" s="79"/>
      <c r="C103" s="79"/>
      <c r="D103" s="79"/>
      <c r="E103" s="79"/>
      <c r="F103" s="79"/>
      <c r="G103" s="79"/>
      <c r="H103" s="79"/>
      <c r="I103" s="79"/>
      <c r="J103" s="79"/>
      <c r="K103" s="84"/>
    </row>
    <row r="104" spans="1:16" ht="30" customHeight="1" thickBot="1">
      <c r="B104" s="603"/>
      <c r="C104" s="677" t="s">
        <v>10</v>
      </c>
      <c r="D104" s="675"/>
      <c r="E104" s="675"/>
      <c r="F104" s="676"/>
      <c r="G104" s="1555" t="s">
        <v>464</v>
      </c>
      <c r="H104" s="1555"/>
      <c r="I104" s="1555"/>
      <c r="J104" s="1556"/>
      <c r="K104" s="784">
        <f>IF(COUNT(K20,K29,K42,K53,K62,K71,K82,K93,K102)&gt;0,SUM(K20,K29,K42,K53,K62,K71,K82,K93,K102),"")</f>
        <v>0</v>
      </c>
    </row>
    <row r="105" spans="1:16" ht="12.75" customHeight="1"/>
    <row r="106" spans="1:16"/>
    <row r="107" spans="1:16"/>
  </sheetData>
  <sheetProtection sheet="1" formatRows="0"/>
  <mergeCells count="63">
    <mergeCell ref="G93:J93"/>
    <mergeCell ref="G102:J102"/>
    <mergeCell ref="H96:I96"/>
    <mergeCell ref="H98:I98"/>
    <mergeCell ref="H100:I100"/>
    <mergeCell ref="O11:P11"/>
    <mergeCell ref="H49:I49"/>
    <mergeCell ref="H51:I51"/>
    <mergeCell ref="H25:I25"/>
    <mergeCell ref="G53:J53"/>
    <mergeCell ref="G20:J20"/>
    <mergeCell ref="H23:I23"/>
    <mergeCell ref="H27:I27"/>
    <mergeCell ref="H36:I36"/>
    <mergeCell ref="H34:I34"/>
    <mergeCell ref="H47:I47"/>
    <mergeCell ref="G104:J104"/>
    <mergeCell ref="H14:I14"/>
    <mergeCell ref="H16:I16"/>
    <mergeCell ref="H18:I18"/>
    <mergeCell ref="G62:J62"/>
    <mergeCell ref="G71:J71"/>
    <mergeCell ref="H32:I32"/>
    <mergeCell ref="H38:I38"/>
    <mergeCell ref="H40:I40"/>
    <mergeCell ref="H45:I45"/>
    <mergeCell ref="G29:J29"/>
    <mergeCell ref="G42:J42"/>
    <mergeCell ref="H78:I78"/>
    <mergeCell ref="H80:I80"/>
    <mergeCell ref="H56:I56"/>
    <mergeCell ref="H58:I58"/>
    <mergeCell ref="H91:I91"/>
    <mergeCell ref="H87:I87"/>
    <mergeCell ref="H89:I89"/>
    <mergeCell ref="F6:K6"/>
    <mergeCell ref="H76:I76"/>
    <mergeCell ref="G82:J82"/>
    <mergeCell ref="H60:I60"/>
    <mergeCell ref="H85:I85"/>
    <mergeCell ref="H65:I65"/>
    <mergeCell ref="H67:I67"/>
    <mergeCell ref="H69:I69"/>
    <mergeCell ref="H74:I74"/>
    <mergeCell ref="F7:K7"/>
    <mergeCell ref="B10:F10"/>
    <mergeCell ref="B11:F11"/>
    <mergeCell ref="H10:I10"/>
    <mergeCell ref="B2:G2"/>
    <mergeCell ref="B3:G3"/>
    <mergeCell ref="L2:L8"/>
    <mergeCell ref="B8:E8"/>
    <mergeCell ref="F8:K8"/>
    <mergeCell ref="B5:E5"/>
    <mergeCell ref="F5:G5"/>
    <mergeCell ref="H5:I5"/>
    <mergeCell ref="J5:K5"/>
    <mergeCell ref="J2:K2"/>
    <mergeCell ref="J3:K3"/>
    <mergeCell ref="H2:I2"/>
    <mergeCell ref="H3:I3"/>
    <mergeCell ref="B6:E6"/>
    <mergeCell ref="B7:E7"/>
  </mergeCells>
  <conditionalFormatting sqref="F14">
    <cfRule type="expression" dxfId="1042" priority="98">
      <formula>NOT($M14)</formula>
    </cfRule>
    <cfRule type="expression" dxfId="1041" priority="99">
      <formula>AND($M14,F14="")</formula>
    </cfRule>
  </conditionalFormatting>
  <conditionalFormatting sqref="F15">
    <cfRule type="expression" dxfId="1040" priority="97">
      <formula>NOT($M14)</formula>
    </cfRule>
    <cfRule type="expression" dxfId="1039" priority="376">
      <formula>NOT($M14)</formula>
    </cfRule>
  </conditionalFormatting>
  <conditionalFormatting sqref="F16">
    <cfRule type="expression" dxfId="1038" priority="373">
      <formula>NOT($M16)</formula>
    </cfRule>
    <cfRule type="expression" dxfId="1037" priority="374">
      <formula>AND($M16,F16="")</formula>
    </cfRule>
  </conditionalFormatting>
  <conditionalFormatting sqref="F17">
    <cfRule type="expression" dxfId="1036" priority="371">
      <formula>NOT($M16)</formula>
    </cfRule>
  </conditionalFormatting>
  <conditionalFormatting sqref="F18">
    <cfRule type="expression" dxfId="1035" priority="101">
      <formula>NOT($M18)</formula>
    </cfRule>
    <cfRule type="expression" dxfId="1034" priority="102">
      <formula>AND($M18,F18="")</formula>
    </cfRule>
    <cfRule type="expression" dxfId="1033" priority="370">
      <formula>NOT($M18)</formula>
    </cfRule>
  </conditionalFormatting>
  <conditionalFormatting sqref="F19">
    <cfRule type="expression" dxfId="1032" priority="100">
      <formula>NOT($M18)</formula>
    </cfRule>
    <cfRule type="expression" dxfId="1031" priority="367">
      <formula>NOT($M18)</formula>
    </cfRule>
  </conditionalFormatting>
  <conditionalFormatting sqref="F23">
    <cfRule type="expression" dxfId="1030" priority="95">
      <formula>NOT($M23)</formula>
    </cfRule>
    <cfRule type="expression" dxfId="1029" priority="96">
      <formula>AND($M23,F23="")</formula>
    </cfRule>
  </conditionalFormatting>
  <conditionalFormatting sqref="F24">
    <cfRule type="expression" dxfId="1028" priority="94">
      <formula>NOT($M23)</formula>
    </cfRule>
  </conditionalFormatting>
  <conditionalFormatting sqref="F25">
    <cfRule type="expression" dxfId="1027" priority="91">
      <formula>NOT($M25)</formula>
    </cfRule>
    <cfRule type="expression" dxfId="1026" priority="92">
      <formula>AND($M25,F25="")</formula>
    </cfRule>
  </conditionalFormatting>
  <conditionalFormatting sqref="F26">
    <cfRule type="expression" dxfId="1025" priority="90">
      <formula>NOT($M25)</formula>
    </cfRule>
  </conditionalFormatting>
  <conditionalFormatting sqref="F27">
    <cfRule type="expression" dxfId="1024" priority="87">
      <formula>NOT($M27)</formula>
    </cfRule>
    <cfRule type="expression" dxfId="1023" priority="88">
      <formula>AND($M27,F27="")</formula>
    </cfRule>
  </conditionalFormatting>
  <conditionalFormatting sqref="F28">
    <cfRule type="expression" dxfId="1022" priority="86">
      <formula>NOT($M27)</formula>
    </cfRule>
  </conditionalFormatting>
  <conditionalFormatting sqref="F36">
    <cfRule type="expression" dxfId="1021" priority="83">
      <formula>NOT($M36)</formula>
    </cfRule>
    <cfRule type="expression" dxfId="1020" priority="84">
      <formula>AND($M36,F36="")</formula>
    </cfRule>
  </conditionalFormatting>
  <conditionalFormatting sqref="F37">
    <cfRule type="expression" dxfId="1019" priority="82">
      <formula>NOT($M36)</formula>
    </cfRule>
  </conditionalFormatting>
  <conditionalFormatting sqref="F38">
    <cfRule type="expression" dxfId="1018" priority="79">
      <formula>NOT($M38)</formula>
    </cfRule>
    <cfRule type="expression" dxfId="1017" priority="80">
      <formula>AND($M38,F38="")</formula>
    </cfRule>
  </conditionalFormatting>
  <conditionalFormatting sqref="F39">
    <cfRule type="expression" dxfId="1016" priority="78">
      <formula>NOT($M38)</formula>
    </cfRule>
  </conditionalFormatting>
  <conditionalFormatting sqref="F40">
    <cfRule type="expression" dxfId="1015" priority="75">
      <formula>NOT($M40)</formula>
    </cfRule>
    <cfRule type="expression" dxfId="1014" priority="76">
      <formula>AND($M40,F40="")</formula>
    </cfRule>
  </conditionalFormatting>
  <conditionalFormatting sqref="F41">
    <cfRule type="expression" dxfId="1013" priority="74">
      <formula>NOT($M40)</formula>
    </cfRule>
  </conditionalFormatting>
  <conditionalFormatting sqref="F47">
    <cfRule type="expression" dxfId="1012" priority="71">
      <formula>NOT($M47)</formula>
    </cfRule>
    <cfRule type="expression" dxfId="1011" priority="72">
      <formula>AND($M47,F47="")</formula>
    </cfRule>
  </conditionalFormatting>
  <conditionalFormatting sqref="F48">
    <cfRule type="expression" dxfId="1010" priority="70">
      <formula>NOT($M47)</formula>
    </cfRule>
  </conditionalFormatting>
  <conditionalFormatting sqref="F49">
    <cfRule type="expression" dxfId="1009" priority="67">
      <formula>NOT($M49)</formula>
    </cfRule>
    <cfRule type="expression" dxfId="1008" priority="68">
      <formula>AND($M49,F49="")</formula>
    </cfRule>
  </conditionalFormatting>
  <conditionalFormatting sqref="F50">
    <cfRule type="expression" dxfId="1007" priority="66">
      <formula>NOT($M49)</formula>
    </cfRule>
  </conditionalFormatting>
  <conditionalFormatting sqref="F51">
    <cfRule type="expression" dxfId="1006" priority="63">
      <formula>NOT($M51)</formula>
    </cfRule>
    <cfRule type="expression" dxfId="1005" priority="64">
      <formula>AND($M51,F51="")</formula>
    </cfRule>
  </conditionalFormatting>
  <conditionalFormatting sqref="F52">
    <cfRule type="expression" dxfId="1004" priority="62">
      <formula>NOT($M51)</formula>
    </cfRule>
  </conditionalFormatting>
  <conditionalFormatting sqref="F56">
    <cfRule type="expression" dxfId="1003" priority="59">
      <formula>NOT($M56)</formula>
    </cfRule>
    <cfRule type="expression" dxfId="1002" priority="60">
      <formula>AND($M56,F56="")</formula>
    </cfRule>
  </conditionalFormatting>
  <conditionalFormatting sqref="F57">
    <cfRule type="expression" dxfId="1001" priority="58">
      <formula>NOT($M56)</formula>
    </cfRule>
  </conditionalFormatting>
  <conditionalFormatting sqref="F58">
    <cfRule type="expression" dxfId="1000" priority="55">
      <formula>NOT($M58)</formula>
    </cfRule>
    <cfRule type="expression" dxfId="999" priority="56">
      <formula>AND($M58,F58="")</formula>
    </cfRule>
  </conditionalFormatting>
  <conditionalFormatting sqref="F59">
    <cfRule type="expression" dxfId="998" priority="54">
      <formula>NOT($M58)</formula>
    </cfRule>
  </conditionalFormatting>
  <conditionalFormatting sqref="F60">
    <cfRule type="expression" dxfId="997" priority="51">
      <formula>NOT($M60)</formula>
    </cfRule>
    <cfRule type="expression" dxfId="996" priority="52">
      <formula>AND($M60,F60="")</formula>
    </cfRule>
  </conditionalFormatting>
  <conditionalFormatting sqref="F61">
    <cfRule type="expression" dxfId="995" priority="50">
      <formula>NOT($M60)</formula>
    </cfRule>
  </conditionalFormatting>
  <conditionalFormatting sqref="F65">
    <cfRule type="expression" dxfId="994" priority="47">
      <formula>NOT($M65)</formula>
    </cfRule>
    <cfRule type="expression" dxfId="993" priority="48">
      <formula>AND($M65,F65="")</formula>
    </cfRule>
  </conditionalFormatting>
  <conditionalFormatting sqref="F66">
    <cfRule type="expression" dxfId="992" priority="46">
      <formula>NOT($M65)</formula>
    </cfRule>
  </conditionalFormatting>
  <conditionalFormatting sqref="F67">
    <cfRule type="expression" dxfId="991" priority="43">
      <formula>NOT($M67)</formula>
    </cfRule>
    <cfRule type="expression" dxfId="990" priority="44">
      <formula>AND($M67,F67="")</formula>
    </cfRule>
  </conditionalFormatting>
  <conditionalFormatting sqref="F68">
    <cfRule type="expression" dxfId="989" priority="42">
      <formula>NOT($M67)</formula>
    </cfRule>
  </conditionalFormatting>
  <conditionalFormatting sqref="F69">
    <cfRule type="expression" dxfId="988" priority="39">
      <formula>NOT($M69)</formula>
    </cfRule>
    <cfRule type="expression" dxfId="987" priority="40">
      <formula>AND($M69,F69="")</formula>
    </cfRule>
  </conditionalFormatting>
  <conditionalFormatting sqref="F70">
    <cfRule type="expression" dxfId="986" priority="38">
      <formula>NOT($M69)</formula>
    </cfRule>
  </conditionalFormatting>
  <conditionalFormatting sqref="F76">
    <cfRule type="expression" dxfId="985" priority="35">
      <formula>NOT($M76)</formula>
    </cfRule>
    <cfRule type="expression" dxfId="984" priority="36">
      <formula>AND($M76,F76="")</formula>
    </cfRule>
  </conditionalFormatting>
  <conditionalFormatting sqref="F77">
    <cfRule type="expression" dxfId="983" priority="34">
      <formula>NOT($M76)</formula>
    </cfRule>
  </conditionalFormatting>
  <conditionalFormatting sqref="F78">
    <cfRule type="expression" dxfId="982" priority="31">
      <formula>NOT($M78)</formula>
    </cfRule>
    <cfRule type="expression" dxfId="981" priority="32">
      <formula>AND($M78,F78="")</formula>
    </cfRule>
  </conditionalFormatting>
  <conditionalFormatting sqref="F79">
    <cfRule type="expression" dxfId="980" priority="30">
      <formula>NOT($M78)</formula>
    </cfRule>
  </conditionalFormatting>
  <conditionalFormatting sqref="F80">
    <cfRule type="expression" dxfId="979" priority="27">
      <formula>NOT($M80)</formula>
    </cfRule>
    <cfRule type="expression" dxfId="978" priority="28">
      <formula>AND($M80,F80="")</formula>
    </cfRule>
  </conditionalFormatting>
  <conditionalFormatting sqref="F81">
    <cfRule type="expression" dxfId="977" priority="26">
      <formula>NOT($M80)</formula>
    </cfRule>
  </conditionalFormatting>
  <conditionalFormatting sqref="F87">
    <cfRule type="expression" dxfId="976" priority="23">
      <formula>NOT($M87)</formula>
    </cfRule>
    <cfRule type="expression" dxfId="975" priority="24">
      <formula>AND($M87,F87="")</formula>
    </cfRule>
  </conditionalFormatting>
  <conditionalFormatting sqref="F88">
    <cfRule type="expression" dxfId="974" priority="22">
      <formula>NOT($M87)</formula>
    </cfRule>
  </conditionalFormatting>
  <conditionalFormatting sqref="F89">
    <cfRule type="expression" dxfId="973" priority="19">
      <formula>NOT($M89)</formula>
    </cfRule>
    <cfRule type="expression" dxfId="972" priority="20">
      <formula>AND($M89,F89="")</formula>
    </cfRule>
  </conditionalFormatting>
  <conditionalFormatting sqref="F90">
    <cfRule type="expression" dxfId="971" priority="18">
      <formula>NOT($M89)</formula>
    </cfRule>
  </conditionalFormatting>
  <conditionalFormatting sqref="F91">
    <cfRule type="expression" dxfId="970" priority="15">
      <formula>NOT($M91)</formula>
    </cfRule>
    <cfRule type="expression" dxfId="969" priority="16">
      <formula>AND($M91,F91="")</formula>
    </cfRule>
  </conditionalFormatting>
  <conditionalFormatting sqref="F92">
    <cfRule type="expression" dxfId="968" priority="14">
      <formula>NOT($M91)</formula>
    </cfRule>
  </conditionalFormatting>
  <conditionalFormatting sqref="F96">
    <cfRule type="expression" dxfId="967" priority="11">
      <formula>NOT($M96)</formula>
    </cfRule>
    <cfRule type="expression" dxfId="966" priority="12">
      <formula>AND($M96,F96="")</formula>
    </cfRule>
  </conditionalFormatting>
  <conditionalFormatting sqref="F97">
    <cfRule type="expression" dxfId="965" priority="10">
      <formula>NOT($M96)</formula>
    </cfRule>
  </conditionalFormatting>
  <conditionalFormatting sqref="F98">
    <cfRule type="expression" dxfId="964" priority="7">
      <formula>NOT($M98)</formula>
    </cfRule>
    <cfRule type="expression" dxfId="963" priority="8">
      <formula>AND($M98,F98="")</formula>
    </cfRule>
  </conditionalFormatting>
  <conditionalFormatting sqref="F99">
    <cfRule type="expression" dxfId="962" priority="6">
      <formula>NOT($M98)</formula>
    </cfRule>
  </conditionalFormatting>
  <conditionalFormatting sqref="F100">
    <cfRule type="expression" dxfId="961" priority="3">
      <formula>NOT($M100)</formula>
    </cfRule>
    <cfRule type="expression" dxfId="960" priority="4">
      <formula>AND($M100,F100="")</formula>
    </cfRule>
  </conditionalFormatting>
  <conditionalFormatting sqref="F101">
    <cfRule type="expression" dxfId="959" priority="2">
      <formula>NOT($M100)</formula>
    </cfRule>
  </conditionalFormatting>
  <conditionalFormatting sqref="F14:G14">
    <cfRule type="expression" dxfId="958" priority="377">
      <formula>NOT($M14)</formula>
    </cfRule>
  </conditionalFormatting>
  <conditionalFormatting sqref="G16">
    <cfRule type="expression" dxfId="957" priority="372">
      <formula>NOT($M16)</formula>
    </cfRule>
  </conditionalFormatting>
  <conditionalFormatting sqref="G18">
    <cfRule type="expression" dxfId="956" priority="368">
      <formula>NOT($M18)</formula>
    </cfRule>
  </conditionalFormatting>
  <conditionalFormatting sqref="G23">
    <cfRule type="expression" dxfId="955" priority="364">
      <formula>NOT($M23)</formula>
    </cfRule>
  </conditionalFormatting>
  <conditionalFormatting sqref="G25">
    <cfRule type="expression" dxfId="954" priority="359">
      <formula>NOT($M25)</formula>
    </cfRule>
  </conditionalFormatting>
  <conditionalFormatting sqref="G27">
    <cfRule type="expression" dxfId="953" priority="355">
      <formula>NOT($M27)</formula>
    </cfRule>
  </conditionalFormatting>
  <conditionalFormatting sqref="G32">
    <cfRule type="expression" dxfId="952" priority="351">
      <formula>NOT($M32)</formula>
    </cfRule>
  </conditionalFormatting>
  <conditionalFormatting sqref="G34">
    <cfRule type="expression" dxfId="951" priority="193">
      <formula>NOT($M34)</formula>
    </cfRule>
  </conditionalFormatting>
  <conditionalFormatting sqref="G36">
    <cfRule type="expression" dxfId="950" priority="212">
      <formula>NOT($M36)</formula>
    </cfRule>
  </conditionalFormatting>
  <conditionalFormatting sqref="G38">
    <cfRule type="expression" dxfId="949" priority="346">
      <formula>NOT($M38)</formula>
    </cfRule>
  </conditionalFormatting>
  <conditionalFormatting sqref="G40">
    <cfRule type="expression" dxfId="948" priority="342">
      <formula>NOT($M40)</formula>
    </cfRule>
  </conditionalFormatting>
  <conditionalFormatting sqref="G45">
    <cfRule type="expression" dxfId="947" priority="338">
      <formula>NOT($M45)</formula>
    </cfRule>
  </conditionalFormatting>
  <conditionalFormatting sqref="G47">
    <cfRule type="expression" dxfId="946" priority="170">
      <formula>NOT($M47)</formula>
    </cfRule>
  </conditionalFormatting>
  <conditionalFormatting sqref="G49">
    <cfRule type="expression" dxfId="945" priority="333">
      <formula>NOT($M49)</formula>
    </cfRule>
  </conditionalFormatting>
  <conditionalFormatting sqref="G51">
    <cfRule type="expression" dxfId="944" priority="329">
      <formula>NOT($M51)</formula>
    </cfRule>
  </conditionalFormatting>
  <conditionalFormatting sqref="G56">
    <cfRule type="expression" dxfId="943" priority="325">
      <formula>NOT($M56)</formula>
    </cfRule>
  </conditionalFormatting>
  <conditionalFormatting sqref="G58">
    <cfRule type="expression" dxfId="942" priority="320">
      <formula>NOT($M58)</formula>
    </cfRule>
  </conditionalFormatting>
  <conditionalFormatting sqref="G60">
    <cfRule type="expression" dxfId="941" priority="316">
      <formula>NOT($M60)</formula>
    </cfRule>
  </conditionalFormatting>
  <conditionalFormatting sqref="G65">
    <cfRule type="expression" dxfId="940" priority="312">
      <formula>NOT($M65)</formula>
    </cfRule>
  </conditionalFormatting>
  <conditionalFormatting sqref="G67">
    <cfRule type="expression" dxfId="939" priority="307">
      <formula>NOT($M67)</formula>
    </cfRule>
  </conditionalFormatting>
  <conditionalFormatting sqref="G69">
    <cfRule type="expression" dxfId="938" priority="303">
      <formula>NOT($M69)</formula>
    </cfRule>
  </conditionalFormatting>
  <conditionalFormatting sqref="G74">
    <cfRule type="expression" dxfId="937" priority="299">
      <formula>NOT($M74)</formula>
    </cfRule>
  </conditionalFormatting>
  <conditionalFormatting sqref="G76">
    <cfRule type="expression" dxfId="936" priority="149">
      <formula>NOT($M76)</formula>
    </cfRule>
  </conditionalFormatting>
  <conditionalFormatting sqref="G78">
    <cfRule type="expression" dxfId="935" priority="294">
      <formula>NOT($M78)</formula>
    </cfRule>
  </conditionalFormatting>
  <conditionalFormatting sqref="G80">
    <cfRule type="expression" dxfId="934" priority="290">
      <formula>NOT($M80)</formula>
    </cfRule>
  </conditionalFormatting>
  <conditionalFormatting sqref="G85">
    <cfRule type="expression" dxfId="933" priority="255">
      <formula>NOT($M85)</formula>
    </cfRule>
  </conditionalFormatting>
  <conditionalFormatting sqref="G87">
    <cfRule type="expression" dxfId="932" priority="104">
      <formula>NOT($M87)</formula>
    </cfRule>
  </conditionalFormatting>
  <conditionalFormatting sqref="G89">
    <cfRule type="expression" dxfId="931" priority="251">
      <formula>NOT($M89)</formula>
    </cfRule>
  </conditionalFormatting>
  <conditionalFormatting sqref="G91">
    <cfRule type="expression" dxfId="930" priority="249">
      <formula>NOT($M91)</formula>
    </cfRule>
  </conditionalFormatting>
  <conditionalFormatting sqref="G96">
    <cfRule type="expression" dxfId="929" priority="258">
      <formula>NOT($M96)</formula>
    </cfRule>
  </conditionalFormatting>
  <conditionalFormatting sqref="G98">
    <cfRule type="expression" dxfId="928" priority="260">
      <formula>NOT($M98)</formula>
    </cfRule>
  </conditionalFormatting>
  <conditionalFormatting sqref="G100">
    <cfRule type="expression" dxfId="927" priority="262">
      <formula>NOT($M100)</formula>
    </cfRule>
  </conditionalFormatting>
  <conditionalFormatting sqref="H14:I14">
    <cfRule type="expression" dxfId="926" priority="990">
      <formula>M14=FALSE</formula>
    </cfRule>
    <cfRule type="expression" dxfId="925" priority="1157">
      <formula>AND(M14,H14="",G14&lt;&gt;"pauschal",J14="")</formula>
    </cfRule>
    <cfRule type="expression" dxfId="924" priority="1474">
      <formula>AND(M14,OR(G14="pauschal",J14&lt;&gt;""))</formula>
    </cfRule>
  </conditionalFormatting>
  <conditionalFormatting sqref="H16:I16 H18:I18">
    <cfRule type="expression" dxfId="923" priority="760">
      <formula>M16=FALSE</formula>
    </cfRule>
    <cfRule type="expression" dxfId="922" priority="761">
      <formula>AND(M16,H16="",G16&lt;&gt;"pauschal",J16="")</formula>
    </cfRule>
    <cfRule type="expression" dxfId="921" priority="765">
      <formula>AND(M16,OR(G16="pauschal",J16&lt;&gt;""))</formula>
    </cfRule>
  </conditionalFormatting>
  <conditionalFormatting sqref="H16:I16">
    <cfRule type="expression" dxfId="920" priority="984">
      <formula>M16=FALSE</formula>
    </cfRule>
    <cfRule type="expression" dxfId="919" priority="985">
      <formula>AND(M16,H16="",G16&lt;&gt;"pauschal",J16="")</formula>
    </cfRule>
    <cfRule type="expression" dxfId="918" priority="988">
      <formula>AND(M16,OR(G16="pauschal",J16&lt;&gt;""))</formula>
    </cfRule>
  </conditionalFormatting>
  <conditionalFormatting sqref="H18:I18">
    <cfRule type="expression" dxfId="917" priority="978">
      <formula>M18=FALSE</formula>
    </cfRule>
    <cfRule type="expression" dxfId="916" priority="979">
      <formula>AND(M18,H18="",G18&lt;&gt;"pauschal",J18="")</formula>
    </cfRule>
    <cfRule type="expression" dxfId="915" priority="982">
      <formula>AND(M18,OR(G18="pauschal",J18&lt;&gt;""))</formula>
    </cfRule>
  </conditionalFormatting>
  <conditionalFormatting sqref="H23:I23">
    <cfRule type="expression" dxfId="914" priority="751">
      <formula>M23=FALSE</formula>
    </cfRule>
    <cfRule type="expression" dxfId="913" priority="754">
      <formula>AND(M23,H23="",G23&lt;&gt;"pauschal",J23="")</formula>
    </cfRule>
    <cfRule type="expression" dxfId="912" priority="758">
      <formula>AND(M23,OR(G23="pauschal",J23&lt;&gt;""))</formula>
    </cfRule>
  </conditionalFormatting>
  <conditionalFormatting sqref="H25:I25 H27:I27">
    <cfRule type="expression" dxfId="911" priority="731">
      <formula>M25=FALSE</formula>
    </cfRule>
    <cfRule type="expression" dxfId="910" priority="732">
      <formula>AND(M25,H25="",G25&lt;&gt;"pauschal",J25="")</formula>
    </cfRule>
    <cfRule type="expression" dxfId="909" priority="736">
      <formula>AND(M25,OR(G25="pauschal",J25&lt;&gt;""))</formula>
    </cfRule>
  </conditionalFormatting>
  <conditionalFormatting sqref="H25:I25">
    <cfRule type="expression" dxfId="908" priority="745">
      <formula>M25=FALSE</formula>
    </cfRule>
    <cfRule type="expression" dxfId="907" priority="746">
      <formula>AND(M25,H25="",G25&lt;&gt;"pauschal",J25="")</formula>
    </cfRule>
    <cfRule type="expression" dxfId="906" priority="749">
      <formula>AND(M25,OR(G25="pauschal",J25&lt;&gt;""))</formula>
    </cfRule>
  </conditionalFormatting>
  <conditionalFormatting sqref="H27:I27">
    <cfRule type="expression" dxfId="905" priority="739">
      <formula>M27=FALSE</formula>
    </cfRule>
    <cfRule type="expression" dxfId="904" priority="740">
      <formula>AND(M27,H27="",G27&lt;&gt;"pauschal",J27="")</formula>
    </cfRule>
    <cfRule type="expression" dxfId="903" priority="743">
      <formula>AND(M27,OR(G27="pauschal",J27&lt;&gt;""))</formula>
    </cfRule>
  </conditionalFormatting>
  <conditionalFormatting sqref="H32:I32">
    <cfRule type="expression" dxfId="902" priority="722">
      <formula>M32=FALSE</formula>
    </cfRule>
    <cfRule type="expression" dxfId="901" priority="725">
      <formula>AND(M32,H32="",G32&lt;&gt;"pauschal",J32="")</formula>
    </cfRule>
    <cfRule type="expression" dxfId="900" priority="729">
      <formula>AND(M32,OR(G32="pauschal",J32&lt;&gt;""))</formula>
    </cfRule>
  </conditionalFormatting>
  <conditionalFormatting sqref="H34:I34">
    <cfRule type="expression" dxfId="899" priority="198">
      <formula>M34=FALSE</formula>
    </cfRule>
    <cfRule type="expression" dxfId="898" priority="199">
      <formula>AND(M34,H34="",G34&lt;&gt;"pauschal",J34="")</formula>
    </cfRule>
    <cfRule type="expression" dxfId="897" priority="202">
      <formula>AND(M34,OR(G34="pauschal",J34&lt;&gt;""))</formula>
    </cfRule>
    <cfRule type="expression" dxfId="896" priority="204">
      <formula>M34=FALSE</formula>
    </cfRule>
    <cfRule type="expression" dxfId="895" priority="205">
      <formula>AND(M34,H34="",G34&lt;&gt;"pauschal",J34="")</formula>
    </cfRule>
    <cfRule type="expression" dxfId="894" priority="208">
      <formula>AND(M34,OR(G34="pauschal",J34&lt;&gt;""))</formula>
    </cfRule>
  </conditionalFormatting>
  <conditionalFormatting sqref="H36:I36">
    <cfRule type="expression" dxfId="893" priority="217">
      <formula>M36=FALSE</formula>
    </cfRule>
    <cfRule type="expression" dxfId="892" priority="218">
      <formula>AND(M36,H36="",G36&lt;&gt;"pauschal",J36="")</formula>
    </cfRule>
    <cfRule type="expression" dxfId="891" priority="221">
      <formula>AND(M36,OR(G36="pauschal",J36&lt;&gt;""))</formula>
    </cfRule>
    <cfRule type="expression" dxfId="890" priority="223">
      <formula>M36=FALSE</formula>
    </cfRule>
    <cfRule type="expression" dxfId="889" priority="224">
      <formula>AND(M36,H36="",G36&lt;&gt;"pauschal",J36="")</formula>
    </cfRule>
    <cfRule type="expression" dxfId="888" priority="227">
      <formula>AND(M36,OR(G36="pauschal",J36&lt;&gt;""))</formula>
    </cfRule>
  </conditionalFormatting>
  <conditionalFormatting sqref="H38:I38 H40:I40">
    <cfRule type="expression" dxfId="887" priority="702">
      <formula>M38=FALSE</formula>
    </cfRule>
    <cfRule type="expression" dxfId="886" priority="703">
      <formula>AND(M38,H38="",G38&lt;&gt;"pauschal",J38="")</formula>
    </cfRule>
    <cfRule type="expression" dxfId="885" priority="707">
      <formula>AND(M38,OR(G38="pauschal",J38&lt;&gt;""))</formula>
    </cfRule>
  </conditionalFormatting>
  <conditionalFormatting sqref="H38:I38">
    <cfRule type="expression" dxfId="884" priority="716">
      <formula>M38=FALSE</formula>
    </cfRule>
    <cfRule type="expression" dxfId="883" priority="717">
      <formula>AND(M38,H38="",G38&lt;&gt;"pauschal",J38="")</formula>
    </cfRule>
    <cfRule type="expression" dxfId="882" priority="720">
      <formula>AND(M38,OR(G38="pauschal",J38&lt;&gt;""))</formula>
    </cfRule>
  </conditionalFormatting>
  <conditionalFormatting sqref="H40:I40">
    <cfRule type="expression" dxfId="881" priority="710">
      <formula>M40=FALSE</formula>
    </cfRule>
    <cfRule type="expression" dxfId="880" priority="711">
      <formula>AND(M40,H40="",G40&lt;&gt;"pauschal",J40="")</formula>
    </cfRule>
    <cfRule type="expression" dxfId="879" priority="714">
      <formula>AND(M40,OR(G40="pauschal",J40&lt;&gt;""))</formula>
    </cfRule>
  </conditionalFormatting>
  <conditionalFormatting sqref="H45:I45">
    <cfRule type="expression" dxfId="878" priority="693">
      <formula>M45=FALSE</formula>
    </cfRule>
    <cfRule type="expression" dxfId="877" priority="696">
      <formula>AND(M45,H45="",G45&lt;&gt;"pauschal",J45="")</formula>
    </cfRule>
    <cfRule type="expression" dxfId="876" priority="700">
      <formula>AND(M45,OR(G45="pauschal",J45&lt;&gt;""))</formula>
    </cfRule>
  </conditionalFormatting>
  <conditionalFormatting sqref="H47:I47">
    <cfRule type="expression" dxfId="875" priority="175">
      <formula>M47=FALSE</formula>
    </cfRule>
    <cfRule type="expression" dxfId="874" priority="176">
      <formula>AND(M47,H47="",G47&lt;&gt;"pauschal",J47="")</formula>
    </cfRule>
    <cfRule type="expression" dxfId="873" priority="179">
      <formula>AND(M47,OR(G47="pauschal",J47&lt;&gt;""))</formula>
    </cfRule>
    <cfRule type="expression" dxfId="872" priority="181">
      <formula>M47=FALSE</formula>
    </cfRule>
    <cfRule type="expression" dxfId="871" priority="182">
      <formula>AND(M47,H47="",G47&lt;&gt;"pauschal",J47="")</formula>
    </cfRule>
    <cfRule type="expression" dxfId="870" priority="185">
      <formula>AND(M47,OR(G47="pauschal",J47&lt;&gt;""))</formula>
    </cfRule>
  </conditionalFormatting>
  <conditionalFormatting sqref="H49:I49 H51:I51">
    <cfRule type="expression" dxfId="869" priority="673">
      <formula>M49=FALSE</formula>
    </cfRule>
    <cfRule type="expression" dxfId="868" priority="674">
      <formula>AND(M49,H49="",G49&lt;&gt;"pauschal",J49="")</formula>
    </cfRule>
    <cfRule type="expression" dxfId="867" priority="678">
      <formula>AND(M49,OR(G49="pauschal",J49&lt;&gt;""))</formula>
    </cfRule>
  </conditionalFormatting>
  <conditionalFormatting sqref="H49:I49">
    <cfRule type="expression" dxfId="866" priority="687">
      <formula>M49=FALSE</formula>
    </cfRule>
    <cfRule type="expression" dxfId="865" priority="688">
      <formula>AND(M49,H49="",G49&lt;&gt;"pauschal",J49="")</formula>
    </cfRule>
    <cfRule type="expression" dxfId="864" priority="691">
      <formula>AND(M49,OR(G49="pauschal",J49&lt;&gt;""))</formula>
    </cfRule>
  </conditionalFormatting>
  <conditionalFormatting sqref="H51:I51">
    <cfRule type="expression" dxfId="863" priority="681">
      <formula>M51=FALSE</formula>
    </cfRule>
    <cfRule type="expression" dxfId="862" priority="682">
      <formula>AND(M51,H51="",G51&lt;&gt;"pauschal",J51="")</formula>
    </cfRule>
    <cfRule type="expression" dxfId="861" priority="685">
      <formula>AND(M51,OR(G51="pauschal",J51&lt;&gt;""))</formula>
    </cfRule>
  </conditionalFormatting>
  <conditionalFormatting sqref="H56:I56">
    <cfRule type="expression" dxfId="860" priority="664">
      <formula>M56=FALSE</formula>
    </cfRule>
    <cfRule type="expression" dxfId="859" priority="667">
      <formula>AND(M56,H56="",G56&lt;&gt;"pauschal",J56="")</formula>
    </cfRule>
    <cfRule type="expression" dxfId="858" priority="671">
      <formula>AND(M56,OR(G56="pauschal",J56&lt;&gt;""))</formula>
    </cfRule>
  </conditionalFormatting>
  <conditionalFormatting sqref="H58:I58 H60:I60">
    <cfRule type="expression" dxfId="857" priority="644">
      <formula>M58=FALSE</formula>
    </cfRule>
    <cfRule type="expression" dxfId="856" priority="645">
      <formula>AND(M58,H58="",G58&lt;&gt;"pauschal",J58="")</formula>
    </cfRule>
    <cfRule type="expression" dxfId="855" priority="649">
      <formula>AND(M58,OR(G58="pauschal",J58&lt;&gt;""))</formula>
    </cfRule>
  </conditionalFormatting>
  <conditionalFormatting sqref="H58:I58">
    <cfRule type="expression" dxfId="854" priority="658">
      <formula>M58=FALSE</formula>
    </cfRule>
    <cfRule type="expression" dxfId="853" priority="659">
      <formula>AND(M58,H58="",G58&lt;&gt;"pauschal",J58="")</formula>
    </cfRule>
    <cfRule type="expression" dxfId="852" priority="662">
      <formula>AND(M58,OR(G58="pauschal",J58&lt;&gt;""))</formula>
    </cfRule>
  </conditionalFormatting>
  <conditionalFormatting sqref="H60:I60">
    <cfRule type="expression" dxfId="851" priority="652">
      <formula>M60=FALSE</formula>
    </cfRule>
    <cfRule type="expression" dxfId="850" priority="653">
      <formula>AND(M60,H60="",G60&lt;&gt;"pauschal",J60="")</formula>
    </cfRule>
    <cfRule type="expression" dxfId="849" priority="656">
      <formula>AND(M60,OR(G60="pauschal",J60&lt;&gt;""))</formula>
    </cfRule>
  </conditionalFormatting>
  <conditionalFormatting sqref="H65:I65">
    <cfRule type="expression" dxfId="848" priority="635">
      <formula>M65=FALSE</formula>
    </cfRule>
    <cfRule type="expression" dxfId="847" priority="638">
      <formula>AND(M65,H65="",G65&lt;&gt;"pauschal",J65="")</formula>
    </cfRule>
    <cfRule type="expression" dxfId="846" priority="642">
      <formula>AND(M65,OR(G65="pauschal",J65&lt;&gt;""))</formula>
    </cfRule>
  </conditionalFormatting>
  <conditionalFormatting sqref="H67:I67 H69:I69">
    <cfRule type="expression" dxfId="845" priority="615">
      <formula>M67=FALSE</formula>
    </cfRule>
    <cfRule type="expression" dxfId="844" priority="616">
      <formula>AND(M67,H67="",G67&lt;&gt;"pauschal",J67="")</formula>
    </cfRule>
    <cfRule type="expression" dxfId="843" priority="620">
      <formula>AND(M67,OR(G67="pauschal",J67&lt;&gt;""))</formula>
    </cfRule>
  </conditionalFormatting>
  <conditionalFormatting sqref="H67:I67">
    <cfRule type="expression" dxfId="842" priority="629">
      <formula>M67=FALSE</formula>
    </cfRule>
    <cfRule type="expression" dxfId="841" priority="630">
      <formula>AND(M67,H67="",G67&lt;&gt;"pauschal",J67="")</formula>
    </cfRule>
    <cfRule type="expression" dxfId="840" priority="633">
      <formula>AND(M67,OR(G67="pauschal",J67&lt;&gt;""))</formula>
    </cfRule>
  </conditionalFormatting>
  <conditionalFormatting sqref="H69:I69">
    <cfRule type="expression" dxfId="839" priority="623">
      <formula>M69=FALSE</formula>
    </cfRule>
    <cfRule type="expression" dxfId="838" priority="624">
      <formula>AND(M69,H69="",G69&lt;&gt;"pauschal",J69="")</formula>
    </cfRule>
    <cfRule type="expression" dxfId="837" priority="627">
      <formula>AND(M69,OR(G69="pauschal",J69&lt;&gt;""))</formula>
    </cfRule>
  </conditionalFormatting>
  <conditionalFormatting sqref="H74:I74">
    <cfRule type="expression" dxfId="836" priority="606">
      <formula>M74=FALSE</formula>
    </cfRule>
    <cfRule type="expression" dxfId="835" priority="609">
      <formula>AND(M74,H74="",G74&lt;&gt;"pauschal",J74="")</formula>
    </cfRule>
    <cfRule type="expression" dxfId="834" priority="613">
      <formula>AND(M74,OR(G74="pauschal",J74&lt;&gt;""))</formula>
    </cfRule>
  </conditionalFormatting>
  <conditionalFormatting sqref="H76:I76">
    <cfRule type="expression" dxfId="833" priority="154">
      <formula>M76=FALSE</formula>
    </cfRule>
    <cfRule type="expression" dxfId="832" priority="155">
      <formula>AND(M76,H76="",G76&lt;&gt;"pauschal",J76="")</formula>
    </cfRule>
    <cfRule type="expression" dxfId="831" priority="158">
      <formula>AND(M76,OR(G76="pauschal",J76&lt;&gt;""))</formula>
    </cfRule>
    <cfRule type="expression" dxfId="830" priority="160">
      <formula>M76=FALSE</formula>
    </cfRule>
    <cfRule type="expression" dxfId="829" priority="161">
      <formula>AND(M76,H76="",G76&lt;&gt;"pauschal",J76="")</formula>
    </cfRule>
    <cfRule type="expression" dxfId="828" priority="164">
      <formula>AND(M76,OR(G76="pauschal",J76&lt;&gt;""))</formula>
    </cfRule>
  </conditionalFormatting>
  <conditionalFormatting sqref="H78:I78 H80:I80">
    <cfRule type="expression" dxfId="827" priority="586">
      <formula>M78=FALSE</formula>
    </cfRule>
    <cfRule type="expression" dxfId="826" priority="587">
      <formula>AND(M78,H78="",G78&lt;&gt;"pauschal",J78="")</formula>
    </cfRule>
    <cfRule type="expression" dxfId="825" priority="591">
      <formula>AND(M78,OR(G78="pauschal",J78&lt;&gt;""))</formula>
    </cfRule>
  </conditionalFormatting>
  <conditionalFormatting sqref="H78:I78">
    <cfRule type="expression" dxfId="824" priority="600">
      <formula>M78=FALSE</formula>
    </cfRule>
    <cfRule type="expression" dxfId="823" priority="601">
      <formula>AND(M78,H78="",G78&lt;&gt;"pauschal",J78="")</formula>
    </cfRule>
    <cfRule type="expression" dxfId="822" priority="604">
      <formula>AND(M78,OR(G78="pauschal",J78&lt;&gt;""))</formula>
    </cfRule>
  </conditionalFormatting>
  <conditionalFormatting sqref="H80:I80">
    <cfRule type="expression" dxfId="821" priority="594">
      <formula>M80=FALSE</formula>
    </cfRule>
    <cfRule type="expression" dxfId="820" priority="595">
      <formula>AND(M80,H80="",G80&lt;&gt;"pauschal",J80="")</formula>
    </cfRule>
    <cfRule type="expression" dxfId="819" priority="598">
      <formula>AND(M80,OR(G80="pauschal",J80&lt;&gt;""))</formula>
    </cfRule>
  </conditionalFormatting>
  <conditionalFormatting sqref="H85:I85">
    <cfRule type="expression" dxfId="818" priority="487">
      <formula>M85=FALSE</formula>
    </cfRule>
    <cfRule type="expression" dxfId="817" priority="488">
      <formula>AND(M85,H85="",G85&lt;&gt;"pauschal",J85="")</formula>
    </cfRule>
    <cfRule type="expression" dxfId="816" priority="491">
      <formula>AND(M85,OR(G85="pauschal",J85&lt;&gt;""))</formula>
    </cfRule>
    <cfRule type="expression" dxfId="815" priority="494">
      <formula>M85=FALSE</formula>
    </cfRule>
    <cfRule type="expression" dxfId="814" priority="495">
      <formula>AND(M85,H85="",G85&lt;&gt;"pauschal",J85="")</formula>
    </cfRule>
    <cfRule type="expression" dxfId="813" priority="498">
      <formula>AND(M85,OR(G85="pauschal",J85&lt;&gt;""))</formula>
    </cfRule>
  </conditionalFormatting>
  <conditionalFormatting sqref="H87:I87">
    <cfRule type="expression" dxfId="812" priority="108">
      <formula>M87=FALSE</formula>
    </cfRule>
    <cfRule type="expression" dxfId="811" priority="109">
      <formula>AND(M87,H87="",G87&lt;&gt;"pauschal",J87="")</formula>
    </cfRule>
    <cfRule type="expression" dxfId="810" priority="112">
      <formula>AND(M87,OR(G87="pauschal",J87&lt;&gt;""))</formula>
    </cfRule>
    <cfRule type="expression" dxfId="809" priority="115">
      <formula>M87=FALSE</formula>
    </cfRule>
    <cfRule type="expression" dxfId="808" priority="116">
      <formula>AND(M87,H87="",G87&lt;&gt;"pauschal",J87="")</formula>
    </cfRule>
    <cfRule type="expression" dxfId="807" priority="119">
      <formula>AND(M87,OR(G87="pauschal",J87&lt;&gt;""))</formula>
    </cfRule>
  </conditionalFormatting>
  <conditionalFormatting sqref="H89:I89">
    <cfRule type="expression" dxfId="806" priority="457">
      <formula>M89=FALSE</formula>
    </cfRule>
    <cfRule type="expression" dxfId="805" priority="458">
      <formula>AND(M89,H89="",G89&lt;&gt;"pauschal",J89="")</formula>
    </cfRule>
    <cfRule type="expression" dxfId="804" priority="461">
      <formula>AND(M89,OR(G89="pauschal",J89&lt;&gt;""))</formula>
    </cfRule>
    <cfRule type="expression" dxfId="803" priority="464">
      <formula>M89=FALSE</formula>
    </cfRule>
    <cfRule type="expression" dxfId="802" priority="465">
      <formula>AND(M89,H89="",G89&lt;&gt;"pauschal",J89="")</formula>
    </cfRule>
    <cfRule type="expression" dxfId="801" priority="468">
      <formula>AND(M89,OR(G89="pauschal",J89&lt;&gt;""))</formula>
    </cfRule>
  </conditionalFormatting>
  <conditionalFormatting sqref="H91:I91">
    <cfRule type="expression" dxfId="800" priority="442">
      <formula>M91=FALSE</formula>
    </cfRule>
    <cfRule type="expression" dxfId="799" priority="443">
      <formula>AND(M91,H91="",G91&lt;&gt;"pauschal",J91="")</formula>
    </cfRule>
    <cfRule type="expression" dxfId="798" priority="446">
      <formula>AND(M91,OR(G91="pauschal",J91&lt;&gt;""))</formula>
    </cfRule>
    <cfRule type="expression" dxfId="797" priority="449">
      <formula>M91=FALSE</formula>
    </cfRule>
    <cfRule type="expression" dxfId="796" priority="450">
      <formula>AND(M91,H91="",G91&lt;&gt;"pauschal",J91="")</formula>
    </cfRule>
    <cfRule type="expression" dxfId="795" priority="453">
      <formula>AND(M91,OR(G91="pauschal",J91&lt;&gt;""))</formula>
    </cfRule>
  </conditionalFormatting>
  <conditionalFormatting sqref="H96:I96">
    <cfRule type="expression" dxfId="794" priority="520">
      <formula>M96=FALSE</formula>
    </cfRule>
    <cfRule type="expression" dxfId="793" priority="521">
      <formula>AND(M96,H96="",G96&lt;&gt;"pauschal",J96="")</formula>
    </cfRule>
    <cfRule type="expression" dxfId="792" priority="524">
      <formula>AND(M96,OR(G96="pauschal",J96&lt;&gt;""))</formula>
    </cfRule>
  </conditionalFormatting>
  <conditionalFormatting sqref="H98:I98 H100:I100">
    <cfRule type="expression" dxfId="791" priority="501">
      <formula>M98=FALSE</formula>
    </cfRule>
    <cfRule type="expression" dxfId="790" priority="502">
      <formula>AND(M98,H98="",G98&lt;&gt;"pauschal",J98="")</formula>
    </cfRule>
    <cfRule type="expression" dxfId="789" priority="505">
      <formula>AND(M98,OR(G98="pauschal",J98&lt;&gt;""))</formula>
    </cfRule>
  </conditionalFormatting>
  <conditionalFormatting sqref="H98:I98">
    <cfRule type="expression" dxfId="788" priority="514">
      <formula>M98=FALSE</formula>
    </cfRule>
    <cfRule type="expression" dxfId="787" priority="515">
      <formula>AND(M98,H98="",G98&lt;&gt;"pauschal",J98="")</formula>
    </cfRule>
    <cfRule type="expression" dxfId="786" priority="518">
      <formula>AND(M98,OR(G98="pauschal",J98&lt;&gt;""))</formula>
    </cfRule>
  </conditionalFormatting>
  <conditionalFormatting sqref="H100:I100">
    <cfRule type="expression" dxfId="785" priority="508">
      <formula>M100=FALSE</formula>
    </cfRule>
    <cfRule type="expression" dxfId="784" priority="509">
      <formula>AND(M100,H100="",G100&lt;&gt;"pauschal",J100="")</formula>
    </cfRule>
    <cfRule type="expression" dxfId="783" priority="512">
      <formula>AND(M100,OR(G100="pauschal",J100&lt;&gt;""))</formula>
    </cfRule>
  </conditionalFormatting>
  <conditionalFormatting sqref="J14">
    <cfRule type="expression" dxfId="782" priority="989">
      <formula>M14=FALSE</formula>
    </cfRule>
    <cfRule type="expression" dxfId="781" priority="1158">
      <formula>AND(M14,J14="",G14&lt;&gt;"v.H.-Satz",H14="")</formula>
    </cfRule>
    <cfRule type="expression" dxfId="780" priority="1472">
      <formula>AND(M14,G14="v.H.-Satz")</formula>
    </cfRule>
  </conditionalFormatting>
  <conditionalFormatting sqref="J16 J18">
    <cfRule type="expression" dxfId="779" priority="759">
      <formula>M16=FALSE</formula>
    </cfRule>
    <cfRule type="expression" dxfId="778" priority="762">
      <formula>AND(M16,J16="",G16&lt;&gt;"v.H.-Satz",H16="")</formula>
    </cfRule>
    <cfRule type="expression" dxfId="777" priority="764">
      <formula>AND(M16,G16="v.H.-Satz")</formula>
    </cfRule>
  </conditionalFormatting>
  <conditionalFormatting sqref="J16">
    <cfRule type="expression" dxfId="776" priority="983">
      <formula>M16=FALSE</formula>
    </cfRule>
    <cfRule type="expression" dxfId="775" priority="986">
      <formula>AND(M16,J16="",G16&lt;&gt;"v.H.-Satz",H16="")</formula>
    </cfRule>
    <cfRule type="expression" dxfId="774" priority="987">
      <formula>AND(M16,G16="v.H.-Satz")</formula>
    </cfRule>
  </conditionalFormatting>
  <conditionalFormatting sqref="J18">
    <cfRule type="expression" dxfId="773" priority="977">
      <formula>M18=FALSE</formula>
    </cfRule>
    <cfRule type="expression" dxfId="772" priority="980">
      <formula>AND(M18,J18="",G18&lt;&gt;"v.H.-Satz",H18="")</formula>
    </cfRule>
    <cfRule type="expression" dxfId="771" priority="981">
      <formula>AND(M18,G18="v.H.-Satz")</formula>
    </cfRule>
  </conditionalFormatting>
  <conditionalFormatting sqref="J23">
    <cfRule type="expression" dxfId="770" priority="750">
      <formula>M23=FALSE</formula>
    </cfRule>
    <cfRule type="expression" dxfId="769" priority="755">
      <formula>AND(M23,J23="",G23&lt;&gt;"v.H.-Satz",H23="")</formula>
    </cfRule>
    <cfRule type="expression" dxfId="768" priority="757">
      <formula>AND(M23,G23="v.H.-Satz")</formula>
    </cfRule>
  </conditionalFormatting>
  <conditionalFormatting sqref="J25 J27">
    <cfRule type="expression" dxfId="767" priority="730">
      <formula>M25=FALSE</formula>
    </cfRule>
    <cfRule type="expression" dxfId="766" priority="733">
      <formula>AND(M25,J25="",G25&lt;&gt;"v.H.-Satz",H25="")</formula>
    </cfRule>
    <cfRule type="expression" dxfId="765" priority="735">
      <formula>AND(M25,G25="v.H.-Satz")</formula>
    </cfRule>
  </conditionalFormatting>
  <conditionalFormatting sqref="J25">
    <cfRule type="expression" dxfId="764" priority="744">
      <formula>M25=FALSE</formula>
    </cfRule>
    <cfRule type="expression" dxfId="763" priority="747">
      <formula>AND(M25,J25="",G25&lt;&gt;"v.H.-Satz",H25="")</formula>
    </cfRule>
    <cfRule type="expression" dxfId="762" priority="748">
      <formula>AND(M25,G25="v.H.-Satz")</formula>
    </cfRule>
  </conditionalFormatting>
  <conditionalFormatting sqref="J27">
    <cfRule type="expression" dxfId="761" priority="738">
      <formula>M27=FALSE</formula>
    </cfRule>
    <cfRule type="expression" dxfId="760" priority="741">
      <formula>AND(M27,J27="",G27&lt;&gt;"v.H.-Satz",H27="")</formula>
    </cfRule>
    <cfRule type="expression" dxfId="759" priority="742">
      <formula>AND(M27,G27="v.H.-Satz")</formula>
    </cfRule>
  </conditionalFormatting>
  <conditionalFormatting sqref="J32">
    <cfRule type="expression" dxfId="758" priority="721">
      <formula>M32=FALSE</formula>
    </cfRule>
    <cfRule type="expression" dxfId="757" priority="726">
      <formula>AND(M32,J32="",G32&lt;&gt;"v.H.-Satz",H32="")</formula>
    </cfRule>
    <cfRule type="expression" dxfId="756" priority="728">
      <formula>AND(M32,G32="v.H.-Satz")</formula>
    </cfRule>
  </conditionalFormatting>
  <conditionalFormatting sqref="J34">
    <cfRule type="expression" dxfId="755" priority="197">
      <formula>M34=FALSE</formula>
    </cfRule>
    <cfRule type="expression" dxfId="754" priority="200">
      <formula>AND(M34,J34="",G34&lt;&gt;"v.H.-Satz",H34="")</formula>
    </cfRule>
    <cfRule type="expression" dxfId="753" priority="201">
      <formula>AND(M34,G34="v.H.-Satz")</formula>
    </cfRule>
    <cfRule type="expression" dxfId="752" priority="203">
      <formula>M34=FALSE</formula>
    </cfRule>
    <cfRule type="expression" dxfId="751" priority="206">
      <formula>AND(M34,J34="",G34&lt;&gt;"v.H.-Satz",H34="")</formula>
    </cfRule>
    <cfRule type="expression" dxfId="750" priority="207">
      <formula>AND(M34,G34="v.H.-Satz")</formula>
    </cfRule>
  </conditionalFormatting>
  <conditionalFormatting sqref="J36">
    <cfRule type="expression" dxfId="749" priority="216">
      <formula>M36=FALSE</formula>
    </cfRule>
    <cfRule type="expression" dxfId="748" priority="219">
      <formula>AND(M36,J36="",G36&lt;&gt;"v.H.-Satz",H36="")</formula>
    </cfRule>
    <cfRule type="expression" dxfId="747" priority="220">
      <formula>AND(M36,G36="v.H.-Satz")</formula>
    </cfRule>
    <cfRule type="expression" dxfId="746" priority="222">
      <formula>M36=FALSE</formula>
    </cfRule>
    <cfRule type="expression" dxfId="745" priority="225">
      <formula>AND(M36,J36="",G36&lt;&gt;"v.H.-Satz",H36="")</formula>
    </cfRule>
    <cfRule type="expression" dxfId="744" priority="226">
      <formula>AND(M36,G36="v.H.-Satz")</formula>
    </cfRule>
  </conditionalFormatting>
  <conditionalFormatting sqref="J38 J40">
    <cfRule type="expression" dxfId="743" priority="701">
      <formula>M38=FALSE</formula>
    </cfRule>
    <cfRule type="expression" dxfId="742" priority="704">
      <formula>AND(M38,J38="",G38&lt;&gt;"v.H.-Satz",H38="")</formula>
    </cfRule>
    <cfRule type="expression" dxfId="741" priority="706">
      <formula>AND(M38,G38="v.H.-Satz")</formula>
    </cfRule>
  </conditionalFormatting>
  <conditionalFormatting sqref="J38">
    <cfRule type="expression" dxfId="740" priority="715">
      <formula>M38=FALSE</formula>
    </cfRule>
    <cfRule type="expression" dxfId="739" priority="718">
      <formula>AND(M38,J38="",G38&lt;&gt;"v.H.-Satz",H38="")</formula>
    </cfRule>
    <cfRule type="expression" dxfId="738" priority="719">
      <formula>AND(M38,G38="v.H.-Satz")</formula>
    </cfRule>
  </conditionalFormatting>
  <conditionalFormatting sqref="J40">
    <cfRule type="expression" dxfId="737" priority="709">
      <formula>M40=FALSE</formula>
    </cfRule>
    <cfRule type="expression" dxfId="736" priority="712">
      <formula>AND(M40,J40="",G40&lt;&gt;"v.H.-Satz",H40="")</formula>
    </cfRule>
    <cfRule type="expression" dxfId="735" priority="713">
      <formula>AND(M40,G40="v.H.-Satz")</formula>
    </cfRule>
  </conditionalFormatting>
  <conditionalFormatting sqref="J45">
    <cfRule type="expression" dxfId="734" priority="692">
      <formula>M45=FALSE</formula>
    </cfRule>
    <cfRule type="expression" dxfId="733" priority="697">
      <formula>AND(M45,J45="",G45&lt;&gt;"v.H.-Satz",H45="")</formula>
    </cfRule>
    <cfRule type="expression" dxfId="732" priority="699">
      <formula>AND(M45,G45="v.H.-Satz")</formula>
    </cfRule>
  </conditionalFormatting>
  <conditionalFormatting sqref="J47">
    <cfRule type="expression" dxfId="731" priority="174">
      <formula>M47=FALSE</formula>
    </cfRule>
    <cfRule type="expression" dxfId="730" priority="177">
      <formula>AND(M47,J47="",G47&lt;&gt;"v.H.-Satz",H47="")</formula>
    </cfRule>
    <cfRule type="expression" dxfId="729" priority="178">
      <formula>AND(M47,G47="v.H.-Satz")</formula>
    </cfRule>
    <cfRule type="expression" dxfId="728" priority="180">
      <formula>M47=FALSE</formula>
    </cfRule>
    <cfRule type="expression" dxfId="727" priority="183">
      <formula>AND(M47,J47="",G47&lt;&gt;"v.H.-Satz",H47="")</formula>
    </cfRule>
    <cfRule type="expression" dxfId="726" priority="184">
      <formula>AND(M47,G47="v.H.-Satz")</formula>
    </cfRule>
  </conditionalFormatting>
  <conditionalFormatting sqref="J49 J51">
    <cfRule type="expression" dxfId="725" priority="672">
      <formula>M49=FALSE</formula>
    </cfRule>
    <cfRule type="expression" dxfId="724" priority="675">
      <formula>AND(M49,J49="",G49&lt;&gt;"v.H.-Satz",H49="")</formula>
    </cfRule>
    <cfRule type="expression" dxfId="723" priority="677">
      <formula>AND(M49,G49="v.H.-Satz")</formula>
    </cfRule>
  </conditionalFormatting>
  <conditionalFormatting sqref="J49">
    <cfRule type="expression" dxfId="722" priority="686">
      <formula>M49=FALSE</formula>
    </cfRule>
    <cfRule type="expression" dxfId="721" priority="689">
      <formula>AND(M49,J49="",G49&lt;&gt;"v.H.-Satz",H49="")</formula>
    </cfRule>
    <cfRule type="expression" dxfId="720" priority="690">
      <formula>AND(M49,G49="v.H.-Satz")</formula>
    </cfRule>
  </conditionalFormatting>
  <conditionalFormatting sqref="J51">
    <cfRule type="expression" dxfId="719" priority="680">
      <formula>M51=FALSE</formula>
    </cfRule>
    <cfRule type="expression" dxfId="718" priority="683">
      <formula>AND(M51,J51="",G51&lt;&gt;"v.H.-Satz",H51="")</formula>
    </cfRule>
    <cfRule type="expression" dxfId="717" priority="684">
      <formula>AND(M51,G51="v.H.-Satz")</formula>
    </cfRule>
  </conditionalFormatting>
  <conditionalFormatting sqref="J56">
    <cfRule type="expression" dxfId="716" priority="663">
      <formula>M56=FALSE</formula>
    </cfRule>
    <cfRule type="expression" dxfId="715" priority="668">
      <formula>AND(M56,J56="",G56&lt;&gt;"v.H.-Satz",H56="")</formula>
    </cfRule>
    <cfRule type="expression" dxfId="714" priority="670">
      <formula>AND(M56,G56="v.H.-Satz")</formula>
    </cfRule>
  </conditionalFormatting>
  <conditionalFormatting sqref="J58 J60">
    <cfRule type="expression" dxfId="713" priority="643">
      <formula>M58=FALSE</formula>
    </cfRule>
    <cfRule type="expression" dxfId="712" priority="646">
      <formula>AND(M58,J58="",G58&lt;&gt;"v.H.-Satz",H58="")</formula>
    </cfRule>
    <cfRule type="expression" dxfId="711" priority="648">
      <formula>AND(M58,G58="v.H.-Satz")</formula>
    </cfRule>
  </conditionalFormatting>
  <conditionalFormatting sqref="J58">
    <cfRule type="expression" dxfId="710" priority="657">
      <formula>M58=FALSE</formula>
    </cfRule>
    <cfRule type="expression" dxfId="709" priority="660">
      <formula>AND(M58,J58="",G58&lt;&gt;"v.H.-Satz",H58="")</formula>
    </cfRule>
    <cfRule type="expression" dxfId="708" priority="661">
      <formula>AND(M58,G58="v.H.-Satz")</formula>
    </cfRule>
  </conditionalFormatting>
  <conditionalFormatting sqref="J60">
    <cfRule type="expression" dxfId="707" priority="651">
      <formula>M60=FALSE</formula>
    </cfRule>
    <cfRule type="expression" dxfId="706" priority="654">
      <formula>AND(M60,J60="",G60&lt;&gt;"v.H.-Satz",H60="")</formula>
    </cfRule>
    <cfRule type="expression" dxfId="705" priority="655">
      <formula>AND(M60,G60="v.H.-Satz")</formula>
    </cfRule>
  </conditionalFormatting>
  <conditionalFormatting sqref="J65">
    <cfRule type="expression" dxfId="704" priority="634">
      <formula>M65=FALSE</formula>
    </cfRule>
    <cfRule type="expression" dxfId="703" priority="639">
      <formula>AND(M65,J65="",G65&lt;&gt;"v.H.-Satz",H65="")</formula>
    </cfRule>
    <cfRule type="expression" dxfId="702" priority="641">
      <formula>AND(M65,G65="v.H.-Satz")</formula>
    </cfRule>
  </conditionalFormatting>
  <conditionalFormatting sqref="J67 J69">
    <cfRule type="expression" dxfId="701" priority="614">
      <formula>M67=FALSE</formula>
    </cfRule>
    <cfRule type="expression" dxfId="700" priority="617">
      <formula>AND(M67,J67="",G67&lt;&gt;"v.H.-Satz",H67="")</formula>
    </cfRule>
    <cfRule type="expression" dxfId="699" priority="619">
      <formula>AND(M67,G67="v.H.-Satz")</formula>
    </cfRule>
  </conditionalFormatting>
  <conditionalFormatting sqref="J67">
    <cfRule type="expression" dxfId="698" priority="628">
      <formula>M67=FALSE</formula>
    </cfRule>
    <cfRule type="expression" dxfId="697" priority="631">
      <formula>AND(M67,J67="",G67&lt;&gt;"v.H.-Satz",H67="")</formula>
    </cfRule>
    <cfRule type="expression" dxfId="696" priority="632">
      <formula>AND(M67,G67="v.H.-Satz")</formula>
    </cfRule>
  </conditionalFormatting>
  <conditionalFormatting sqref="J69">
    <cfRule type="expression" dxfId="695" priority="622">
      <formula>M69=FALSE</formula>
    </cfRule>
    <cfRule type="expression" dxfId="694" priority="625">
      <formula>AND(M69,J69="",G69&lt;&gt;"v.H.-Satz",H69="")</formula>
    </cfRule>
    <cfRule type="expression" dxfId="693" priority="626">
      <formula>AND(M69,G69="v.H.-Satz")</formula>
    </cfRule>
  </conditionalFormatting>
  <conditionalFormatting sqref="J74">
    <cfRule type="expression" dxfId="692" priority="605">
      <formula>M74=FALSE</formula>
    </cfRule>
    <cfRule type="expression" dxfId="691" priority="610">
      <formula>AND(M74,J74="",G74&lt;&gt;"v.H.-Satz",H74="")</formula>
    </cfRule>
    <cfRule type="expression" dxfId="690" priority="612">
      <formula>AND(M74,G74="v.H.-Satz")</formula>
    </cfRule>
  </conditionalFormatting>
  <conditionalFormatting sqref="J76">
    <cfRule type="expression" dxfId="689" priority="153">
      <formula>M76=FALSE</formula>
    </cfRule>
    <cfRule type="expression" dxfId="688" priority="156">
      <formula>AND(M76,J76="",G76&lt;&gt;"v.H.-Satz",H76="")</formula>
    </cfRule>
    <cfRule type="expression" dxfId="687" priority="157">
      <formula>AND(M76,G76="v.H.-Satz")</formula>
    </cfRule>
    <cfRule type="expression" dxfId="686" priority="159">
      <formula>M76=FALSE</formula>
    </cfRule>
    <cfRule type="expression" dxfId="685" priority="162">
      <formula>AND(M76,J76="",G76&lt;&gt;"v.H.-Satz",H76="")</formula>
    </cfRule>
    <cfRule type="expression" dxfId="684" priority="163">
      <formula>AND(M76,G76="v.H.-Satz")</formula>
    </cfRule>
  </conditionalFormatting>
  <conditionalFormatting sqref="J78 J80">
    <cfRule type="expression" dxfId="683" priority="585">
      <formula>M78=FALSE</formula>
    </cfRule>
    <cfRule type="expression" dxfId="682" priority="588">
      <formula>AND(M78,J78="",G78&lt;&gt;"v.H.-Satz",H78="")</formula>
    </cfRule>
    <cfRule type="expression" dxfId="681" priority="590">
      <formula>AND(M78,G78="v.H.-Satz")</formula>
    </cfRule>
  </conditionalFormatting>
  <conditionalFormatting sqref="J78">
    <cfRule type="expression" dxfId="680" priority="599">
      <formula>M78=FALSE</formula>
    </cfRule>
    <cfRule type="expression" dxfId="679" priority="602">
      <formula>AND(M78,J78="",G78&lt;&gt;"v.H.-Satz",H78="")</formula>
    </cfRule>
    <cfRule type="expression" dxfId="678" priority="603">
      <formula>AND(M78,G78="v.H.-Satz")</formula>
    </cfRule>
  </conditionalFormatting>
  <conditionalFormatting sqref="J80">
    <cfRule type="expression" dxfId="677" priority="593">
      <formula>M80=FALSE</formula>
    </cfRule>
    <cfRule type="expression" dxfId="676" priority="596">
      <formula>AND(M80,J80="",G80&lt;&gt;"v.H.-Satz",H80="")</formula>
    </cfRule>
    <cfRule type="expression" dxfId="675" priority="597">
      <formula>AND(M80,G80="v.H.-Satz")</formula>
    </cfRule>
  </conditionalFormatting>
  <conditionalFormatting sqref="J85">
    <cfRule type="expression" dxfId="674" priority="486">
      <formula>M85=FALSE</formula>
    </cfRule>
    <cfRule type="expression" dxfId="673" priority="489">
      <formula>AND(M85,J85="",G85&lt;&gt;"v.H.-Satz",H85="")</formula>
    </cfRule>
    <cfRule type="expression" dxfId="672" priority="490">
      <formula>AND(M85,G85="v.H.-Satz")</formula>
    </cfRule>
    <cfRule type="expression" dxfId="671" priority="493">
      <formula>M85=FALSE</formula>
    </cfRule>
    <cfRule type="expression" dxfId="670" priority="496">
      <formula>AND(M85,J85="",G85&lt;&gt;"v.H.-Satz",H85="")</formula>
    </cfRule>
    <cfRule type="expression" dxfId="669" priority="497">
      <formula>AND(M85,G85="v.H.-Satz")</formula>
    </cfRule>
  </conditionalFormatting>
  <conditionalFormatting sqref="J87">
    <cfRule type="expression" dxfId="668" priority="107">
      <formula>M87=FALSE</formula>
    </cfRule>
    <cfRule type="expression" dxfId="667" priority="110">
      <formula>AND(M87,J87="",G87&lt;&gt;"v.H.-Satz",H87="")</formula>
    </cfRule>
    <cfRule type="expression" dxfId="666" priority="111">
      <formula>AND(M87,G87="v.H.-Satz")</formula>
    </cfRule>
    <cfRule type="expression" dxfId="665" priority="114">
      <formula>M87=FALSE</formula>
    </cfRule>
    <cfRule type="expression" dxfId="664" priority="117">
      <formula>AND(M87,J87="",G87&lt;&gt;"v.H.-Satz",H87="")</formula>
    </cfRule>
    <cfRule type="expression" dxfId="663" priority="118">
      <formula>AND(M87,G87="v.H.-Satz")</formula>
    </cfRule>
  </conditionalFormatting>
  <conditionalFormatting sqref="J89">
    <cfRule type="expression" dxfId="662" priority="456">
      <formula>M89=FALSE</formula>
    </cfRule>
    <cfRule type="expression" dxfId="661" priority="459">
      <formula>AND(M89,J89="",G89&lt;&gt;"v.H.-Satz",H89="")</formula>
    </cfRule>
    <cfRule type="expression" dxfId="660" priority="460">
      <formula>AND(M89,G89="v.H.-Satz")</formula>
    </cfRule>
    <cfRule type="expression" dxfId="659" priority="463">
      <formula>M89=FALSE</formula>
    </cfRule>
    <cfRule type="expression" dxfId="658" priority="466">
      <formula>AND(M89,J89="",G89&lt;&gt;"v.H.-Satz",H89="")</formula>
    </cfRule>
    <cfRule type="expression" dxfId="657" priority="467">
      <formula>AND(M89,G89="v.H.-Satz")</formula>
    </cfRule>
  </conditionalFormatting>
  <conditionalFormatting sqref="J91">
    <cfRule type="expression" dxfId="656" priority="441">
      <formula>M91=FALSE</formula>
    </cfRule>
    <cfRule type="expression" dxfId="655" priority="444">
      <formula>AND(M91,J91="",G91&lt;&gt;"v.H.-Satz",H91="")</formula>
    </cfRule>
    <cfRule type="expression" dxfId="654" priority="445">
      <formula>AND(M91,G91="v.H.-Satz")</formula>
    </cfRule>
    <cfRule type="expression" dxfId="653" priority="448">
      <formula>M91=FALSE</formula>
    </cfRule>
    <cfRule type="expression" dxfId="652" priority="451">
      <formula>AND(M91,J91="",G91&lt;&gt;"v.H.-Satz",H91="")</formula>
    </cfRule>
    <cfRule type="expression" dxfId="651" priority="452">
      <formula>AND(M91,G91="v.H.-Satz")</formula>
    </cfRule>
  </conditionalFormatting>
  <conditionalFormatting sqref="J96">
    <cfRule type="expression" dxfId="650" priority="519">
      <formula>M96=FALSE</formula>
    </cfRule>
    <cfRule type="expression" dxfId="649" priority="522">
      <formula>AND(M96,J96="",G96&lt;&gt;"v.H.-Satz",H96="")</formula>
    </cfRule>
    <cfRule type="expression" dxfId="648" priority="523">
      <formula>AND(M96,G96="v.H.-Satz")</formula>
    </cfRule>
  </conditionalFormatting>
  <conditionalFormatting sqref="J98 J100">
    <cfRule type="expression" dxfId="647" priority="500">
      <formula>M98=FALSE</formula>
    </cfRule>
    <cfRule type="expression" dxfId="646" priority="503">
      <formula>AND(M98,J98="",G98&lt;&gt;"v.H.-Satz",H98="")</formula>
    </cfRule>
    <cfRule type="expression" dxfId="645" priority="504">
      <formula>AND(M98,G98="v.H.-Satz")</formula>
    </cfRule>
  </conditionalFormatting>
  <conditionalFormatting sqref="J98">
    <cfRule type="expression" dxfId="644" priority="513">
      <formula>M98=FALSE</formula>
    </cfRule>
    <cfRule type="expression" dxfId="643" priority="516">
      <formula>AND(M98,J98="",G98&lt;&gt;"v.H.-Satz",H98="")</formula>
    </cfRule>
    <cfRule type="expression" dxfId="642" priority="517">
      <formula>AND(M98,G98="v.H.-Satz")</formula>
    </cfRule>
  </conditionalFormatting>
  <conditionalFormatting sqref="J100">
    <cfRule type="expression" dxfId="641" priority="507">
      <formula>M100=FALSE</formula>
    </cfRule>
    <cfRule type="expression" dxfId="640" priority="510">
      <formula>AND(M100,J100="",G100&lt;&gt;"v.H.-Satz",H100="")</formula>
    </cfRule>
    <cfRule type="expression" dxfId="639" priority="511">
      <formula>AND(M100,G100="v.H.-Satz")</formula>
    </cfRule>
  </conditionalFormatting>
  <dataValidations count="3">
    <dataValidation type="list" allowBlank="1" showInputMessage="1" showErrorMessage="1" sqref="G14 G91 G16 G85 G18 G23 G25 G27 G32 G38 G40 G45 G49 G51 G56 G58 G60 G65 G67 G69 G96 G74 G78 G80 G98 G100 G89 G76 G36 G34 G47 G87">
      <formula1>"v.H.-Satz,pauschal"</formula1>
    </dataValidation>
    <dataValidation allowBlank="1" showErrorMessage="1" prompt="Kopfzeile" sqref="F89 F16 F67 F76 F23 F25 F78 F36 F38 F87 F47 F49 F96 F56 F58 F98 F65 F18 F14 F27 F40 F51 F60 F69 F80 F91 F100"/>
    <dataValidation allowBlank="1" showErrorMessage="1" sqref="E36 F17 E100 F88 F24 F26 E96 F37 F39 E34 F48 F50 E76 F57 F59 E47 F66 F68 E98 F77 F79 F97 F90 F99 E14 E16 E18 E23 E25 E27 E32 E38 E40 E45 E49 E51 E56 E58 E60 E65 E67 E69 E74 E78 E80 E85 E87 E89 E91 F19 F15 F28 F41 F52 F61 F70 F81 F92 F101"/>
  </dataValidations>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Februar 2023&amp;R&amp;P</oddFooter>
  </headerFooter>
  <rowBreaks count="3" manualBreakCount="3">
    <brk id="43" max="11" man="1"/>
    <brk id="63" max="11" man="1"/>
    <brk id="8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2613" r:id="rId4" name="Kontrollkästchen 2">
              <controlPr defaultSize="0" autoFill="0" autoLine="0" autoPict="0" altText="">
                <anchor moveWithCells="1">
                  <from>
                    <xdr:col>1</xdr:col>
                    <xdr:colOff>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12625" r:id="rId5" name="Check Box 337">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12626" r:id="rId6" name="Check Box 338">
              <controlPr defaultSize="0" autoFill="0" autoLine="0" autoPict="0" altText="">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12660" r:id="rId7" name="Check Box 372">
              <controlPr defaultSize="0" autoFill="0" autoLine="0" autoPict="0" altText="">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12661" r:id="rId8" name="Check Box 373">
              <controlPr defaultSize="0" autoFill="0" autoLine="0" autoPict="0" altText="">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12678" r:id="rId9" name="Check Box 390">
              <controlPr defaultSize="0" autoFill="0" autoLine="0" autoPict="0" altText="">
                <anchor moveWithCells="1">
                  <from>
                    <xdr:col>1</xdr:col>
                    <xdr:colOff>0</xdr:colOff>
                    <xdr:row>57</xdr:row>
                    <xdr:rowOff>0</xdr:rowOff>
                  </from>
                  <to>
                    <xdr:col>2</xdr:col>
                    <xdr:colOff>0</xdr:colOff>
                    <xdr:row>58</xdr:row>
                    <xdr:rowOff>0</xdr:rowOff>
                  </to>
                </anchor>
              </controlPr>
            </control>
          </mc:Choice>
        </mc:AlternateContent>
        <mc:AlternateContent xmlns:mc="http://schemas.openxmlformats.org/markup-compatibility/2006">
          <mc:Choice Requires="x14">
            <control shapeId="12679" r:id="rId10" name="Check Box 391">
              <controlPr defaultSize="0" autoFill="0" autoLine="0" autoPict="0" altText="">
                <anchor moveWithCells="1">
                  <from>
                    <xdr:col>1</xdr:col>
                    <xdr:colOff>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12680" r:id="rId11" name="Check Box 392">
              <controlPr defaultSize="0" autoFill="0" autoLine="0" autoPict="0" altText="">
                <anchor moveWithCells="1">
                  <from>
                    <xdr:col>1</xdr:col>
                    <xdr:colOff>0</xdr:colOff>
                    <xdr:row>64</xdr:row>
                    <xdr:rowOff>0</xdr:rowOff>
                  </from>
                  <to>
                    <xdr:col>2</xdr:col>
                    <xdr:colOff>0</xdr:colOff>
                    <xdr:row>65</xdr:row>
                    <xdr:rowOff>0</xdr:rowOff>
                  </to>
                </anchor>
              </controlPr>
            </control>
          </mc:Choice>
        </mc:AlternateContent>
        <mc:AlternateContent xmlns:mc="http://schemas.openxmlformats.org/markup-compatibility/2006">
          <mc:Choice Requires="x14">
            <control shapeId="12681" r:id="rId12" name="Check Box 393">
              <controlPr defaultSize="0" autoFill="0" autoLine="0" autoPict="0" altText="">
                <anchor moveWithCells="1">
                  <from>
                    <xdr:col>1</xdr:col>
                    <xdr:colOff>0</xdr:colOff>
                    <xdr:row>66</xdr:row>
                    <xdr:rowOff>0</xdr:rowOff>
                  </from>
                  <to>
                    <xdr:col>2</xdr:col>
                    <xdr:colOff>0</xdr:colOff>
                    <xdr:row>67</xdr:row>
                    <xdr:rowOff>0</xdr:rowOff>
                  </to>
                </anchor>
              </controlPr>
            </control>
          </mc:Choice>
        </mc:AlternateContent>
        <mc:AlternateContent xmlns:mc="http://schemas.openxmlformats.org/markup-compatibility/2006">
          <mc:Choice Requires="x14">
            <control shapeId="12682" r:id="rId13" name="Check Box 394">
              <controlPr defaultSize="0" autoFill="0" autoLine="0" autoPict="0" altText="">
                <anchor moveWithCells="1">
                  <from>
                    <xdr:col>1</xdr:col>
                    <xdr:colOff>0</xdr:colOff>
                    <xdr:row>68</xdr:row>
                    <xdr:rowOff>0</xdr:rowOff>
                  </from>
                  <to>
                    <xdr:col>2</xdr:col>
                    <xdr:colOff>0</xdr:colOff>
                    <xdr:row>69</xdr:row>
                    <xdr:rowOff>0</xdr:rowOff>
                  </to>
                </anchor>
              </controlPr>
            </control>
          </mc:Choice>
        </mc:AlternateContent>
        <mc:AlternateContent xmlns:mc="http://schemas.openxmlformats.org/markup-compatibility/2006">
          <mc:Choice Requires="x14">
            <control shapeId="12690" r:id="rId14" name="Check Box 402">
              <controlPr defaultSize="0" autoFill="0" autoLine="0" autoPict="0" altText="">
                <anchor moveWithCells="1">
                  <from>
                    <xdr:col>1</xdr:col>
                    <xdr:colOff>0</xdr:colOff>
                    <xdr:row>73</xdr:row>
                    <xdr:rowOff>0</xdr:rowOff>
                  </from>
                  <to>
                    <xdr:col>2</xdr:col>
                    <xdr:colOff>0</xdr:colOff>
                    <xdr:row>74</xdr:row>
                    <xdr:rowOff>0</xdr:rowOff>
                  </to>
                </anchor>
              </controlPr>
            </control>
          </mc:Choice>
        </mc:AlternateContent>
        <mc:AlternateContent xmlns:mc="http://schemas.openxmlformats.org/markup-compatibility/2006">
          <mc:Choice Requires="x14">
            <control shapeId="12691" r:id="rId15" name="Check Box 403">
              <controlPr defaultSize="0" autoFill="0" autoLine="0" autoPict="0" altText="">
                <anchor moveWithCells="1">
                  <from>
                    <xdr:col>1</xdr:col>
                    <xdr:colOff>0</xdr:colOff>
                    <xdr:row>77</xdr:row>
                    <xdr:rowOff>0</xdr:rowOff>
                  </from>
                  <to>
                    <xdr:col>2</xdr:col>
                    <xdr:colOff>0</xdr:colOff>
                    <xdr:row>78</xdr:row>
                    <xdr:rowOff>0</xdr:rowOff>
                  </to>
                </anchor>
              </controlPr>
            </control>
          </mc:Choice>
        </mc:AlternateContent>
        <mc:AlternateContent xmlns:mc="http://schemas.openxmlformats.org/markup-compatibility/2006">
          <mc:Choice Requires="x14">
            <control shapeId="12692" r:id="rId16" name="Check Box 404">
              <controlPr defaultSize="0" autoFill="0" autoLine="0" autoPict="0" altText="">
                <anchor moveWithCells="1">
                  <from>
                    <xdr:col>1</xdr:col>
                    <xdr:colOff>0</xdr:colOff>
                    <xdr:row>79</xdr:row>
                    <xdr:rowOff>0</xdr:rowOff>
                  </from>
                  <to>
                    <xdr:col>2</xdr:col>
                    <xdr:colOff>0</xdr:colOff>
                    <xdr:row>80</xdr:row>
                    <xdr:rowOff>0</xdr:rowOff>
                  </to>
                </anchor>
              </controlPr>
            </control>
          </mc:Choice>
        </mc:AlternateContent>
        <mc:AlternateContent xmlns:mc="http://schemas.openxmlformats.org/markup-compatibility/2006">
          <mc:Choice Requires="x14">
            <control shapeId="12695" r:id="rId17" name="Check Box 407">
              <controlPr defaultSize="0" autoFill="0" autoLine="0" autoPict="0" altText="3 Fahrstreifen">
                <anchor moveWithCells="1">
                  <from>
                    <xdr:col>1</xdr:col>
                    <xdr:colOff>0</xdr:colOff>
                    <xdr:row>95</xdr:row>
                    <xdr:rowOff>0</xdr:rowOff>
                  </from>
                  <to>
                    <xdr:col>2</xdr:col>
                    <xdr:colOff>0</xdr:colOff>
                    <xdr:row>95</xdr:row>
                    <xdr:rowOff>209550</xdr:rowOff>
                  </to>
                </anchor>
              </controlPr>
            </control>
          </mc:Choice>
        </mc:AlternateContent>
        <mc:AlternateContent xmlns:mc="http://schemas.openxmlformats.org/markup-compatibility/2006">
          <mc:Choice Requires="x14">
            <control shapeId="12696" r:id="rId18" name="Check Box 408">
              <controlPr defaultSize="0" autoFill="0" autoLine="0" autoPict="0" altText="3 Fahrstreifen">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12700" r:id="rId19" name="Check Box 412">
              <controlPr defaultSize="0" autoFill="0" autoLine="0" autoPict="0" altText="">
                <anchor moveWithCells="1">
                  <from>
                    <xdr:col>1</xdr:col>
                    <xdr:colOff>0</xdr:colOff>
                    <xdr:row>86</xdr:row>
                    <xdr:rowOff>0</xdr:rowOff>
                  </from>
                  <to>
                    <xdr:col>2</xdr:col>
                    <xdr:colOff>0</xdr:colOff>
                    <xdr:row>87</xdr:row>
                    <xdr:rowOff>0</xdr:rowOff>
                  </to>
                </anchor>
              </controlPr>
            </control>
          </mc:Choice>
        </mc:AlternateContent>
        <mc:AlternateContent xmlns:mc="http://schemas.openxmlformats.org/markup-compatibility/2006">
          <mc:Choice Requires="x14">
            <control shapeId="12703" r:id="rId20" name="Check Box 415">
              <controlPr defaultSize="0" autoFill="0" autoLine="0" autoPict="0" altText="">
                <anchor moveWithCells="1">
                  <from>
                    <xdr:col>1</xdr:col>
                    <xdr:colOff>0</xdr:colOff>
                    <xdr:row>84</xdr:row>
                    <xdr:rowOff>0</xdr:rowOff>
                  </from>
                  <to>
                    <xdr:col>2</xdr:col>
                    <xdr:colOff>0</xdr:colOff>
                    <xdr:row>85</xdr:row>
                    <xdr:rowOff>0</xdr:rowOff>
                  </to>
                </anchor>
              </controlPr>
            </control>
          </mc:Choice>
        </mc:AlternateContent>
        <mc:AlternateContent xmlns:mc="http://schemas.openxmlformats.org/markup-compatibility/2006">
          <mc:Choice Requires="x14">
            <control shapeId="12704" r:id="rId21" name="Check Box 416">
              <controlPr defaultSize="0" autoFill="0" autoLine="0" autoPict="0" altText="">
                <anchor moveWithCells="1">
                  <from>
                    <xdr:col>1</xdr:col>
                    <xdr:colOff>0</xdr:colOff>
                    <xdr:row>88</xdr:row>
                    <xdr:rowOff>0</xdr:rowOff>
                  </from>
                  <to>
                    <xdr:col>2</xdr:col>
                    <xdr:colOff>0</xdr:colOff>
                    <xdr:row>89</xdr:row>
                    <xdr:rowOff>0</xdr:rowOff>
                  </to>
                </anchor>
              </controlPr>
            </control>
          </mc:Choice>
        </mc:AlternateContent>
        <mc:AlternateContent xmlns:mc="http://schemas.openxmlformats.org/markup-compatibility/2006">
          <mc:Choice Requires="x14">
            <control shapeId="12706" r:id="rId22" name="Check Box 418">
              <controlPr defaultSize="0" autoFill="0" autoLine="0" autoPict="0" altText="">
                <anchor moveWithCells="1">
                  <from>
                    <xdr:col>1</xdr:col>
                    <xdr:colOff>0</xdr:colOff>
                    <xdr:row>90</xdr:row>
                    <xdr:rowOff>0</xdr:rowOff>
                  </from>
                  <to>
                    <xdr:col>2</xdr:col>
                    <xdr:colOff>0</xdr:colOff>
                    <xdr:row>91</xdr:row>
                    <xdr:rowOff>0</xdr:rowOff>
                  </to>
                </anchor>
              </controlPr>
            </control>
          </mc:Choice>
        </mc:AlternateContent>
        <mc:AlternateContent xmlns:mc="http://schemas.openxmlformats.org/markup-compatibility/2006">
          <mc:Choice Requires="x14">
            <control shapeId="12781" r:id="rId23" name="Check Box 493">
              <controlPr defaultSize="0" autoFill="0" autoLine="0" autoPict="0" altText="">
                <anchor moveWithCells="1">
                  <from>
                    <xdr:col>1</xdr:col>
                    <xdr:colOff>0</xdr:colOff>
                    <xdr:row>55</xdr:row>
                    <xdr:rowOff>0</xdr:rowOff>
                  </from>
                  <to>
                    <xdr:col>2</xdr:col>
                    <xdr:colOff>0</xdr:colOff>
                    <xdr:row>56</xdr:row>
                    <xdr:rowOff>0</xdr:rowOff>
                  </to>
                </anchor>
              </controlPr>
            </control>
          </mc:Choice>
        </mc:AlternateContent>
        <mc:AlternateContent xmlns:mc="http://schemas.openxmlformats.org/markup-compatibility/2006">
          <mc:Choice Requires="x14">
            <control shapeId="12824" r:id="rId24" name="Check Box 536">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12835" r:id="rId25" name="Kontrollkästchen 5">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2836" r:id="rId26" name="Check Box 548">
              <controlPr defaultSize="0" autoFill="0" autoLine="0" autoPict="0" altText="">
                <anchor moveWithCells="1">
                  <from>
                    <xdr:col>1</xdr:col>
                    <xdr:colOff>0</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12837" r:id="rId27" name="Check Box 549">
              <controlPr defaultSize="0" autoFill="0" autoLine="0" autoPict="0" altText="">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12853" r:id="rId28" name="Check Box 565">
              <controlPr defaultSize="0" autoFill="0" autoLine="0" autoPict="0" altText="">
                <anchor moveWithCells="1">
                  <from>
                    <xdr:col>1</xdr:col>
                    <xdr:colOff>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12858" r:id="rId29" name="Check Box 570">
              <controlPr defaultSize="0" autoFill="0" autoLine="0" autoPict="0" altText="">
                <anchor moveWithCells="1">
                  <from>
                    <xdr:col>1</xdr:col>
                    <xdr:colOff>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12903" r:id="rId30" name="Check Box 615">
              <controlPr defaultSize="0" autoFill="0" autoLine="0" autoPict="0" altText="">
                <anchor moveWithCells="1">
                  <from>
                    <xdr:col>1</xdr:col>
                    <xdr:colOff>0</xdr:colOff>
                    <xdr:row>48</xdr:row>
                    <xdr:rowOff>0</xdr:rowOff>
                  </from>
                  <to>
                    <xdr:col>2</xdr:col>
                    <xdr:colOff>0</xdr:colOff>
                    <xdr:row>49</xdr:row>
                    <xdr:rowOff>0</xdr:rowOff>
                  </to>
                </anchor>
              </controlPr>
            </control>
          </mc:Choice>
        </mc:AlternateContent>
        <mc:AlternateContent xmlns:mc="http://schemas.openxmlformats.org/markup-compatibility/2006">
          <mc:Choice Requires="x14">
            <control shapeId="12922" r:id="rId31" name="Check Box 634">
              <controlPr defaultSize="0" autoFill="0" autoLine="0" autoPict="0" altText="3 Fahrstreifen">
                <anchor moveWithCells="1">
                  <from>
                    <xdr:col>1</xdr:col>
                    <xdr:colOff>0</xdr:colOff>
                    <xdr:row>99</xdr:row>
                    <xdr:rowOff>0</xdr:rowOff>
                  </from>
                  <to>
                    <xdr:col>2</xdr:col>
                    <xdr:colOff>0</xdr:colOff>
                    <xdr:row>100</xdr:row>
                    <xdr:rowOff>0</xdr:rowOff>
                  </to>
                </anchor>
              </controlPr>
            </control>
          </mc:Choice>
        </mc:AlternateContent>
        <mc:AlternateContent xmlns:mc="http://schemas.openxmlformats.org/markup-compatibility/2006">
          <mc:Choice Requires="x14">
            <control shapeId="12926" r:id="rId32" name="Check Box 638">
              <controlPr defaultSize="0" autoFill="0" autoLine="0" autoPict="0" altText="">
                <anchor moveWithCells="1">
                  <from>
                    <xdr:col>1</xdr:col>
                    <xdr:colOff>0</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12927" r:id="rId33" name="Check Box 639">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2928" r:id="rId34" name="Check Box 640">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2932" r:id="rId35" name="Check Box 644">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12933" r:id="rId36" name="Check Box 645">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13007" r:id="rId37" name="Check Box 719">
              <controlPr defaultSize="0" autoFill="0" autoLine="0" autoPict="0" altText="">
                <anchor moveWithCells="1">
                  <from>
                    <xdr:col>1</xdr:col>
                    <xdr:colOff>0</xdr:colOff>
                    <xdr:row>35</xdr:row>
                    <xdr:rowOff>0</xdr:rowOff>
                  </from>
                  <to>
                    <xdr:col>2</xdr:col>
                    <xdr:colOff>0</xdr:colOff>
                    <xdr:row>36</xdr:row>
                    <xdr:rowOff>0</xdr:rowOff>
                  </to>
                </anchor>
              </controlPr>
            </control>
          </mc:Choice>
        </mc:AlternateContent>
        <mc:AlternateContent xmlns:mc="http://schemas.openxmlformats.org/markup-compatibility/2006">
          <mc:Choice Requires="x14">
            <control shapeId="13008" r:id="rId38" name="Check Box 720">
              <controlPr defaultSize="0" autoFill="0" autoLine="0" autoPict="0" altText="">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13009" r:id="rId39" name="Check Box 721">
              <controlPr defaultSize="0" autoFill="0" autoLine="0" autoPict="0" altText="">
                <anchor moveWithCells="1">
                  <from>
                    <xdr:col>1</xdr:col>
                    <xdr:colOff>0</xdr:colOff>
                    <xdr:row>46</xdr:row>
                    <xdr:rowOff>0</xdr:rowOff>
                  </from>
                  <to>
                    <xdr:col>2</xdr:col>
                    <xdr:colOff>0</xdr:colOff>
                    <xdr:row>47</xdr:row>
                    <xdr:rowOff>0</xdr:rowOff>
                  </to>
                </anchor>
              </controlPr>
            </control>
          </mc:Choice>
        </mc:AlternateContent>
        <mc:AlternateContent xmlns:mc="http://schemas.openxmlformats.org/markup-compatibility/2006">
          <mc:Choice Requires="x14">
            <control shapeId="13014" r:id="rId40" name="Check Box 726">
              <controlPr defaultSize="0" autoFill="0" autoLine="0" autoPict="0" altText="">
                <anchor moveWithCells="1">
                  <from>
                    <xdr:col>1</xdr:col>
                    <xdr:colOff>0</xdr:colOff>
                    <xdr:row>75</xdr:row>
                    <xdr:rowOff>0</xdr:rowOff>
                  </from>
                  <to>
                    <xdr:col>2</xdr:col>
                    <xdr:colOff>0</xdr:colOff>
                    <xdr:row>76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1" id="{48DFC75E-E95C-4718-A47F-DB8014221295}">
            <xm:f>NOT(Projektgrundlagen!$I$22)</xm:f>
            <x14:dxf>
              <font>
                <strike/>
                <color theme="0" tint="-0.14996795556505021"/>
              </font>
              <fill>
                <patternFill>
                  <bgColor theme="0"/>
                </patternFill>
              </fill>
            </x14:dxf>
          </x14:cfRule>
          <xm:sqref>B32:E41</xm:sqref>
        </x14:conditionalFormatting>
        <x14:conditionalFormatting xmlns:xm="http://schemas.microsoft.com/office/excel/2006/main">
          <x14:cfRule type="expression" priority="168" id="{4D8DE4E4-DAFB-4843-B3E4-ECF011662868}">
            <xm:f>NOT(Projektgrundlagen!$I$22)</xm:f>
            <x14:dxf>
              <font>
                <strike/>
                <color theme="0" tint="-0.14996795556505021"/>
              </font>
              <fill>
                <patternFill>
                  <bgColor theme="0"/>
                </patternFill>
              </fill>
            </x14:dxf>
          </x14:cfRule>
          <xm:sqref>B47:E52</xm:sqref>
        </x14:conditionalFormatting>
        <x14:conditionalFormatting xmlns:xm="http://schemas.microsoft.com/office/excel/2006/main">
          <x14:cfRule type="expression" priority="147" id="{1B7E17FB-D46D-4AA2-9C69-B9520BBC32EA}">
            <xm:f>NOT(Projektgrundlagen!$I$22)</xm:f>
            <x14:dxf>
              <font>
                <strike/>
                <color theme="0" tint="-0.14996795556505021"/>
              </font>
              <fill>
                <patternFill>
                  <bgColor theme="0"/>
                </patternFill>
              </fill>
            </x14:dxf>
          </x14:cfRule>
          <xm:sqref>B76:E81</xm:sqref>
        </x14:conditionalFormatting>
        <x14:conditionalFormatting xmlns:xm="http://schemas.microsoft.com/office/excel/2006/main">
          <x14:cfRule type="expression" priority="241" id="{0B55C862-961C-4E71-8F6E-8652DE99E091}">
            <xm:f>NOT(Projektgrundlagen!$I$22)</xm:f>
            <x14:dxf>
              <font>
                <strike/>
                <color theme="0" tint="-0.14996795556505021"/>
              </font>
              <fill>
                <patternFill>
                  <bgColor theme="0"/>
                </patternFill>
              </fill>
            </x14:dxf>
          </x14:cfRule>
          <xm:sqref>B85:E92</xm:sqref>
        </x14:conditionalFormatting>
        <x14:conditionalFormatting xmlns:xm="http://schemas.microsoft.com/office/excel/2006/main">
          <x14:cfRule type="expression" priority="85" id="{8BE8C149-3194-4036-884A-CBF2D7ED01C2}">
            <xm:f>NOT(Projektgrundlagen!$I$22)</xm:f>
            <x14:dxf>
              <font>
                <strike/>
                <color theme="0" tint="-0.14996795556505021"/>
              </font>
              <fill>
                <patternFill>
                  <bgColor theme="0"/>
                </patternFill>
              </fill>
            </x14:dxf>
          </x14:cfRule>
          <xm:sqref>B23:F28</xm:sqref>
        </x14:conditionalFormatting>
        <x14:conditionalFormatting xmlns:xm="http://schemas.microsoft.com/office/excel/2006/main">
          <x14:cfRule type="expression" priority="49" id="{B702F9AD-80AE-441D-9325-B598ED42C229}">
            <xm:f>NOT(Projektgrundlagen!$I$22)</xm:f>
            <x14:dxf>
              <font>
                <strike/>
                <color theme="0" tint="-0.14996795556505021"/>
              </font>
              <fill>
                <patternFill>
                  <bgColor theme="0"/>
                </patternFill>
              </fill>
            </x14:dxf>
          </x14:cfRule>
          <xm:sqref>B56:F61</xm:sqref>
        </x14:conditionalFormatting>
        <x14:conditionalFormatting xmlns:xm="http://schemas.microsoft.com/office/excel/2006/main">
          <x14:cfRule type="expression" priority="37" id="{F1040BE5-6709-4E6D-B864-562CF0141A9F}">
            <xm:f>NOT(Projektgrundlagen!$I$22)</xm:f>
            <x14:dxf>
              <font>
                <strike/>
                <color theme="0" tint="-0.14996795556505021"/>
              </font>
              <fill>
                <patternFill>
                  <bgColor theme="0"/>
                </patternFill>
              </fill>
            </x14:dxf>
          </x14:cfRule>
          <xm:sqref>B65:F70</xm:sqref>
        </x14:conditionalFormatting>
        <x14:conditionalFormatting xmlns:xm="http://schemas.microsoft.com/office/excel/2006/main">
          <x14:cfRule type="expression" priority="369" id="{1F1B1D11-BB14-4005-A36D-3FA9FC02C2A9}">
            <xm:f>NOT(Projektgrundlagen!$I$22)</xm:f>
            <x14:dxf>
              <font>
                <strike/>
                <color theme="0" tint="-0.14996795556505021"/>
              </font>
              <fill>
                <patternFill>
                  <bgColor theme="0"/>
                </patternFill>
              </fill>
            </x14:dxf>
          </x14:cfRule>
          <xm:sqref>B14:K19</xm:sqref>
        </x14:conditionalFormatting>
        <x14:conditionalFormatting xmlns:xm="http://schemas.microsoft.com/office/excel/2006/main">
          <x14:cfRule type="expression" priority="166" id="{3FB985A9-59B9-4B17-8D03-C9668B86909A}">
            <xm:f>NOT(Projektgrundlagen!$I$22)</xm:f>
            <x14:dxf>
              <font>
                <strike/>
                <color theme="0" tint="-0.14996795556505021"/>
              </font>
              <fill>
                <patternFill>
                  <bgColor theme="0"/>
                </patternFill>
              </fill>
            </x14:dxf>
          </x14:cfRule>
          <xm:sqref>B45:K46</xm:sqref>
        </x14:conditionalFormatting>
        <x14:conditionalFormatting xmlns:xm="http://schemas.microsoft.com/office/excel/2006/main">
          <x14:cfRule type="expression" priority="145" id="{32E27133-A718-4FF1-BE2E-B4309A6589D2}">
            <xm:f>NOT(Projektgrundlagen!$I$22)</xm:f>
            <x14:dxf>
              <font>
                <strike/>
                <color theme="0" tint="-0.14996795556505021"/>
              </font>
              <fill>
                <patternFill>
                  <bgColor theme="0"/>
                </patternFill>
              </fill>
            </x14:dxf>
          </x14:cfRule>
          <xm:sqref>B74:K75</xm:sqref>
        </x14:conditionalFormatting>
        <x14:conditionalFormatting xmlns:xm="http://schemas.microsoft.com/office/excel/2006/main">
          <x14:cfRule type="expression" priority="1" id="{3F961677-36D0-4E44-B176-B01E26AFFEF3}">
            <xm:f>NOT(Projektgrundlagen!$I$22)</xm:f>
            <x14:dxf>
              <font>
                <strike/>
                <color theme="0" tint="-0.14996795556505021"/>
              </font>
              <fill>
                <patternFill>
                  <bgColor theme="0"/>
                </patternFill>
              </fill>
            </x14:dxf>
          </x14:cfRule>
          <xm:sqref>B96:K101</xm:sqref>
        </x14:conditionalFormatting>
        <x14:conditionalFormatting xmlns:xm="http://schemas.microsoft.com/office/excel/2006/main">
          <x14:cfRule type="expression" priority="73" id="{EAA68F86-3FFD-4008-B7A9-1844C682176C}">
            <xm:f>NOT(Projektgrundlagen!$I$22)</xm:f>
            <x14:dxf>
              <font>
                <strike/>
                <color theme="0" tint="-0.14996795556505021"/>
              </font>
              <fill>
                <patternFill>
                  <bgColor theme="0"/>
                </patternFill>
              </fill>
            </x14:dxf>
          </x14:cfRule>
          <xm:sqref>F38:F41</xm:sqref>
        </x14:conditionalFormatting>
        <x14:conditionalFormatting xmlns:xm="http://schemas.microsoft.com/office/excel/2006/main">
          <x14:cfRule type="expression" priority="61" id="{90CC230A-365B-4571-8930-E5168E7E83BC}">
            <xm:f>NOT(Projektgrundlagen!$I$22)</xm:f>
            <x14:dxf>
              <font>
                <strike/>
                <color theme="0" tint="-0.14996795556505021"/>
              </font>
              <fill>
                <patternFill>
                  <bgColor theme="0"/>
                </patternFill>
              </fill>
            </x14:dxf>
          </x14:cfRule>
          <xm:sqref>F49:F52</xm:sqref>
        </x14:conditionalFormatting>
        <x14:conditionalFormatting xmlns:xm="http://schemas.microsoft.com/office/excel/2006/main">
          <x14:cfRule type="expression" priority="25" id="{63FAC91B-EDE7-40D0-8C24-70C1ABA77DA1}">
            <xm:f>NOT(Projektgrundlagen!$I$22)</xm:f>
            <x14:dxf>
              <font>
                <strike/>
                <color theme="0" tint="-0.14996795556505021"/>
              </font>
              <fill>
                <patternFill>
                  <bgColor theme="0"/>
                </patternFill>
              </fill>
            </x14:dxf>
          </x14:cfRule>
          <xm:sqref>F78:F81</xm:sqref>
        </x14:conditionalFormatting>
        <x14:conditionalFormatting xmlns:xm="http://schemas.microsoft.com/office/excel/2006/main">
          <x14:cfRule type="expression" priority="13" id="{4F895832-7E10-4286-9DAC-40477E15C633}">
            <xm:f>NOT(Projektgrundlagen!$I$22)</xm:f>
            <x14:dxf>
              <font>
                <strike/>
                <color theme="0" tint="-0.14996795556505021"/>
              </font>
              <fill>
                <patternFill>
                  <bgColor theme="0"/>
                </patternFill>
              </fill>
            </x14:dxf>
          </x14:cfRule>
          <xm:sqref>F87:F92</xm:sqref>
        </x14:conditionalFormatting>
        <x14:conditionalFormatting xmlns:xm="http://schemas.microsoft.com/office/excel/2006/main">
          <x14:cfRule type="expression" priority="81" id="{CF9BF54B-61E6-4E81-8C73-EA3D55957944}">
            <xm:f>NOT(Projektgrundlagen!$I$22)</xm:f>
            <x14:dxf>
              <font>
                <strike/>
                <color theme="0" tint="-0.14996795556505021"/>
              </font>
              <fill>
                <patternFill>
                  <bgColor theme="0"/>
                </patternFill>
              </fill>
            </x14:dxf>
          </x14:cfRule>
          <xm:sqref>F32:K37</xm:sqref>
        </x14:conditionalFormatting>
        <x14:conditionalFormatting xmlns:xm="http://schemas.microsoft.com/office/excel/2006/main">
          <x14:cfRule type="expression" priority="69" id="{0BC9DA35-5383-4286-B5BF-5241BB82320D}">
            <xm:f>NOT(Projektgrundlagen!$I$22)</xm:f>
            <x14:dxf>
              <font>
                <strike/>
                <color theme="0" tint="-0.14996795556505021"/>
              </font>
              <fill>
                <patternFill>
                  <bgColor theme="0"/>
                </patternFill>
              </fill>
            </x14:dxf>
          </x14:cfRule>
          <xm:sqref>F47:K48</xm:sqref>
        </x14:conditionalFormatting>
        <x14:conditionalFormatting xmlns:xm="http://schemas.microsoft.com/office/excel/2006/main">
          <x14:cfRule type="expression" priority="33" id="{E40D15A3-9948-4D41-BA35-6E21B9E90422}">
            <xm:f>NOT(Projektgrundlagen!$I$22)</xm:f>
            <x14:dxf>
              <font>
                <strike/>
                <color theme="0" tint="-0.14996795556505021"/>
              </font>
              <fill>
                <patternFill>
                  <bgColor theme="0"/>
                </patternFill>
              </fill>
            </x14:dxf>
          </x14:cfRule>
          <xm:sqref>F76:K77</xm:sqref>
        </x14:conditionalFormatting>
        <x14:conditionalFormatting xmlns:xm="http://schemas.microsoft.com/office/excel/2006/main">
          <x14:cfRule type="expression" priority="256" id="{6D90653C-743A-412E-9A29-110A1B5E424D}">
            <xm:f>NOT(Projektgrundlagen!$I$22)</xm:f>
            <x14:dxf>
              <font>
                <strike/>
                <color theme="0" tint="-0.14996795556505021"/>
              </font>
              <fill>
                <patternFill>
                  <bgColor theme="0"/>
                </patternFill>
              </fill>
            </x14:dxf>
          </x14:cfRule>
          <xm:sqref>F85:K85</xm:sqref>
        </x14:conditionalFormatting>
        <x14:conditionalFormatting xmlns:xm="http://schemas.microsoft.com/office/excel/2006/main">
          <x14:cfRule type="expression" priority="144" id="{E95962B8-66EC-4D92-B78E-A3A8461C7C8E}">
            <xm:f>NOT(Projektgrundlagen!$I$22)</xm:f>
            <x14:dxf>
              <font>
                <strike/>
                <color theme="0" tint="-0.14996795556505021"/>
              </font>
              <fill>
                <patternFill>
                  <bgColor theme="0"/>
                </patternFill>
              </fill>
            </x14:dxf>
          </x14:cfRule>
          <xm:sqref>F86:K86</xm:sqref>
        </x14:conditionalFormatting>
        <x14:conditionalFormatting xmlns:xm="http://schemas.microsoft.com/office/excel/2006/main">
          <x14:cfRule type="expression" priority="105" id="{394842E9-9180-41BF-8C96-145F27CEBAB7}">
            <xm:f>NOT(Projektgrundlagen!$I$22)</xm:f>
            <x14:dxf>
              <font>
                <strike/>
                <color theme="0" tint="-0.14996795556505021"/>
              </font>
              <fill>
                <patternFill>
                  <bgColor theme="0"/>
                </patternFill>
              </fill>
            </x14:dxf>
          </x14:cfRule>
          <xm:sqref>G87</xm:sqref>
        </x14:conditionalFormatting>
        <x14:conditionalFormatting xmlns:xm="http://schemas.microsoft.com/office/excel/2006/main">
          <x14:cfRule type="expression" priority="252" id="{02202378-4E1D-41A7-904D-5752B8C57DEB}">
            <xm:f>NOT(Projektgrundlagen!$I$22)</xm:f>
            <x14:dxf>
              <font>
                <strike/>
                <color theme="0" tint="-0.14996795556505021"/>
              </font>
              <fill>
                <patternFill>
                  <bgColor theme="0"/>
                </patternFill>
              </fill>
            </x14:dxf>
          </x14:cfRule>
          <xm:sqref>G89</xm:sqref>
        </x14:conditionalFormatting>
        <x14:conditionalFormatting xmlns:xm="http://schemas.microsoft.com/office/excel/2006/main">
          <x14:cfRule type="expression" priority="250" id="{E14BCBC9-EF15-47D6-B0B7-9AFC3030FFF9}">
            <xm:f>NOT(Projektgrundlagen!$I$22)</xm:f>
            <x14:dxf>
              <font>
                <strike/>
                <color theme="0" tint="-0.14996795556505021"/>
              </font>
              <fill>
                <patternFill>
                  <bgColor theme="0"/>
                </patternFill>
              </fill>
            </x14:dxf>
          </x14:cfRule>
          <xm:sqref>G91</xm:sqref>
        </x14:conditionalFormatting>
        <x14:conditionalFormatting xmlns:xm="http://schemas.microsoft.com/office/excel/2006/main">
          <x14:cfRule type="expression" priority="356" id="{84100280-1627-4F63-8DDF-982949FBD850}">
            <xm:f>NOT(Projektgrundlagen!$I$22)</xm:f>
            <x14:dxf>
              <font>
                <strike/>
                <color theme="0" tint="-0.14996795556505021"/>
              </font>
              <fill>
                <patternFill>
                  <bgColor theme="0"/>
                </patternFill>
              </fill>
            </x14:dxf>
          </x14:cfRule>
          <xm:sqref>G23:K28</xm:sqref>
        </x14:conditionalFormatting>
        <x14:conditionalFormatting xmlns:xm="http://schemas.microsoft.com/office/excel/2006/main">
          <x14:cfRule type="expression" priority="343" id="{FEE4C104-2EAE-4CBB-9DE0-40474F145B1F}">
            <xm:f>NOT(Projektgrundlagen!$I$22)</xm:f>
            <x14:dxf>
              <font>
                <strike/>
                <color theme="0" tint="-0.14996795556505021"/>
              </font>
              <fill>
                <patternFill>
                  <bgColor theme="0"/>
                </patternFill>
              </fill>
            </x14:dxf>
          </x14:cfRule>
          <xm:sqref>G38:K41</xm:sqref>
        </x14:conditionalFormatting>
        <x14:conditionalFormatting xmlns:xm="http://schemas.microsoft.com/office/excel/2006/main">
          <x14:cfRule type="expression" priority="330" id="{7EC87ED2-51C4-454E-BE97-4C536A3D32D2}">
            <xm:f>NOT(Projektgrundlagen!$I$22)</xm:f>
            <x14:dxf>
              <font>
                <strike/>
                <color theme="0" tint="-0.14996795556505021"/>
              </font>
              <fill>
                <patternFill>
                  <bgColor theme="0"/>
                </patternFill>
              </fill>
            </x14:dxf>
          </x14:cfRule>
          <xm:sqref>G49:K52</xm:sqref>
        </x14:conditionalFormatting>
        <x14:conditionalFormatting xmlns:xm="http://schemas.microsoft.com/office/excel/2006/main">
          <x14:cfRule type="expression" priority="317" id="{303127B4-F9F9-4B41-9F6A-F340CAE1B288}">
            <xm:f>NOT(Projektgrundlagen!$I$22)</xm:f>
            <x14:dxf>
              <font>
                <strike/>
                <color theme="0" tint="-0.14996795556505021"/>
              </font>
              <fill>
                <patternFill>
                  <bgColor theme="0"/>
                </patternFill>
              </fill>
            </x14:dxf>
          </x14:cfRule>
          <xm:sqref>G56:K61</xm:sqref>
        </x14:conditionalFormatting>
        <x14:conditionalFormatting xmlns:xm="http://schemas.microsoft.com/office/excel/2006/main">
          <x14:cfRule type="expression" priority="304" id="{5E050FFE-19FA-478F-9873-4960A1D4DF29}">
            <xm:f>NOT(Projektgrundlagen!$I$22)</xm:f>
            <x14:dxf>
              <font>
                <strike/>
                <color theme="0" tint="-0.14996795556505021"/>
              </font>
              <fill>
                <patternFill>
                  <bgColor theme="0"/>
                </patternFill>
              </fill>
            </x14:dxf>
          </x14:cfRule>
          <xm:sqref>G65:K70</xm:sqref>
        </x14:conditionalFormatting>
        <x14:conditionalFormatting xmlns:xm="http://schemas.microsoft.com/office/excel/2006/main">
          <x14:cfRule type="expression" priority="291" id="{1648905B-40E2-4872-9F23-7A48AB634F6C}">
            <xm:f>NOT(Projektgrundlagen!$I$22)</xm:f>
            <x14:dxf>
              <font>
                <strike/>
                <color theme="0" tint="-0.14996795556505021"/>
              </font>
              <fill>
                <patternFill>
                  <bgColor theme="0"/>
                </patternFill>
              </fill>
            </x14:dxf>
          </x14:cfRule>
          <xm:sqref>G78:K81</xm:sqref>
        </x14:conditionalFormatting>
        <x14:conditionalFormatting xmlns:xm="http://schemas.microsoft.com/office/excel/2006/main">
          <x14:cfRule type="expression" priority="106" id="{3893CDD0-7371-49C3-87B6-643B4538ECF4}">
            <xm:f>NOT(Projektgrundlagen!$I$22)</xm:f>
            <x14:dxf>
              <font>
                <strike/>
                <color theme="0" tint="-0.14996795556505021"/>
              </font>
              <fill>
                <patternFill>
                  <bgColor theme="0"/>
                </patternFill>
              </fill>
            </x14:dxf>
          </x14:cfRule>
          <xm:sqref>G88:K88</xm:sqref>
        </x14:conditionalFormatting>
        <x14:conditionalFormatting xmlns:xm="http://schemas.microsoft.com/office/excel/2006/main">
          <x14:cfRule type="expression" priority="423" id="{696EFDF6-B979-492D-9DD3-E8CF24AC8480}">
            <xm:f>NOT(Projektgrundlagen!$I$22)</xm:f>
            <x14:dxf>
              <font>
                <strike/>
                <color theme="0" tint="-0.14996795556505021"/>
              </font>
              <fill>
                <patternFill>
                  <bgColor theme="0"/>
                </patternFill>
              </fill>
            </x14:dxf>
          </x14:cfRule>
          <xm:sqref>G90:K90</xm:sqref>
        </x14:conditionalFormatting>
        <x14:conditionalFormatting xmlns:xm="http://schemas.microsoft.com/office/excel/2006/main">
          <x14:cfRule type="expression" priority="420" id="{FEDF6FCB-BFC9-4777-9790-8F0678C8722B}">
            <xm:f>NOT(Projektgrundlagen!$I$22)</xm:f>
            <x14:dxf>
              <font>
                <strike/>
                <color theme="0" tint="-0.14996795556505021"/>
              </font>
              <fill>
                <patternFill>
                  <bgColor theme="0"/>
                </patternFill>
              </fill>
            </x14:dxf>
          </x14:cfRule>
          <xm:sqref>G92:K92</xm:sqref>
        </x14:conditionalFormatting>
        <x14:conditionalFormatting xmlns:xm="http://schemas.microsoft.com/office/excel/2006/main">
          <x14:cfRule type="expression" priority="113" id="{2D7CDA41-5A0C-4BB9-921F-6A80DA57A04C}">
            <xm:f>NOT(Projektgrundlagen!$I$22)</xm:f>
            <x14:dxf>
              <font>
                <strike/>
                <color theme="0" tint="-0.14996795556505021"/>
              </font>
              <fill>
                <patternFill>
                  <bgColor theme="0"/>
                </patternFill>
              </fill>
            </x14:dxf>
          </x14:cfRule>
          <xm:sqref>H87:J87</xm:sqref>
        </x14:conditionalFormatting>
        <x14:conditionalFormatting xmlns:xm="http://schemas.microsoft.com/office/excel/2006/main">
          <x14:cfRule type="expression" priority="462" id="{511FD29E-772D-4350-9ACF-7D003B978A15}">
            <xm:f>NOT(Projektgrundlagen!$I$22)</xm:f>
            <x14:dxf>
              <font>
                <strike/>
                <color theme="0" tint="-0.14996795556505021"/>
              </font>
              <fill>
                <patternFill>
                  <bgColor theme="0"/>
                </patternFill>
              </fill>
            </x14:dxf>
          </x14:cfRule>
          <xm:sqref>H89:J89</xm:sqref>
        </x14:conditionalFormatting>
        <x14:conditionalFormatting xmlns:xm="http://schemas.microsoft.com/office/excel/2006/main">
          <x14:cfRule type="expression" priority="447" id="{6FA34A96-9DC0-4E1B-AE62-C7E23AFA26F4}">
            <xm:f>NOT(Projektgrundlagen!$I$22)</xm:f>
            <x14:dxf>
              <font>
                <strike/>
                <color theme="0" tint="-0.14996795556505021"/>
              </font>
              <fill>
                <patternFill>
                  <bgColor theme="0"/>
                </patternFill>
              </fill>
            </x14:dxf>
          </x14:cfRule>
          <xm:sqref>H91:J91</xm:sqref>
        </x14:conditionalFormatting>
        <x14:conditionalFormatting xmlns:xm="http://schemas.microsoft.com/office/excel/2006/main">
          <x14:cfRule type="expression" priority="103" id="{F8F78D93-BBE5-4674-8A17-3AB20CCE7FB3}">
            <xm:f>NOT(Projektgrundlagen!$I$22)</xm:f>
            <x14:dxf>
              <font>
                <strike/>
                <color theme="0" tint="-0.14996795556505021"/>
              </font>
              <fill>
                <patternFill>
                  <bgColor theme="0"/>
                </patternFill>
              </fill>
            </x14:dxf>
          </x14:cfRule>
          <xm:sqref>K87</xm:sqref>
        </x14:conditionalFormatting>
        <x14:conditionalFormatting xmlns:xm="http://schemas.microsoft.com/office/excel/2006/main">
          <x14:cfRule type="expression" priority="230" id="{D393D74F-0EBE-489B-966D-5AED0FFBBEDA}">
            <xm:f>NOT(Projektgrundlagen!$I$22)</xm:f>
            <x14:dxf>
              <font>
                <strike/>
                <color theme="0" tint="-0.14996795556505021"/>
              </font>
              <fill>
                <patternFill>
                  <bgColor theme="0"/>
                </patternFill>
              </fill>
            </x14:dxf>
          </x14:cfRule>
          <xm:sqref>K89</xm:sqref>
        </x14:conditionalFormatting>
        <x14:conditionalFormatting xmlns:xm="http://schemas.microsoft.com/office/excel/2006/main">
          <x14:cfRule type="expression" priority="229" id="{D8BF4733-6C0D-4C1A-8BC9-9011B8D97E95}">
            <xm:f>NOT(Projektgrundlagen!$I$22)</xm:f>
            <x14:dxf>
              <font>
                <strike/>
                <color theme="0" tint="-0.14996795556505021"/>
              </font>
              <fill>
                <patternFill>
                  <bgColor theme="0"/>
                </patternFill>
              </fill>
            </x14:dxf>
          </x14:cfRule>
          <xm:sqref>K91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tabColor theme="7" tint="0.79998168889431442"/>
    <pageSetUpPr fitToPage="1"/>
  </sheetPr>
  <dimension ref="A1:P87"/>
  <sheetViews>
    <sheetView showGridLines="0" zoomScaleNormal="100" zoomScaleSheetLayoutView="110" workbookViewId="0">
      <pane ySplit="12" topLeftCell="A13" activePane="bottomLeft" state="frozen"/>
      <selection activeCell="B2" sqref="B2:H2"/>
      <selection pane="bottomLeft" activeCell="B2" sqref="B2:H2"/>
    </sheetView>
  </sheetViews>
  <sheetFormatPr baseColWidth="10" defaultColWidth="0" defaultRowHeight="16.5" zeroHeight="1"/>
  <cols>
    <col min="1" max="1" width="5.7109375" style="519" customWidth="1"/>
    <col min="2" max="2" width="3.28515625" style="87" customWidth="1"/>
    <col min="3" max="3" width="4.140625" style="87" customWidth="1"/>
    <col min="4" max="4" width="3.28515625" style="87" customWidth="1"/>
    <col min="5" max="5" width="2.7109375" style="87" customWidth="1"/>
    <col min="6" max="6" width="44.42578125" style="87" customWidth="1"/>
    <col min="7" max="7" width="12.28515625" style="87" customWidth="1"/>
    <col min="8" max="9" width="7.28515625" style="87" customWidth="1"/>
    <col min="10" max="10" width="12.28515625" style="87" customWidth="1"/>
    <col min="11" max="11" width="12.7109375" style="88" customWidth="1"/>
    <col min="12" max="12" width="2.7109375" style="116" customWidth="1"/>
    <col min="13" max="13" width="11.42578125" style="121" hidden="1" customWidth="1"/>
    <col min="14" max="16384" width="10.7109375" style="122" hidden="1"/>
  </cols>
  <sheetData>
    <row r="1" spans="1:16"/>
    <row r="2" spans="1:16" s="119" customFormat="1" ht="16.5" customHeight="1">
      <c r="A2" s="458"/>
      <c r="B2" s="1327" t="str">
        <f>IF(Projektgrundlagen!B2="","",Projektgrundlagen!B2)</f>
        <v>Fachplanung Tragwerksplanung</v>
      </c>
      <c r="C2" s="1327"/>
      <c r="D2" s="1327"/>
      <c r="E2" s="1327"/>
      <c r="F2" s="1327"/>
      <c r="G2" s="1328"/>
      <c r="H2" s="1355" t="str">
        <f>IF(Projektgrundlagen!F2="","",Projektgrundlagen!F2)</f>
        <v>VII.12.4</v>
      </c>
      <c r="I2" s="1330"/>
      <c r="J2" s="1330" t="s">
        <v>310</v>
      </c>
      <c r="K2" s="1331"/>
      <c r="L2" s="1558" t="s">
        <v>847</v>
      </c>
      <c r="M2" s="118" t="s">
        <v>54</v>
      </c>
      <c r="P2" s="195" t="s">
        <v>153</v>
      </c>
    </row>
    <row r="3" spans="1:16" s="119" customFormat="1">
      <c r="A3" s="458"/>
      <c r="B3" s="1257" t="s">
        <v>445</v>
      </c>
      <c r="C3" s="1257"/>
      <c r="D3" s="1257"/>
      <c r="E3" s="1257"/>
      <c r="F3" s="1257"/>
      <c r="G3" s="1258"/>
      <c r="H3" s="1356" t="str">
        <f>IF(Projektgrundlagen!F3="","",Projektgrundlagen!F3)</f>
        <v>Vertragsnr.:</v>
      </c>
      <c r="I3" s="1357"/>
      <c r="J3" s="1352" t="str">
        <f>IF(Projektgrundlagen!G3="","",Projektgrundlagen!G3)</f>
        <v>000.411.425</v>
      </c>
      <c r="K3" s="1353"/>
      <c r="L3" s="1558"/>
      <c r="M3" s="120"/>
      <c r="P3" s="119" t="str">
        <f ca="1">MID(CELL("dateiname",A2),FIND("]",CELL("dateiname",A2))+1,255)</f>
        <v>HB-D2 Besondere Lstg Bund</v>
      </c>
    </row>
    <row r="4" spans="1:16" s="119" customFormat="1" ht="7.5" customHeight="1">
      <c r="A4" s="458"/>
      <c r="B4" s="368"/>
      <c r="C4" s="368"/>
      <c r="D4" s="368"/>
      <c r="E4" s="368"/>
      <c r="F4" s="368"/>
      <c r="G4" s="388"/>
      <c r="H4" s="138"/>
      <c r="I4" s="138"/>
      <c r="J4" s="180"/>
      <c r="K4" s="180"/>
      <c r="L4" s="1558"/>
      <c r="M4" s="120"/>
    </row>
    <row r="5" spans="1:16" s="119" customFormat="1">
      <c r="A5" s="458"/>
      <c r="B5" s="1359" t="str">
        <f>IF(Projektgrundlagen!B5="","",Projektgrundlagen!B5)</f>
        <v>Maßnahmennr:</v>
      </c>
      <c r="C5" s="1360"/>
      <c r="D5" s="1360"/>
      <c r="E5" s="1360"/>
      <c r="F5" s="1402" t="str">
        <f>IF(Projektgrundlagen!E5="","",Projektgrundlagen!E5)</f>
        <v>B63SABBD000300</v>
      </c>
      <c r="G5" s="1402"/>
      <c r="H5" s="1358" t="str">
        <f>IF(Projektgrundlagen!F5="","",Projektgrundlagen!F5)</f>
        <v>Vergabenr.:</v>
      </c>
      <c r="I5" s="1358"/>
      <c r="J5" s="1338" t="str">
        <f>IF(Projektgrundlagen!G5="","",Projektgrundlagen!G5)</f>
        <v>24-080603 D</v>
      </c>
      <c r="K5" s="1354"/>
      <c r="L5" s="1558"/>
      <c r="M5" s="120"/>
    </row>
    <row r="6" spans="1:16" s="119" customFormat="1">
      <c r="A6" s="458"/>
      <c r="B6" s="1361" t="str">
        <f>IF(Projektgrundlagen!B6="","",Projektgrundlagen!B6)</f>
        <v>Maßnahme:</v>
      </c>
      <c r="C6" s="1362"/>
      <c r="D6" s="1362"/>
      <c r="E6" s="1362"/>
      <c r="F6" s="1365" t="str">
        <f>IF(Projektgrundlagen!E6="","",Projektgrundlagen!E6)</f>
        <v>B 26, Erneuerung der Brücke über die Bahn bei Wernfeld</v>
      </c>
      <c r="G6" s="1365"/>
      <c r="H6" s="1365"/>
      <c r="I6" s="1365"/>
      <c r="J6" s="1365"/>
      <c r="K6" s="1366"/>
      <c r="L6" s="1558"/>
      <c r="M6" s="120"/>
    </row>
    <row r="7" spans="1:16" s="119" customFormat="1">
      <c r="A7" s="458"/>
      <c r="B7" s="1363" t="str">
        <f>IF(Projektgrundlagen!B7="","",Projektgrundlagen!B7)</f>
        <v/>
      </c>
      <c r="C7" s="1364"/>
      <c r="D7" s="1364"/>
      <c r="E7" s="1364"/>
      <c r="F7" s="1367" t="str">
        <f>IF(Projektgrundlagen!E7="","",Projektgrundlagen!E7)</f>
        <v>Behelfsbrücke über die Bahn</v>
      </c>
      <c r="G7" s="1367"/>
      <c r="H7" s="1367"/>
      <c r="I7" s="1367"/>
      <c r="J7" s="1367"/>
      <c r="K7" s="1368"/>
      <c r="L7" s="1558"/>
      <c r="M7" s="120"/>
    </row>
    <row r="8" spans="1:16" s="119" customFormat="1">
      <c r="A8" s="458"/>
      <c r="B8" s="1380" t="str">
        <f>IF(Projektgrundlagen!B8="","",Projektgrundlagen!B8)</f>
        <v>Bieter:</v>
      </c>
      <c r="C8" s="1381"/>
      <c r="D8" s="1381"/>
      <c r="E8" s="1381"/>
      <c r="F8" s="1403" t="str">
        <f>IF(Projektgrundlagen!E8="","",Projektgrundlagen!E8)</f>
        <v/>
      </c>
      <c r="G8" s="1403"/>
      <c r="H8" s="1403"/>
      <c r="I8" s="1403"/>
      <c r="J8" s="1403"/>
      <c r="K8" s="1404"/>
      <c r="L8" s="1558"/>
      <c r="M8" s="120"/>
    </row>
    <row r="9" spans="1:16" s="119" customFormat="1">
      <c r="A9" s="458"/>
      <c r="B9" s="369"/>
      <c r="C9" s="346"/>
      <c r="D9" s="346"/>
      <c r="E9" s="369"/>
      <c r="F9" s="369"/>
      <c r="G9" s="369"/>
      <c r="H9" s="369"/>
      <c r="I9" s="369"/>
      <c r="J9" s="369"/>
      <c r="K9" s="369"/>
      <c r="L9" s="115"/>
      <c r="M9" s="120"/>
    </row>
    <row r="10" spans="1:16" s="119" customFormat="1" ht="27" customHeight="1">
      <c r="A10" s="458"/>
      <c r="B10" s="1560" t="s">
        <v>856</v>
      </c>
      <c r="C10" s="1560"/>
      <c r="D10" s="1560"/>
      <c r="E10" s="1560"/>
      <c r="F10" s="1560"/>
      <c r="G10" s="770" t="s">
        <v>359</v>
      </c>
      <c r="H10" s="1561" t="s">
        <v>857</v>
      </c>
      <c r="I10" s="1562"/>
      <c r="J10" s="768" t="s">
        <v>358</v>
      </c>
      <c r="K10" s="769" t="s">
        <v>360</v>
      </c>
      <c r="L10" s="115"/>
      <c r="M10" s="120"/>
      <c r="O10" s="926" t="s">
        <v>396</v>
      </c>
    </row>
    <row r="11" spans="1:16" s="119" customFormat="1" ht="27.6" customHeight="1">
      <c r="A11" s="458"/>
      <c r="B11" s="1559" t="str">
        <f>IF(Projektgrundlagen!I23,"","Besondere Leistungen Hochbau Bund sind nicht Teil dieser Honorarermittlung!")</f>
        <v>Besondere Leistungen Hochbau Bund sind nicht Teil dieser Honorarermittlung!</v>
      </c>
      <c r="C11" s="1559"/>
      <c r="D11" s="1559"/>
      <c r="E11" s="1559"/>
      <c r="F11" s="1559"/>
      <c r="G11" s="593"/>
      <c r="H11" s="772" t="str">
        <f>IF(AND('E Honorarberechnung'!I22=0,'E Honorarberechnung'!L14,NOT('E Honorarberechnung'!M14)),"Fehlende Angabe des Basishonorarsatzes!",IF(AND('E Honorarberechnung'!I23=0,'E Honorarberechnung'!M14,NOT('E Honorarberechnung'!L14)),"Fehlende Angabe des Honorarsatzes!",""))</f>
        <v/>
      </c>
      <c r="I11" s="773"/>
      <c r="J11" s="594"/>
      <c r="K11" s="592"/>
      <c r="L11" s="115"/>
      <c r="M11" s="120"/>
      <c r="O11" s="1557">
        <f>IF(AND('E Honorarberechnung'!L14,NOT('E Honorarberechnung'!M14)),'E Honorarberechnung'!P36,IF(AND('E Honorarberechnung'!M14,NOT('E Honorarberechnung'!L14)),'E Honorarberechnung'!P36,""))</f>
        <v>145093.25</v>
      </c>
      <c r="P11" s="1557"/>
    </row>
    <row r="12" spans="1:16" ht="7.5" customHeight="1">
      <c r="B12" s="262"/>
      <c r="C12" s="971"/>
      <c r="D12" s="169"/>
      <c r="E12" s="169"/>
      <c r="F12" s="166"/>
      <c r="G12" s="170"/>
      <c r="H12" s="166"/>
      <c r="I12" s="166"/>
      <c r="J12" s="171"/>
      <c r="K12" s="317"/>
    </row>
    <row r="13" spans="1:16" ht="22.5" customHeight="1">
      <c r="B13" s="573" t="s">
        <v>172</v>
      </c>
      <c r="C13" s="175"/>
      <c r="D13" s="175"/>
      <c r="E13" s="175"/>
      <c r="F13" s="175"/>
      <c r="G13" s="175"/>
      <c r="H13" s="529"/>
      <c r="I13" s="529"/>
      <c r="J13" s="574"/>
      <c r="K13" s="575"/>
      <c r="O13" s="418" t="s">
        <v>222</v>
      </c>
      <c r="P13" s="418" t="s">
        <v>316</v>
      </c>
    </row>
    <row r="14" spans="1:16" ht="18">
      <c r="B14" s="92"/>
      <c r="C14" s="1163" t="s">
        <v>37</v>
      </c>
      <c r="D14" s="1164"/>
      <c r="E14" s="1177"/>
      <c r="F14" s="1178" t="s">
        <v>573</v>
      </c>
      <c r="G14" s="439"/>
      <c r="H14" s="1549"/>
      <c r="I14" s="1550"/>
      <c r="J14" s="935"/>
      <c r="K14" s="429" t="str">
        <f>IF(M14,IF(O14,$O$11*H14%,IF(P14,J14)),"")</f>
        <v/>
      </c>
      <c r="M14" s="121" t="b">
        <v>0</v>
      </c>
      <c r="O14" s="122" t="b">
        <f>AND(M14,OR(AND(G14="",J14=""),G14="v.H.-Satz"))</f>
        <v>0</v>
      </c>
      <c r="P14" s="122" t="b">
        <f>AND(M14,OR(G14="",G14="pauschal"))</f>
        <v>0</v>
      </c>
    </row>
    <row r="15" spans="1:16" s="124" customFormat="1" ht="16.5" customHeight="1">
      <c r="A15" s="572"/>
      <c r="B15" s="179"/>
      <c r="C15" s="968"/>
      <c r="D15" s="666"/>
      <c r="E15" s="422"/>
      <c r="F15" s="670"/>
      <c r="G15" s="664"/>
      <c r="H15" s="936"/>
      <c r="I15" s="937"/>
      <c r="J15" s="663"/>
      <c r="K15" s="438"/>
      <c r="L15" s="117"/>
      <c r="M15" s="123"/>
    </row>
    <row r="16" spans="1:16" ht="18">
      <c r="B16" s="92"/>
      <c r="C16" s="1166" t="s">
        <v>36</v>
      </c>
      <c r="D16" s="1167"/>
      <c r="E16" s="1177"/>
      <c r="F16" s="1178" t="s">
        <v>532</v>
      </c>
      <c r="G16" s="439"/>
      <c r="H16" s="1544"/>
      <c r="I16" s="1545"/>
      <c r="J16" s="938"/>
      <c r="K16" s="428" t="str">
        <f>IF(M16,IF(O16,$O$11*H16%,IF(P16,J16)),"")</f>
        <v/>
      </c>
      <c r="M16" s="121" t="b">
        <v>0</v>
      </c>
      <c r="O16" s="122" t="b">
        <f>AND(M16,OR(AND(G16="",J16=""),G16="v.H.-Satz"))</f>
        <v>0</v>
      </c>
      <c r="P16" s="122" t="b">
        <f>AND(M16,OR(G16="",G16="pauschal"))</f>
        <v>0</v>
      </c>
    </row>
    <row r="17" spans="1:16" s="124" customFormat="1" ht="25.5">
      <c r="A17" s="572"/>
      <c r="B17" s="179"/>
      <c r="C17" s="962"/>
      <c r="D17" s="667"/>
      <c r="E17" s="422"/>
      <c r="F17" s="670" t="s">
        <v>574</v>
      </c>
      <c r="G17" s="664"/>
      <c r="H17" s="939"/>
      <c r="I17" s="940"/>
      <c r="J17" s="664"/>
      <c r="K17" s="437"/>
      <c r="L17" s="117"/>
      <c r="M17" s="123"/>
    </row>
    <row r="18" spans="1:16" ht="18">
      <c r="B18" s="92"/>
      <c r="C18" s="1166" t="s">
        <v>35</v>
      </c>
      <c r="D18" s="1167"/>
      <c r="E18" s="1177"/>
      <c r="F18" s="1178" t="s">
        <v>534</v>
      </c>
      <c r="G18" s="439"/>
      <c r="H18" s="1544"/>
      <c r="I18" s="1545"/>
      <c r="J18" s="938"/>
      <c r="K18" s="428" t="str">
        <f>IF(M18,IF(O18,$O$11*H18%,IF(P18,J18)),"")</f>
        <v/>
      </c>
      <c r="M18" s="121" t="b">
        <v>0</v>
      </c>
      <c r="O18" s="122" t="b">
        <f>AND(M18,OR(AND(G18="",J18=""),G18="v.H.-Satz"))</f>
        <v>0</v>
      </c>
      <c r="P18" s="122" t="b">
        <f>AND(M18,OR(G18="",G18="pauschal"))</f>
        <v>0</v>
      </c>
    </row>
    <row r="19" spans="1:16" s="124" customFormat="1">
      <c r="A19" s="572"/>
      <c r="B19" s="179"/>
      <c r="C19" s="962"/>
      <c r="D19" s="667"/>
      <c r="E19" s="422"/>
      <c r="F19" s="934" t="s">
        <v>575</v>
      </c>
      <c r="G19" s="664"/>
      <c r="H19" s="939"/>
      <c r="I19" s="940"/>
      <c r="J19" s="664"/>
      <c r="K19" s="437"/>
      <c r="L19" s="117"/>
      <c r="M19" s="123"/>
    </row>
    <row r="20" spans="1:16" ht="18">
      <c r="B20" s="92"/>
      <c r="C20" s="1166" t="s">
        <v>173</v>
      </c>
      <c r="D20" s="1167"/>
      <c r="E20" s="1177"/>
      <c r="F20" s="1181"/>
      <c r="G20" s="439"/>
      <c r="H20" s="1544"/>
      <c r="I20" s="1545"/>
      <c r="J20" s="938"/>
      <c r="K20" s="428" t="str">
        <f>IF(M20,IF(O20,$O$11*H20%,IF(P20,J20)),"")</f>
        <v/>
      </c>
      <c r="M20" s="121" t="b">
        <v>0</v>
      </c>
      <c r="O20" s="122" t="b">
        <f>AND(M20,OR(AND(G20="",J20=""),G20="v.H.-Satz"))</f>
        <v>0</v>
      </c>
      <c r="P20" s="122" t="b">
        <f>AND(M20,OR(G20="",G20="pauschal"))</f>
        <v>0</v>
      </c>
    </row>
    <row r="21" spans="1:16" s="124" customFormat="1">
      <c r="A21" s="572"/>
      <c r="B21" s="179"/>
      <c r="C21" s="962"/>
      <c r="D21" s="667"/>
      <c r="E21" s="422"/>
      <c r="F21" s="704"/>
      <c r="G21" s="664"/>
      <c r="H21" s="939"/>
      <c r="I21" s="940"/>
      <c r="J21" s="664"/>
      <c r="K21" s="437"/>
      <c r="L21" s="117"/>
      <c r="M21" s="123"/>
    </row>
    <row r="22" spans="1:16" ht="18">
      <c r="B22" s="92"/>
      <c r="C22" s="1166" t="s">
        <v>174</v>
      </c>
      <c r="D22" s="1167"/>
      <c r="E22" s="1177"/>
      <c r="F22" s="1181"/>
      <c r="G22" s="439"/>
      <c r="H22" s="1544"/>
      <c r="I22" s="1545"/>
      <c r="J22" s="938"/>
      <c r="K22" s="428" t="str">
        <f>IF(M22,IF(O22,$O$11*H22%,IF(P22,J22)),"")</f>
        <v/>
      </c>
      <c r="M22" s="121" t="b">
        <v>0</v>
      </c>
      <c r="O22" s="122" t="b">
        <f>AND(M22,OR(AND(G22="",J22=""),G22="v.H.-Satz"))</f>
        <v>0</v>
      </c>
      <c r="P22" s="122" t="b">
        <f>AND(M22,OR(G22="",G22="pauschal"))</f>
        <v>0</v>
      </c>
    </row>
    <row r="23" spans="1:16" s="124" customFormat="1">
      <c r="A23" s="572"/>
      <c r="B23" s="179"/>
      <c r="C23" s="962"/>
      <c r="D23" s="667"/>
      <c r="E23" s="422"/>
      <c r="F23" s="704"/>
      <c r="G23" s="664"/>
      <c r="H23" s="939"/>
      <c r="I23" s="940"/>
      <c r="J23" s="664"/>
      <c r="K23" s="437"/>
      <c r="L23" s="117"/>
      <c r="M23" s="123"/>
    </row>
    <row r="24" spans="1:16" ht="18">
      <c r="B24" s="92"/>
      <c r="C24" s="1166" t="s">
        <v>175</v>
      </c>
      <c r="D24" s="1167"/>
      <c r="E24" s="1177"/>
      <c r="F24" s="1181"/>
      <c r="G24" s="439"/>
      <c r="H24" s="1544"/>
      <c r="I24" s="1545"/>
      <c r="J24" s="938"/>
      <c r="K24" s="428" t="str">
        <f>IF(M24,IF(O24,$O$11*H24%,IF(P24,J24)),"")</f>
        <v/>
      </c>
      <c r="M24" s="121" t="b">
        <v>0</v>
      </c>
      <c r="O24" s="122" t="b">
        <f>AND(M24,OR(AND(G24="",J24=""),G24="v.H.-Satz"))</f>
        <v>0</v>
      </c>
      <c r="P24" s="122" t="b">
        <f>AND(M24,OR(G24="",G24="pauschal"))</f>
        <v>0</v>
      </c>
    </row>
    <row r="25" spans="1:16" s="124" customFormat="1">
      <c r="A25" s="572"/>
      <c r="B25" s="179"/>
      <c r="C25" s="962"/>
      <c r="D25" s="667"/>
      <c r="E25" s="422"/>
      <c r="F25" s="704"/>
      <c r="G25" s="664"/>
      <c r="H25" s="939"/>
      <c r="I25" s="940"/>
      <c r="J25" s="664"/>
      <c r="K25" s="437"/>
      <c r="L25" s="117"/>
      <c r="M25" s="123"/>
    </row>
    <row r="26" spans="1:16" ht="18">
      <c r="B26" s="92"/>
      <c r="C26" s="1166" t="s">
        <v>402</v>
      </c>
      <c r="D26" s="1167"/>
      <c r="E26" s="1177"/>
      <c r="F26" s="1181"/>
      <c r="G26" s="439"/>
      <c r="H26" s="1544"/>
      <c r="I26" s="1545"/>
      <c r="J26" s="938"/>
      <c r="K26" s="428" t="str">
        <f>IF(M26,IF(O26,$O$11*H26%,IF(P26,J26)),"")</f>
        <v/>
      </c>
      <c r="M26" s="121" t="b">
        <v>0</v>
      </c>
      <c r="O26" s="122" t="b">
        <f>AND(M26,OR(AND(G26="",J26=""),G26="v.H.-Satz"))</f>
        <v>0</v>
      </c>
      <c r="P26" s="122" t="b">
        <f>AND(M26,OR(G26="",G26="pauschal"))</f>
        <v>0</v>
      </c>
    </row>
    <row r="27" spans="1:16" s="124" customFormat="1" ht="17.25" thickBot="1">
      <c r="A27" s="572"/>
      <c r="B27" s="179"/>
      <c r="C27" s="962"/>
      <c r="D27" s="668"/>
      <c r="E27" s="422"/>
      <c r="F27" s="704"/>
      <c r="G27" s="664"/>
      <c r="H27" s="939"/>
      <c r="I27" s="940"/>
      <c r="J27" s="665"/>
      <c r="K27" s="437"/>
      <c r="L27" s="117"/>
      <c r="M27" s="123"/>
    </row>
    <row r="28" spans="1:16" ht="22.7" customHeight="1" thickBot="1">
      <c r="B28" s="523"/>
      <c r="C28" s="972" t="s">
        <v>10</v>
      </c>
      <c r="D28" s="580"/>
      <c r="E28" s="582"/>
      <c r="F28" s="417"/>
      <c r="G28" s="596"/>
      <c r="H28" s="417"/>
      <c r="I28" s="417"/>
      <c r="J28" s="661" t="s">
        <v>249</v>
      </c>
      <c r="K28" s="540">
        <f>IF(Projektgrundlagen!I23,IF(COUNT(K14:K27)&gt;0,SUM(K14:K27),""),0)</f>
        <v>0</v>
      </c>
    </row>
    <row r="29" spans="1:16">
      <c r="B29" s="863"/>
      <c r="C29" s="974"/>
      <c r="D29" s="130"/>
      <c r="E29" s="130"/>
      <c r="F29" s="131"/>
      <c r="G29" s="132"/>
      <c r="H29" s="131"/>
      <c r="I29" s="131"/>
      <c r="J29" s="168"/>
      <c r="K29" s="167"/>
    </row>
    <row r="30" spans="1:16" ht="22.7" customHeight="1">
      <c r="B30" s="573" t="s">
        <v>143</v>
      </c>
      <c r="C30" s="175"/>
      <c r="D30" s="175"/>
      <c r="E30" s="175"/>
      <c r="F30" s="175"/>
      <c r="G30" s="175"/>
      <c r="H30" s="529"/>
      <c r="I30" s="529"/>
      <c r="J30" s="574"/>
      <c r="K30" s="576"/>
    </row>
    <row r="31" spans="1:16" ht="18">
      <c r="B31" s="94"/>
      <c r="C31" s="1163" t="s">
        <v>34</v>
      </c>
      <c r="D31" s="1164"/>
      <c r="E31" s="1177"/>
      <c r="F31" s="1181"/>
      <c r="G31" s="439"/>
      <c r="H31" s="1549"/>
      <c r="I31" s="1550"/>
      <c r="J31" s="935"/>
      <c r="K31" s="429" t="str">
        <f>IF(M31,IF(O31,$O$11*H31%,IF(P31,J31)),"")</f>
        <v/>
      </c>
      <c r="M31" s="121" t="b">
        <v>0</v>
      </c>
      <c r="O31" s="122" t="b">
        <f>AND(M31,OR(AND(G31="",J31=""),G31="v.H.-Satz"))</f>
        <v>0</v>
      </c>
      <c r="P31" s="122" t="b">
        <f>AND(M31,OR(G31="",G31="pauschal"))</f>
        <v>0</v>
      </c>
    </row>
    <row r="32" spans="1:16" s="124" customFormat="1">
      <c r="A32" s="572"/>
      <c r="B32" s="260"/>
      <c r="C32" s="977"/>
      <c r="D32" s="666"/>
      <c r="E32" s="422"/>
      <c r="F32" s="704"/>
      <c r="G32" s="664"/>
      <c r="H32" s="936"/>
      <c r="I32" s="937"/>
      <c r="J32" s="663"/>
      <c r="K32" s="438"/>
      <c r="L32" s="117"/>
      <c r="M32" s="123"/>
    </row>
    <row r="33" spans="1:16" ht="18">
      <c r="B33" s="94"/>
      <c r="C33" s="1166" t="s">
        <v>33</v>
      </c>
      <c r="D33" s="1167"/>
      <c r="E33" s="1177"/>
      <c r="F33" s="1181"/>
      <c r="G33" s="439"/>
      <c r="H33" s="1544"/>
      <c r="I33" s="1545"/>
      <c r="J33" s="938"/>
      <c r="K33" s="428" t="str">
        <f>IF(M33,IF(O33,$O$11*H33%,IF(P33,J33)),"")</f>
        <v/>
      </c>
      <c r="M33" s="121" t="b">
        <v>0</v>
      </c>
      <c r="O33" s="122" t="b">
        <f>AND(M33,OR(AND(G33="",J33=""),G33="v.H.-Satz"))</f>
        <v>0</v>
      </c>
      <c r="P33" s="122" t="b">
        <f>AND(M33,OR(G33="",G33="pauschal"))</f>
        <v>0</v>
      </c>
    </row>
    <row r="34" spans="1:16" s="124" customFormat="1">
      <c r="A34" s="572"/>
      <c r="B34" s="260"/>
      <c r="C34" s="962"/>
      <c r="D34" s="667"/>
      <c r="E34" s="422"/>
      <c r="F34" s="704"/>
      <c r="G34" s="664"/>
      <c r="H34" s="939"/>
      <c r="I34" s="940"/>
      <c r="J34" s="664"/>
      <c r="K34" s="437"/>
      <c r="L34" s="117"/>
      <c r="M34" s="123"/>
    </row>
    <row r="35" spans="1:16" ht="18">
      <c r="B35" s="94"/>
      <c r="C35" s="1166" t="s">
        <v>32</v>
      </c>
      <c r="D35" s="1167"/>
      <c r="E35" s="1177"/>
      <c r="F35" s="1181"/>
      <c r="G35" s="439"/>
      <c r="H35" s="1544"/>
      <c r="I35" s="1545"/>
      <c r="J35" s="938"/>
      <c r="K35" s="428" t="str">
        <f>IF(M35,IF(O35,$O$11*H35%,IF(P35,J35)),"")</f>
        <v/>
      </c>
      <c r="M35" s="121" t="b">
        <v>0</v>
      </c>
      <c r="O35" s="122" t="b">
        <f>AND(M35,OR(AND(G35="",J35=""),G35="v.H.-Satz"))</f>
        <v>0</v>
      </c>
      <c r="P35" s="122" t="b">
        <f>AND(M35,OR(G35="",G35="pauschal"))</f>
        <v>0</v>
      </c>
    </row>
    <row r="36" spans="1:16" s="124" customFormat="1">
      <c r="A36" s="572"/>
      <c r="B36" s="260"/>
      <c r="C36" s="962"/>
      <c r="D36" s="667"/>
      <c r="E36" s="422"/>
      <c r="F36" s="704"/>
      <c r="G36" s="664"/>
      <c r="H36" s="939"/>
      <c r="I36" s="940"/>
      <c r="J36" s="664"/>
      <c r="K36" s="437"/>
      <c r="L36" s="117"/>
      <c r="M36" s="123"/>
    </row>
    <row r="37" spans="1:16" ht="18">
      <c r="B37" s="92"/>
      <c r="C37" s="1166" t="s">
        <v>176</v>
      </c>
      <c r="D37" s="1167"/>
      <c r="E37" s="1177"/>
      <c r="F37" s="1181"/>
      <c r="G37" s="439"/>
      <c r="H37" s="1544"/>
      <c r="I37" s="1545"/>
      <c r="J37" s="938"/>
      <c r="K37" s="428" t="str">
        <f>IF(M37,IF(O37,$O$11*H37%,IF(P37,J37)),"")</f>
        <v/>
      </c>
      <c r="M37" s="121" t="b">
        <v>0</v>
      </c>
      <c r="O37" s="122" t="b">
        <f>AND(M37,OR(AND(G37="",J37=""),G37="v.H.-Satz"))</f>
        <v>0</v>
      </c>
      <c r="P37" s="122" t="b">
        <f>AND(M37,OR(G37="",G37="pauschal"))</f>
        <v>0</v>
      </c>
    </row>
    <row r="38" spans="1:16" s="124" customFormat="1">
      <c r="A38" s="572"/>
      <c r="B38" s="179"/>
      <c r="C38" s="962"/>
      <c r="D38" s="667"/>
      <c r="E38" s="422"/>
      <c r="F38" s="704"/>
      <c r="G38" s="664"/>
      <c r="H38" s="939"/>
      <c r="I38" s="940"/>
      <c r="J38" s="664"/>
      <c r="K38" s="437"/>
      <c r="L38" s="117"/>
      <c r="M38" s="123"/>
    </row>
    <row r="39" spans="1:16" ht="18">
      <c r="B39" s="92"/>
      <c r="C39" s="1166" t="s">
        <v>177</v>
      </c>
      <c r="D39" s="1167"/>
      <c r="E39" s="1177"/>
      <c r="F39" s="1181"/>
      <c r="G39" s="439"/>
      <c r="H39" s="1544"/>
      <c r="I39" s="1545"/>
      <c r="J39" s="938"/>
      <c r="K39" s="428" t="str">
        <f>IF(M39,IF(O39,$O$11*H39%,IF(P39,J39)),"")</f>
        <v/>
      </c>
      <c r="M39" s="121" t="b">
        <v>0</v>
      </c>
      <c r="O39" s="122" t="b">
        <f>AND(M39,OR(AND(G39="",J39=""),G39="v.H.-Satz"))</f>
        <v>0</v>
      </c>
      <c r="P39" s="122" t="b">
        <f>AND(M39,OR(G39="",G39="pauschal"))</f>
        <v>0</v>
      </c>
    </row>
    <row r="40" spans="1:16" s="124" customFormat="1">
      <c r="A40" s="572"/>
      <c r="B40" s="179"/>
      <c r="C40" s="962"/>
      <c r="D40" s="667"/>
      <c r="E40" s="422"/>
      <c r="F40" s="704"/>
      <c r="G40" s="664"/>
      <c r="H40" s="939"/>
      <c r="I40" s="940"/>
      <c r="J40" s="664"/>
      <c r="K40" s="437"/>
      <c r="L40" s="117"/>
      <c r="M40" s="123"/>
    </row>
    <row r="41" spans="1:16" ht="18">
      <c r="B41" s="92"/>
      <c r="C41" s="1166" t="s">
        <v>178</v>
      </c>
      <c r="D41" s="1167"/>
      <c r="E41" s="1177"/>
      <c r="F41" s="1181"/>
      <c r="G41" s="439"/>
      <c r="H41" s="1544"/>
      <c r="I41" s="1545"/>
      <c r="J41" s="938"/>
      <c r="K41" s="428" t="str">
        <f>IF(M41,IF(O41,$O$11*H41%,IF(P41,J41)),"")</f>
        <v/>
      </c>
      <c r="M41" s="121" t="b">
        <v>0</v>
      </c>
      <c r="O41" s="122" t="b">
        <f>AND(M41,OR(AND(G41="",J41=""),G41="v.H.-Satz"))</f>
        <v>0</v>
      </c>
      <c r="P41" s="122" t="b">
        <f>AND(M41,OR(G41="",G41="pauschal"))</f>
        <v>0</v>
      </c>
    </row>
    <row r="42" spans="1:16" s="124" customFormat="1" ht="17.25" thickBot="1">
      <c r="A42" s="572"/>
      <c r="B42" s="179"/>
      <c r="C42" s="962"/>
      <c r="D42" s="668"/>
      <c r="E42" s="669"/>
      <c r="F42" s="704"/>
      <c r="G42" s="664"/>
      <c r="H42" s="939"/>
      <c r="I42" s="940"/>
      <c r="J42" s="665"/>
      <c r="K42" s="437"/>
      <c r="L42" s="117"/>
      <c r="M42" s="123"/>
    </row>
    <row r="43" spans="1:16" ht="22.7" customHeight="1" thickBot="1">
      <c r="B43" s="586"/>
      <c r="C43" s="972" t="s">
        <v>10</v>
      </c>
      <c r="D43" s="580"/>
      <c r="E43" s="582"/>
      <c r="F43" s="417"/>
      <c r="G43" s="596"/>
      <c r="H43" s="417"/>
      <c r="I43" s="417"/>
      <c r="J43" s="661" t="s">
        <v>250</v>
      </c>
      <c r="K43" s="540">
        <f>IF(Projektgrundlagen!I23,IF(COUNT(K31:K42)&gt;0,SUM(K31:K42),""),0)</f>
        <v>0</v>
      </c>
    </row>
    <row r="44" spans="1:16">
      <c r="B44" s="863"/>
      <c r="C44" s="868"/>
      <c r="D44" s="130"/>
      <c r="E44" s="130"/>
      <c r="F44" s="131"/>
      <c r="G44" s="132"/>
      <c r="H44" s="131"/>
      <c r="I44" s="131"/>
      <c r="J44" s="168"/>
      <c r="K44" s="167"/>
    </row>
    <row r="45" spans="1:16" ht="22.7" customHeight="1">
      <c r="B45" s="573" t="s">
        <v>179</v>
      </c>
      <c r="C45" s="175"/>
      <c r="D45" s="175"/>
      <c r="E45" s="175"/>
      <c r="F45" s="175"/>
      <c r="G45" s="577"/>
      <c r="H45" s="529"/>
      <c r="I45" s="529"/>
      <c r="J45" s="574"/>
      <c r="K45" s="576"/>
    </row>
    <row r="46" spans="1:16" ht="18">
      <c r="B46" s="89"/>
      <c r="C46" s="1163" t="s">
        <v>31</v>
      </c>
      <c r="D46" s="1164"/>
      <c r="E46" s="1177"/>
      <c r="F46" s="1178" t="s">
        <v>576</v>
      </c>
      <c r="G46" s="439"/>
      <c r="H46" s="1549"/>
      <c r="I46" s="1550"/>
      <c r="J46" s="935"/>
      <c r="K46" s="429" t="str">
        <f>IF(M46,IF(O46,$O$11*H46%,IF(P46,J46)),"")</f>
        <v/>
      </c>
      <c r="M46" s="121" t="b">
        <v>0</v>
      </c>
      <c r="O46" s="122" t="b">
        <f>AND(M46,OR(AND(G46="",J46=""),G46="v.H.-Satz"))</f>
        <v>0</v>
      </c>
      <c r="P46" s="122" t="b">
        <f>AND(M46,OR(G46="",G46="pauschal"))</f>
        <v>0</v>
      </c>
    </row>
    <row r="47" spans="1:16" s="124" customFormat="1" ht="16.5" customHeight="1">
      <c r="A47" s="572"/>
      <c r="B47" s="179"/>
      <c r="C47" s="968"/>
      <c r="D47" s="666"/>
      <c r="E47" s="422"/>
      <c r="F47" s="670"/>
      <c r="G47" s="664"/>
      <c r="H47" s="936"/>
      <c r="I47" s="937"/>
      <c r="J47" s="663"/>
      <c r="K47" s="438"/>
      <c r="L47" s="117"/>
      <c r="M47" s="123"/>
    </row>
    <row r="48" spans="1:16" ht="18">
      <c r="B48" s="93"/>
      <c r="C48" s="1166" t="s">
        <v>30</v>
      </c>
      <c r="D48" s="1167"/>
      <c r="E48" s="1177"/>
      <c r="F48" s="1181"/>
      <c r="G48" s="439"/>
      <c r="H48" s="1544"/>
      <c r="I48" s="1545"/>
      <c r="J48" s="938"/>
      <c r="K48" s="428" t="str">
        <f>IF(M48,IF(O48,$O$11*H48%,IF(P48,J48)),"")</f>
        <v/>
      </c>
      <c r="M48" s="121" t="b">
        <v>0</v>
      </c>
      <c r="O48" s="122" t="b">
        <f>AND(M48,OR(AND(G48="",J48=""),G48="v.H.-Satz"))</f>
        <v>0</v>
      </c>
      <c r="P48" s="122" t="b">
        <f>AND(M48,OR(G48="",G48="pauschal"))</f>
        <v>0</v>
      </c>
    </row>
    <row r="49" spans="1:16" s="124" customFormat="1">
      <c r="A49" s="572"/>
      <c r="B49" s="260"/>
      <c r="C49" s="962"/>
      <c r="D49" s="667"/>
      <c r="E49" s="422"/>
      <c r="F49" s="704"/>
      <c r="G49" s="664"/>
      <c r="H49" s="939"/>
      <c r="I49" s="940"/>
      <c r="J49" s="664"/>
      <c r="K49" s="437"/>
      <c r="L49" s="117"/>
      <c r="M49" s="123"/>
    </row>
    <row r="50" spans="1:16" ht="18">
      <c r="B50" s="93"/>
      <c r="C50" s="1166" t="s">
        <v>29</v>
      </c>
      <c r="D50" s="1167"/>
      <c r="E50" s="1177"/>
      <c r="F50" s="1181"/>
      <c r="G50" s="439"/>
      <c r="H50" s="1544"/>
      <c r="I50" s="1545"/>
      <c r="J50" s="938"/>
      <c r="K50" s="428" t="str">
        <f>IF(M50,IF(O50,$O$11*H50%,IF(P50,J50)),"")</f>
        <v/>
      </c>
      <c r="M50" s="121" t="b">
        <v>0</v>
      </c>
      <c r="O50" s="122" t="b">
        <f>AND(M50,OR(AND(G50="",J50=""),G50="v.H.-Satz"))</f>
        <v>0</v>
      </c>
      <c r="P50" s="122" t="b">
        <f>AND(M50,OR(G50="",G50="pauschal"))</f>
        <v>0</v>
      </c>
    </row>
    <row r="51" spans="1:16" s="124" customFormat="1">
      <c r="A51" s="572"/>
      <c r="B51" s="260"/>
      <c r="C51" s="962"/>
      <c r="D51" s="667"/>
      <c r="E51" s="422"/>
      <c r="F51" s="704"/>
      <c r="G51" s="664"/>
      <c r="H51" s="939"/>
      <c r="I51" s="940"/>
      <c r="J51" s="664"/>
      <c r="K51" s="437"/>
      <c r="L51" s="117"/>
      <c r="M51" s="123"/>
    </row>
    <row r="52" spans="1:16" ht="18">
      <c r="B52" s="89"/>
      <c r="C52" s="1166" t="s">
        <v>180</v>
      </c>
      <c r="D52" s="1167"/>
      <c r="E52" s="1177"/>
      <c r="F52" s="1181"/>
      <c r="G52" s="439"/>
      <c r="H52" s="1544"/>
      <c r="I52" s="1545"/>
      <c r="J52" s="938"/>
      <c r="K52" s="428" t="str">
        <f>IF(M52,IF(O52,$O$11*H52%,IF(P52,J52)),"")</f>
        <v/>
      </c>
      <c r="M52" s="121" t="b">
        <v>0</v>
      </c>
      <c r="O52" s="122" t="b">
        <f>AND(M52,OR(AND(G52="",J52=""),G52="v.H.-Satz"))</f>
        <v>0</v>
      </c>
      <c r="P52" s="122" t="b">
        <f>AND(M52,OR(G52="",G52="pauschal"))</f>
        <v>0</v>
      </c>
    </row>
    <row r="53" spans="1:16" s="124" customFormat="1">
      <c r="A53" s="572"/>
      <c r="B53" s="179"/>
      <c r="C53" s="962"/>
      <c r="D53" s="667"/>
      <c r="E53" s="422"/>
      <c r="F53" s="704"/>
      <c r="G53" s="664"/>
      <c r="H53" s="939"/>
      <c r="I53" s="940"/>
      <c r="J53" s="664"/>
      <c r="K53" s="437"/>
      <c r="L53" s="117"/>
      <c r="M53" s="123"/>
    </row>
    <row r="54" spans="1:16" ht="18">
      <c r="B54" s="92"/>
      <c r="C54" s="1166" t="s">
        <v>181</v>
      </c>
      <c r="D54" s="1167"/>
      <c r="E54" s="1177"/>
      <c r="F54" s="1181"/>
      <c r="G54" s="439"/>
      <c r="H54" s="1544"/>
      <c r="I54" s="1545"/>
      <c r="J54" s="938"/>
      <c r="K54" s="428" t="str">
        <f>IF(M54,IF(O54,$O$11*H54%,IF(P54,J54)),"")</f>
        <v/>
      </c>
      <c r="M54" s="121" t="b">
        <v>0</v>
      </c>
      <c r="O54" s="122" t="b">
        <f>AND(M54,OR(AND(G54="",J54=""),G54="v.H.-Satz"))</f>
        <v>0</v>
      </c>
      <c r="P54" s="122" t="b">
        <f>AND(M54,OR(G54="",G54="pauschal"))</f>
        <v>0</v>
      </c>
    </row>
    <row r="55" spans="1:16" s="124" customFormat="1">
      <c r="A55" s="572"/>
      <c r="B55" s="179"/>
      <c r="C55" s="962"/>
      <c r="D55" s="667"/>
      <c r="E55" s="422"/>
      <c r="F55" s="704"/>
      <c r="G55" s="664"/>
      <c r="H55" s="939"/>
      <c r="I55" s="940"/>
      <c r="J55" s="664"/>
      <c r="K55" s="437"/>
      <c r="L55" s="117"/>
      <c r="M55" s="123"/>
    </row>
    <row r="56" spans="1:16" ht="18">
      <c r="B56" s="93"/>
      <c r="C56" s="1166" t="s">
        <v>182</v>
      </c>
      <c r="D56" s="1167"/>
      <c r="E56" s="1177"/>
      <c r="F56" s="1181"/>
      <c r="G56" s="439"/>
      <c r="H56" s="1544"/>
      <c r="I56" s="1545"/>
      <c r="J56" s="938"/>
      <c r="K56" s="428" t="str">
        <f>IF(M56,IF(O56,$O$11*H56%,IF(P56,J56)),"")</f>
        <v/>
      </c>
      <c r="M56" s="121" t="b">
        <v>0</v>
      </c>
      <c r="O56" s="122" t="b">
        <f>AND(M56,OR(AND(G56="",J56=""),G56="v.H.-Satz"))</f>
        <v>0</v>
      </c>
      <c r="P56" s="122" t="b">
        <f>AND(M56,OR(G56="",G56="pauschal"))</f>
        <v>0</v>
      </c>
    </row>
    <row r="57" spans="1:16" s="124" customFormat="1" ht="17.25" thickBot="1">
      <c r="A57" s="572"/>
      <c r="B57" s="260"/>
      <c r="C57" s="962"/>
      <c r="D57" s="667"/>
      <c r="E57" s="422"/>
      <c r="F57" s="704"/>
      <c r="G57" s="664"/>
      <c r="H57" s="939"/>
      <c r="I57" s="940"/>
      <c r="J57" s="664"/>
      <c r="K57" s="437"/>
      <c r="L57" s="117"/>
      <c r="M57" s="123"/>
    </row>
    <row r="58" spans="1:16" ht="22.7" customHeight="1" thickBot="1">
      <c r="B58" s="523"/>
      <c r="C58" s="972" t="s">
        <v>10</v>
      </c>
      <c r="D58" s="580"/>
      <c r="E58" s="582"/>
      <c r="F58" s="417"/>
      <c r="G58" s="596"/>
      <c r="H58" s="417"/>
      <c r="I58" s="417"/>
      <c r="J58" s="661" t="s">
        <v>251</v>
      </c>
      <c r="K58" s="540">
        <f>IF(Projektgrundlagen!I23,IF(COUNT(K46:K57)&gt;0,SUM(K46:K57),""),0)</f>
        <v>0</v>
      </c>
    </row>
    <row r="59" spans="1:16">
      <c r="B59" s="863"/>
      <c r="C59" s="974"/>
      <c r="D59" s="130"/>
      <c r="E59" s="130"/>
      <c r="F59" s="131"/>
      <c r="G59" s="132"/>
      <c r="H59" s="131"/>
      <c r="I59" s="131"/>
      <c r="J59" s="168"/>
      <c r="K59" s="172"/>
    </row>
    <row r="60" spans="1:16" ht="22.7" customHeight="1">
      <c r="B60" s="578" t="s">
        <v>146</v>
      </c>
      <c r="C60" s="29"/>
      <c r="D60" s="29"/>
      <c r="E60" s="29"/>
      <c r="F60" s="29"/>
      <c r="G60" s="29"/>
      <c r="H60" s="529"/>
      <c r="I60" s="529"/>
      <c r="J60" s="574"/>
      <c r="K60" s="576"/>
    </row>
    <row r="61" spans="1:16" ht="18">
      <c r="B61" s="91"/>
      <c r="C61" s="1166" t="s">
        <v>28</v>
      </c>
      <c r="D61" s="1164"/>
      <c r="E61" s="877"/>
      <c r="F61" s="1179" t="s">
        <v>540</v>
      </c>
      <c r="G61" s="273"/>
      <c r="H61" s="1544"/>
      <c r="I61" s="1545"/>
      <c r="J61" s="935"/>
      <c r="K61" s="429" t="str">
        <f>IF(M61,IF(O61,$O$11*H61%,IF(P61,J61)),"")</f>
        <v/>
      </c>
      <c r="M61" s="121" t="b">
        <v>0</v>
      </c>
      <c r="O61" s="122" t="b">
        <f>AND(M61,OR(AND(G61="",J61=""),G61="v.H.-Satz"))</f>
        <v>0</v>
      </c>
      <c r="P61" s="122" t="b">
        <f>AND(M61,OR(G61="",G61="pauschal"))</f>
        <v>0</v>
      </c>
    </row>
    <row r="62" spans="1:16" ht="25.5">
      <c r="B62" s="313"/>
      <c r="C62" s="962"/>
      <c r="D62" s="667"/>
      <c r="E62" s="422"/>
      <c r="F62" s="670" t="s">
        <v>541</v>
      </c>
      <c r="G62" s="664"/>
      <c r="H62" s="939"/>
      <c r="I62" s="940"/>
      <c r="J62" s="664"/>
      <c r="K62" s="437"/>
      <c r="L62" s="117"/>
      <c r="M62" s="123"/>
      <c r="N62" s="124"/>
      <c r="O62" s="124"/>
      <c r="P62" s="124"/>
    </row>
    <row r="63" spans="1:16" ht="18">
      <c r="B63" s="91"/>
      <c r="C63" s="1166" t="s">
        <v>206</v>
      </c>
      <c r="D63" s="1167" t="s">
        <v>68</v>
      </c>
      <c r="E63" s="1180"/>
      <c r="F63" s="1181"/>
      <c r="G63" s="439"/>
      <c r="H63" s="1544"/>
      <c r="I63" s="1545"/>
      <c r="J63" s="938"/>
      <c r="K63" s="428" t="str">
        <f>IF(M63,IF(O63,$O$11*H63%,IF(P63,J63)),"")</f>
        <v/>
      </c>
      <c r="M63" s="121" t="b">
        <v>0</v>
      </c>
      <c r="O63" s="122" t="b">
        <f>AND(M63,OR(AND(G63="",J63=""),G63="v.H.-Satz"))</f>
        <v>0</v>
      </c>
      <c r="P63" s="122" t="b">
        <f>AND(M63,OR(G63="",G63="pauschal"))</f>
        <v>0</v>
      </c>
    </row>
    <row r="64" spans="1:16">
      <c r="B64" s="314"/>
      <c r="C64" s="975"/>
      <c r="D64" s="671"/>
      <c r="E64" s="440"/>
      <c r="F64" s="704"/>
      <c r="G64" s="664"/>
      <c r="H64" s="939"/>
      <c r="I64" s="940"/>
      <c r="J64" s="664"/>
      <c r="K64" s="437"/>
    </row>
    <row r="65" spans="1:16" ht="18">
      <c r="B65" s="89"/>
      <c r="C65" s="1172" t="s">
        <v>44</v>
      </c>
      <c r="D65" s="1167"/>
      <c r="E65" s="1177"/>
      <c r="F65" s="1181"/>
      <c r="G65" s="439"/>
      <c r="H65" s="1544"/>
      <c r="I65" s="1545"/>
      <c r="J65" s="938"/>
      <c r="K65" s="428" t="str">
        <f>IF(M65,IF(O65,$O$11*H65%,IF(P65,J65)),"")</f>
        <v/>
      </c>
      <c r="M65" s="121" t="b">
        <v>0</v>
      </c>
      <c r="O65" s="122" t="b">
        <f>AND(M65,OR(AND(G65="",J65=""),G65="v.H.-Satz"))</f>
        <v>0</v>
      </c>
      <c r="P65" s="122" t="b">
        <f>AND(M65,OR(G65="",G65="pauschal"))</f>
        <v>0</v>
      </c>
    </row>
    <row r="66" spans="1:16" s="124" customFormat="1">
      <c r="A66" s="572"/>
      <c r="B66" s="179"/>
      <c r="C66" s="962"/>
      <c r="D66" s="667"/>
      <c r="E66" s="422"/>
      <c r="F66" s="704"/>
      <c r="G66" s="664"/>
      <c r="H66" s="939"/>
      <c r="I66" s="940"/>
      <c r="J66" s="664"/>
      <c r="K66" s="437"/>
      <c r="L66" s="117"/>
      <c r="M66" s="123"/>
    </row>
    <row r="67" spans="1:16" ht="18">
      <c r="B67" s="92"/>
      <c r="C67" s="1172" t="s">
        <v>207</v>
      </c>
      <c r="D67" s="1167"/>
      <c r="E67" s="1177"/>
      <c r="F67" s="1181"/>
      <c r="G67" s="439"/>
      <c r="H67" s="1544"/>
      <c r="I67" s="1545"/>
      <c r="J67" s="938"/>
      <c r="K67" s="428" t="str">
        <f>IF(M67,IF(O67,$O$11*H67%,IF(P67,J67)),"")</f>
        <v/>
      </c>
      <c r="M67" s="121" t="b">
        <v>0</v>
      </c>
      <c r="O67" s="122" t="b">
        <f>AND(M67,OR(AND(G67="",J67=""),G67="v.H.-Satz"))</f>
        <v>0</v>
      </c>
      <c r="P67" s="122" t="b">
        <f>AND(M67,OR(G67="",G67="pauschal"))</f>
        <v>0</v>
      </c>
    </row>
    <row r="68" spans="1:16" s="124" customFormat="1">
      <c r="A68" s="572"/>
      <c r="B68" s="179"/>
      <c r="C68" s="962"/>
      <c r="D68" s="667"/>
      <c r="E68" s="422"/>
      <c r="F68" s="704"/>
      <c r="G68" s="664"/>
      <c r="H68" s="939"/>
      <c r="I68" s="940"/>
      <c r="J68" s="664"/>
      <c r="K68" s="437"/>
      <c r="L68" s="117"/>
      <c r="M68" s="123"/>
    </row>
    <row r="69" spans="1:16" ht="18">
      <c r="B69" s="93"/>
      <c r="C69" s="1172" t="s">
        <v>208</v>
      </c>
      <c r="D69" s="1167"/>
      <c r="E69" s="1177"/>
      <c r="F69" s="1181"/>
      <c r="G69" s="439"/>
      <c r="H69" s="1544"/>
      <c r="I69" s="1545"/>
      <c r="J69" s="938"/>
      <c r="K69" s="428" t="str">
        <f>IF(M69,IF(O69,$O$11*H69%,IF(P69,J69)),"")</f>
        <v/>
      </c>
      <c r="M69" s="121" t="b">
        <v>0</v>
      </c>
      <c r="O69" s="122" t="b">
        <f>AND(M69,OR(AND(G69="",J69=""),G69="v.H.-Satz"))</f>
        <v>0</v>
      </c>
      <c r="P69" s="122" t="b">
        <f>AND(M69,OR(G69="",G69="pauschal"))</f>
        <v>0</v>
      </c>
    </row>
    <row r="70" spans="1:16" s="124" customFormat="1">
      <c r="A70" s="572"/>
      <c r="B70" s="260"/>
      <c r="C70" s="962"/>
      <c r="D70" s="667"/>
      <c r="E70" s="422"/>
      <c r="F70" s="704"/>
      <c r="G70" s="664"/>
      <c r="H70" s="939"/>
      <c r="I70" s="940"/>
      <c r="J70" s="664"/>
      <c r="K70" s="437"/>
      <c r="L70" s="117"/>
      <c r="M70" s="123"/>
    </row>
    <row r="71" spans="1:16" ht="18">
      <c r="B71" s="93"/>
      <c r="C71" s="1172" t="s">
        <v>376</v>
      </c>
      <c r="D71" s="1167"/>
      <c r="E71" s="1177"/>
      <c r="F71" s="1181"/>
      <c r="G71" s="439"/>
      <c r="H71" s="1544"/>
      <c r="I71" s="1545"/>
      <c r="J71" s="938"/>
      <c r="K71" s="428" t="str">
        <f>IF(M71,IF(O71,$O$11*H71%,IF(P71,J71)),"")</f>
        <v/>
      </c>
      <c r="M71" s="121" t="b">
        <v>0</v>
      </c>
      <c r="O71" s="122" t="b">
        <f>AND(M71,OR(AND(G71="",J71=""),G71="v.H.-Satz"))</f>
        <v>0</v>
      </c>
      <c r="P71" s="122" t="b">
        <f>AND(M71,OR(G71="",G71="pauschal"))</f>
        <v>0</v>
      </c>
    </row>
    <row r="72" spans="1:16" s="124" customFormat="1" ht="17.25" thickBot="1">
      <c r="A72" s="572"/>
      <c r="B72" s="260"/>
      <c r="C72" s="962"/>
      <c r="D72" s="668"/>
      <c r="E72" s="422"/>
      <c r="F72" s="704"/>
      <c r="G72" s="664"/>
      <c r="H72" s="939"/>
      <c r="I72" s="940"/>
      <c r="J72" s="665"/>
      <c r="K72" s="437"/>
      <c r="L72" s="117"/>
      <c r="M72" s="123"/>
    </row>
    <row r="73" spans="1:16" ht="22.7" customHeight="1" thickBot="1">
      <c r="B73" s="523"/>
      <c r="C73" s="972"/>
      <c r="D73" s="580"/>
      <c r="E73" s="582"/>
      <c r="F73" s="417"/>
      <c r="G73" s="596"/>
      <c r="H73" s="417"/>
      <c r="I73" s="417"/>
      <c r="J73" s="661" t="s">
        <v>377</v>
      </c>
      <c r="K73" s="540">
        <f>IF(Projektgrundlagen!I23,IF(COUNT(K61:K72)&gt;0,SUM(K61:K72),""),0)</f>
        <v>0</v>
      </c>
    </row>
    <row r="74" spans="1:16">
      <c r="B74" s="863"/>
      <c r="C74" s="976"/>
      <c r="D74" s="864"/>
      <c r="E74" s="864"/>
      <c r="F74" s="865"/>
      <c r="G74" s="866"/>
      <c r="H74" s="865"/>
      <c r="I74" s="865"/>
      <c r="J74" s="867"/>
      <c r="K74" s="167"/>
    </row>
    <row r="75" spans="1:16" ht="22.7" customHeight="1">
      <c r="B75" s="578" t="s">
        <v>147</v>
      </c>
      <c r="C75" s="29"/>
      <c r="D75" s="29"/>
      <c r="E75" s="29"/>
      <c r="F75" s="29"/>
      <c r="G75" s="29"/>
      <c r="H75" s="529"/>
      <c r="I75" s="529"/>
      <c r="J75" s="574"/>
      <c r="K75" s="576"/>
    </row>
    <row r="76" spans="1:16" ht="18">
      <c r="B76" s="315"/>
      <c r="C76" s="1166" t="s">
        <v>27</v>
      </c>
      <c r="D76" s="1164"/>
      <c r="E76" s="877"/>
      <c r="F76" s="1181"/>
      <c r="G76" s="439"/>
      <c r="H76" s="1544"/>
      <c r="I76" s="1545"/>
      <c r="J76" s="935"/>
      <c r="K76" s="429" t="str">
        <f>IF(M76,IF(O76,$O$11*H76%,IF(P76,J76)),"")</f>
        <v/>
      </c>
      <c r="M76" s="121" t="b">
        <v>0</v>
      </c>
      <c r="O76" s="122" t="b">
        <f>AND(M76,OR(AND(G76="",J76=""),G76="v.H.-Satz"))</f>
        <v>0</v>
      </c>
      <c r="P76" s="122" t="b">
        <f>AND(M76,OR(G76="",G76="pauschal"))</f>
        <v>0</v>
      </c>
    </row>
    <row r="77" spans="1:16">
      <c r="B77" s="316"/>
      <c r="C77" s="962"/>
      <c r="D77" s="667"/>
      <c r="E77" s="193"/>
      <c r="F77" s="704"/>
      <c r="G77" s="664"/>
      <c r="H77" s="939"/>
      <c r="I77" s="940"/>
      <c r="J77" s="664"/>
      <c r="K77" s="438"/>
      <c r="L77" s="117"/>
      <c r="M77" s="123"/>
      <c r="N77" s="124"/>
      <c r="O77" s="124"/>
      <c r="P77" s="124"/>
    </row>
    <row r="78" spans="1:16" ht="18">
      <c r="B78" s="94"/>
      <c r="C78" s="1166" t="s">
        <v>26</v>
      </c>
      <c r="D78" s="1167"/>
      <c r="E78" s="1180"/>
      <c r="F78" s="1181"/>
      <c r="G78" s="439"/>
      <c r="H78" s="1544"/>
      <c r="I78" s="1545"/>
      <c r="J78" s="938"/>
      <c r="K78" s="428" t="str">
        <f>IF(M78,IF(O78,$O$11*H78%,IF(P78,J78)),"")</f>
        <v/>
      </c>
      <c r="M78" s="121" t="b">
        <v>0</v>
      </c>
      <c r="O78" s="122" t="b">
        <f>AND(M78,OR(AND(G78="",J78=""),G78="v.H.-Satz"))</f>
        <v>0</v>
      </c>
      <c r="P78" s="122" t="b">
        <f>AND(M78,OR(G78="",G78="pauschal"))</f>
        <v>0</v>
      </c>
    </row>
    <row r="79" spans="1:16">
      <c r="B79" s="316"/>
      <c r="C79" s="962"/>
      <c r="D79" s="667"/>
      <c r="E79" s="193"/>
      <c r="F79" s="704"/>
      <c r="G79" s="664"/>
      <c r="H79" s="939"/>
      <c r="I79" s="940"/>
      <c r="J79" s="664"/>
      <c r="K79" s="437"/>
      <c r="L79" s="117"/>
      <c r="M79" s="123"/>
      <c r="N79" s="124"/>
      <c r="O79" s="124"/>
      <c r="P79" s="124"/>
    </row>
    <row r="80" spans="1:16" ht="18">
      <c r="B80" s="94"/>
      <c r="C80" s="1166" t="s">
        <v>25</v>
      </c>
      <c r="D80" s="1167"/>
      <c r="E80" s="1177"/>
      <c r="F80" s="1181"/>
      <c r="G80" s="439"/>
      <c r="H80" s="1544"/>
      <c r="I80" s="1545"/>
      <c r="J80" s="938"/>
      <c r="K80" s="428" t="str">
        <f>IF(M80,IF(O80,$O$11*H80%,IF(P80,J80)),"")</f>
        <v/>
      </c>
      <c r="M80" s="121" t="b">
        <v>0</v>
      </c>
      <c r="O80" s="122" t="b">
        <f>AND(M80,OR(AND(G80="",J80=""),G80="v.H.-Satz"))</f>
        <v>0</v>
      </c>
      <c r="P80" s="122" t="b">
        <f>AND(M80,OR(G80="",G80="pauschal"))</f>
        <v>0</v>
      </c>
    </row>
    <row r="81" spans="1:13" s="124" customFormat="1" ht="17.25" thickBot="1">
      <c r="A81" s="572"/>
      <c r="B81" s="260"/>
      <c r="C81" s="962"/>
      <c r="D81" s="667"/>
      <c r="E81" s="422"/>
      <c r="F81" s="704"/>
      <c r="G81" s="664"/>
      <c r="H81" s="939"/>
      <c r="I81" s="940"/>
      <c r="J81" s="664"/>
      <c r="K81" s="437"/>
      <c r="L81" s="117"/>
      <c r="M81" s="123"/>
    </row>
    <row r="82" spans="1:13" ht="22.7" customHeight="1" thickBot="1">
      <c r="B82" s="523"/>
      <c r="C82" s="972" t="s">
        <v>10</v>
      </c>
      <c r="D82" s="581"/>
      <c r="E82" s="581"/>
      <c r="F82" s="526"/>
      <c r="G82" s="595"/>
      <c r="H82" s="526"/>
      <c r="I82" s="526"/>
      <c r="J82" s="661" t="s">
        <v>378</v>
      </c>
      <c r="K82" s="540">
        <f>IF(Projektgrundlagen!I23,IF(COUNT(K76:K81)&gt;0,SUM(K76:K81),""),0)</f>
        <v>0</v>
      </c>
    </row>
    <row r="83" spans="1:13" ht="17.25" thickBot="1">
      <c r="B83" s="79"/>
      <c r="C83" s="79"/>
      <c r="D83" s="79"/>
      <c r="E83" s="79"/>
      <c r="F83" s="79"/>
      <c r="G83" s="79"/>
      <c r="H83" s="79"/>
      <c r="I83" s="79"/>
      <c r="J83" s="79"/>
      <c r="K83" s="338"/>
    </row>
    <row r="84" spans="1:13" ht="30" customHeight="1" thickBot="1">
      <c r="B84" s="677"/>
      <c r="C84" s="677" t="s">
        <v>10</v>
      </c>
      <c r="D84" s="675"/>
      <c r="E84" s="675"/>
      <c r="F84" s="676"/>
      <c r="G84" s="678"/>
      <c r="H84" s="676"/>
      <c r="I84" s="676"/>
      <c r="J84" s="679" t="s">
        <v>465</v>
      </c>
      <c r="K84" s="449">
        <f>IF(COUNT(K28,,K43,K58,K73,K82)&gt;0,SUM(K28,K43,K58,K73,K82),"")</f>
        <v>0</v>
      </c>
    </row>
    <row r="85" spans="1:13" ht="12.75" customHeight="1">
      <c r="K85" s="339"/>
    </row>
    <row r="86" spans="1:13"/>
    <row r="87" spans="1:13"/>
  </sheetData>
  <sheetProtection sheet="1" formatRows="0"/>
  <mergeCells count="49">
    <mergeCell ref="O11:P11"/>
    <mergeCell ref="H14:I14"/>
    <mergeCell ref="H22:I22"/>
    <mergeCell ref="H26:I26"/>
    <mergeCell ref="H48:I48"/>
    <mergeCell ref="F5:G5"/>
    <mergeCell ref="B10:F10"/>
    <mergeCell ref="H10:I10"/>
    <mergeCell ref="H16:I16"/>
    <mergeCell ref="H18:I18"/>
    <mergeCell ref="H67:I67"/>
    <mergeCell ref="H69:I69"/>
    <mergeCell ref="H71:I71"/>
    <mergeCell ref="H65:I65"/>
    <mergeCell ref="H80:I80"/>
    <mergeCell ref="H76:I76"/>
    <mergeCell ref="H78:I78"/>
    <mergeCell ref="L2:L8"/>
    <mergeCell ref="B11:F11"/>
    <mergeCell ref="H5:I5"/>
    <mergeCell ref="J5:K5"/>
    <mergeCell ref="B6:E6"/>
    <mergeCell ref="F6:K6"/>
    <mergeCell ref="B2:G2"/>
    <mergeCell ref="B3:G3"/>
    <mergeCell ref="J3:K3"/>
    <mergeCell ref="H2:I2"/>
    <mergeCell ref="H3:I3"/>
    <mergeCell ref="B8:E8"/>
    <mergeCell ref="F8:K8"/>
    <mergeCell ref="B5:E5"/>
    <mergeCell ref="B7:E7"/>
    <mergeCell ref="F7:K7"/>
    <mergeCell ref="H54:I54"/>
    <mergeCell ref="H56:I56"/>
    <mergeCell ref="H61:I61"/>
    <mergeCell ref="H63:I63"/>
    <mergeCell ref="J2:K2"/>
    <mergeCell ref="H41:I41"/>
    <mergeCell ref="H46:I46"/>
    <mergeCell ref="H39:I39"/>
    <mergeCell ref="H24:I24"/>
    <mergeCell ref="H20:I20"/>
    <mergeCell ref="H50:I50"/>
    <mergeCell ref="H52:I52"/>
    <mergeCell ref="H31:I31"/>
    <mergeCell ref="H33:I33"/>
    <mergeCell ref="H37:I37"/>
    <mergeCell ref="H35:I35"/>
  </mergeCells>
  <conditionalFormatting sqref="F20">
    <cfRule type="expression" dxfId="600" priority="85">
      <formula>NOT($M20)</formula>
    </cfRule>
    <cfRule type="expression" dxfId="599" priority="86">
      <formula>AND($M20,F20="")</formula>
    </cfRule>
    <cfRule type="expression" dxfId="598" priority="378">
      <formula>AND($M20,F20="")</formula>
    </cfRule>
  </conditionalFormatting>
  <conditionalFormatting sqref="F21">
    <cfRule type="expression" dxfId="597" priority="84">
      <formula>NOT($M20)</formula>
    </cfRule>
    <cfRule type="expression" dxfId="596" priority="373">
      <formula>NOT($M20)</formula>
    </cfRule>
  </conditionalFormatting>
  <conditionalFormatting sqref="F22">
    <cfRule type="expression" dxfId="595" priority="372">
      <formula>NOT($M22)</formula>
    </cfRule>
    <cfRule type="expression" dxfId="594" priority="374">
      <formula>AND($M22,F22="")</formula>
    </cfRule>
  </conditionalFormatting>
  <conditionalFormatting sqref="F23">
    <cfRule type="expression" dxfId="593" priority="369">
      <formula>NOT($M22)</formula>
    </cfRule>
  </conditionalFormatting>
  <conditionalFormatting sqref="F24">
    <cfRule type="expression" dxfId="592" priority="82">
      <formula>NOT($M24)</formula>
    </cfRule>
    <cfRule type="expression" dxfId="591" priority="83">
      <formula>AND($M24,F24="")</formula>
    </cfRule>
  </conditionalFormatting>
  <conditionalFormatting sqref="F25">
    <cfRule type="expression" dxfId="590" priority="81">
      <formula>NOT($M24)</formula>
    </cfRule>
  </conditionalFormatting>
  <conditionalFormatting sqref="F26">
    <cfRule type="expression" dxfId="589" priority="78">
      <formula>NOT($M26)</formula>
    </cfRule>
    <cfRule type="expression" dxfId="588" priority="79">
      <formula>AND($M26,F26="")</formula>
    </cfRule>
    <cfRule type="expression" dxfId="587" priority="370">
      <formula>AND($M26,F26="")</formula>
    </cfRule>
  </conditionalFormatting>
  <conditionalFormatting sqref="F27">
    <cfRule type="expression" dxfId="586" priority="77">
      <formula>NOT($M26)</formula>
    </cfRule>
    <cfRule type="expression" dxfId="585" priority="365">
      <formula>NOT($M26)</formula>
    </cfRule>
  </conditionalFormatting>
  <conditionalFormatting sqref="F31">
    <cfRule type="expression" dxfId="584" priority="75">
      <formula>NOT($M31)</formula>
    </cfRule>
    <cfRule type="expression" dxfId="583" priority="76">
      <formula>AND($M31,F31="")</formula>
    </cfRule>
  </conditionalFormatting>
  <conditionalFormatting sqref="F32">
    <cfRule type="expression" dxfId="582" priority="74">
      <formula>NOT($M31)</formula>
    </cfRule>
  </conditionalFormatting>
  <conditionalFormatting sqref="F33">
    <cfRule type="expression" dxfId="581" priority="71">
      <formula>NOT($M33)</formula>
    </cfRule>
    <cfRule type="expression" dxfId="580" priority="72">
      <formula>AND($M33,F33="")</formula>
    </cfRule>
  </conditionalFormatting>
  <conditionalFormatting sqref="F34">
    <cfRule type="expression" dxfId="579" priority="70">
      <formula>NOT($M33)</formula>
    </cfRule>
  </conditionalFormatting>
  <conditionalFormatting sqref="F35">
    <cfRule type="expression" dxfId="578" priority="67">
      <formula>NOT($M35)</formula>
    </cfRule>
    <cfRule type="expression" dxfId="577" priority="68">
      <formula>AND($M35,F35="")</formula>
    </cfRule>
  </conditionalFormatting>
  <conditionalFormatting sqref="F36">
    <cfRule type="expression" dxfId="576" priority="66">
      <formula>NOT($M35)</formula>
    </cfRule>
  </conditionalFormatting>
  <conditionalFormatting sqref="F37">
    <cfRule type="expression" dxfId="575" priority="63">
      <formula>NOT($M37)</formula>
    </cfRule>
    <cfRule type="expression" dxfId="574" priority="64">
      <formula>AND($M37,F37="")</formula>
    </cfRule>
  </conditionalFormatting>
  <conditionalFormatting sqref="F38">
    <cfRule type="expression" dxfId="573" priority="62">
      <formula>NOT($M37)</formula>
    </cfRule>
  </conditionalFormatting>
  <conditionalFormatting sqref="F39">
    <cfRule type="expression" dxfId="572" priority="59">
      <formula>NOT($M39)</formula>
    </cfRule>
    <cfRule type="expression" dxfId="571" priority="60">
      <formula>AND($M39,F39="")</formula>
    </cfRule>
  </conditionalFormatting>
  <conditionalFormatting sqref="F40">
    <cfRule type="expression" dxfId="570" priority="58">
      <formula>NOT($M39)</formula>
    </cfRule>
  </conditionalFormatting>
  <conditionalFormatting sqref="F41">
    <cfRule type="expression" dxfId="569" priority="55">
      <formula>NOT($M41)</formula>
    </cfRule>
    <cfRule type="expression" dxfId="568" priority="56">
      <formula>AND($M41,F41="")</formula>
    </cfRule>
  </conditionalFormatting>
  <conditionalFormatting sqref="F42">
    <cfRule type="expression" dxfId="567" priority="54">
      <formula>NOT($M41)</formula>
    </cfRule>
  </conditionalFormatting>
  <conditionalFormatting sqref="F48">
    <cfRule type="expression" dxfId="566" priority="51">
      <formula>NOT($M48)</formula>
    </cfRule>
    <cfRule type="expression" dxfId="565" priority="52">
      <formula>AND($M48,F48="")</formula>
    </cfRule>
  </conditionalFormatting>
  <conditionalFormatting sqref="F49">
    <cfRule type="expression" dxfId="564" priority="50">
      <formula>NOT($M48)</formula>
    </cfRule>
  </conditionalFormatting>
  <conditionalFormatting sqref="F50">
    <cfRule type="expression" dxfId="563" priority="47">
      <formula>NOT($M50)</formula>
    </cfRule>
    <cfRule type="expression" dxfId="562" priority="48">
      <formula>AND($M50,F50="")</formula>
    </cfRule>
  </conditionalFormatting>
  <conditionalFormatting sqref="F51">
    <cfRule type="expression" dxfId="561" priority="46">
      <formula>NOT($M50)</formula>
    </cfRule>
  </conditionalFormatting>
  <conditionalFormatting sqref="F52">
    <cfRule type="expression" dxfId="560" priority="43">
      <formula>NOT($M52)</formula>
    </cfRule>
    <cfRule type="expression" dxfId="559" priority="44">
      <formula>AND($M52,F52="")</formula>
    </cfRule>
  </conditionalFormatting>
  <conditionalFormatting sqref="F53">
    <cfRule type="expression" dxfId="558" priority="42">
      <formula>NOT($M52)</formula>
    </cfRule>
  </conditionalFormatting>
  <conditionalFormatting sqref="F54">
    <cfRule type="expression" dxfId="557" priority="39">
      <formula>NOT($M54)</formula>
    </cfRule>
    <cfRule type="expression" dxfId="556" priority="40">
      <formula>AND($M54,F54="")</formula>
    </cfRule>
  </conditionalFormatting>
  <conditionalFormatting sqref="F55">
    <cfRule type="expression" dxfId="555" priority="38">
      <formula>NOT($M54)</formula>
    </cfRule>
  </conditionalFormatting>
  <conditionalFormatting sqref="F56">
    <cfRule type="expression" dxfId="554" priority="35">
      <formula>NOT($M56)</formula>
    </cfRule>
    <cfRule type="expression" dxfId="553" priority="36">
      <formula>AND($M56,F56="")</formula>
    </cfRule>
  </conditionalFormatting>
  <conditionalFormatting sqref="F57">
    <cfRule type="expression" dxfId="552" priority="34">
      <formula>NOT($M56)</formula>
    </cfRule>
  </conditionalFormatting>
  <conditionalFormatting sqref="F63">
    <cfRule type="expression" dxfId="551" priority="31">
      <formula>NOT($M63)</formula>
    </cfRule>
    <cfRule type="expression" dxfId="550" priority="32">
      <formula>AND($M63,F63="")</formula>
    </cfRule>
  </conditionalFormatting>
  <conditionalFormatting sqref="F64">
    <cfRule type="expression" dxfId="549" priority="30">
      <formula>NOT($M63)</formula>
    </cfRule>
  </conditionalFormatting>
  <conditionalFormatting sqref="F65">
    <cfRule type="expression" dxfId="548" priority="27">
      <formula>NOT($M65)</formula>
    </cfRule>
    <cfRule type="expression" dxfId="547" priority="28">
      <formula>AND($M65,F65="")</formula>
    </cfRule>
  </conditionalFormatting>
  <conditionalFormatting sqref="F66">
    <cfRule type="expression" dxfId="546" priority="26">
      <formula>NOT($M65)</formula>
    </cfRule>
  </conditionalFormatting>
  <conditionalFormatting sqref="F67">
    <cfRule type="expression" dxfId="545" priority="23">
      <formula>NOT($M67)</formula>
    </cfRule>
    <cfRule type="expression" dxfId="544" priority="24">
      <formula>AND($M67,F67="")</formula>
    </cfRule>
  </conditionalFormatting>
  <conditionalFormatting sqref="F68">
    <cfRule type="expression" dxfId="543" priority="22">
      <formula>NOT($M67)</formula>
    </cfRule>
  </conditionalFormatting>
  <conditionalFormatting sqref="F69">
    <cfRule type="expression" dxfId="542" priority="19">
      <formula>NOT($M69)</formula>
    </cfRule>
    <cfRule type="expression" dxfId="541" priority="20">
      <formula>AND($M69,F69="")</formula>
    </cfRule>
  </conditionalFormatting>
  <conditionalFormatting sqref="F70">
    <cfRule type="expression" dxfId="540" priority="18">
      <formula>NOT($M69)</formula>
    </cfRule>
  </conditionalFormatting>
  <conditionalFormatting sqref="F71">
    <cfRule type="expression" dxfId="539" priority="15">
      <formula>NOT($M71)</formula>
    </cfRule>
    <cfRule type="expression" dxfId="538" priority="16">
      <formula>AND($M71,F71="")</formula>
    </cfRule>
  </conditionalFormatting>
  <conditionalFormatting sqref="F72">
    <cfRule type="expression" dxfId="537" priority="14">
      <formula>NOT($M71)</formula>
    </cfRule>
  </conditionalFormatting>
  <conditionalFormatting sqref="F76">
    <cfRule type="expression" dxfId="536" priority="11">
      <formula>NOT($M76)</formula>
    </cfRule>
    <cfRule type="expression" dxfId="535" priority="12">
      <formula>AND($M76,F76="")</formula>
    </cfRule>
  </conditionalFormatting>
  <conditionalFormatting sqref="F77">
    <cfRule type="expression" dxfId="534" priority="10">
      <formula>NOT($M76)</formula>
    </cfRule>
  </conditionalFormatting>
  <conditionalFormatting sqref="F78">
    <cfRule type="expression" dxfId="533" priority="7">
      <formula>NOT($M78)</formula>
    </cfRule>
    <cfRule type="expression" dxfId="532" priority="8">
      <formula>AND($M78,F78="")</formula>
    </cfRule>
  </conditionalFormatting>
  <conditionalFormatting sqref="F79">
    <cfRule type="expression" dxfId="531" priority="6">
      <formula>NOT($M78)</formula>
    </cfRule>
  </conditionalFormatting>
  <conditionalFormatting sqref="F80">
    <cfRule type="expression" dxfId="530" priority="3">
      <formula>NOT($M80)</formula>
    </cfRule>
    <cfRule type="expression" dxfId="529" priority="4">
      <formula>AND($M80,F80="")</formula>
    </cfRule>
  </conditionalFormatting>
  <conditionalFormatting sqref="F81">
    <cfRule type="expression" dxfId="528" priority="2">
      <formula>NOT($M80)</formula>
    </cfRule>
  </conditionalFormatting>
  <conditionalFormatting sqref="F20:G20">
    <cfRule type="expression" dxfId="527" priority="375">
      <formula>NOT($M20)</formula>
    </cfRule>
  </conditionalFormatting>
  <conditionalFormatting sqref="F26:G26">
    <cfRule type="expression" dxfId="526" priority="367">
      <formula>NOT($M26)</formula>
    </cfRule>
  </conditionalFormatting>
  <conditionalFormatting sqref="G14">
    <cfRule type="expression" dxfId="525" priority="329">
      <formula>NOT($M14)</formula>
    </cfRule>
  </conditionalFormatting>
  <conditionalFormatting sqref="G16">
    <cfRule type="expression" dxfId="524" priority="383">
      <formula>NOT($M16)</formula>
    </cfRule>
  </conditionalFormatting>
  <conditionalFormatting sqref="G18">
    <cfRule type="expression" dxfId="523" priority="379">
      <formula>NOT($M18)</formula>
    </cfRule>
  </conditionalFormatting>
  <conditionalFormatting sqref="G22">
    <cfRule type="expression" dxfId="522" priority="371">
      <formula>NOT($M22)</formula>
    </cfRule>
  </conditionalFormatting>
  <conditionalFormatting sqref="G24">
    <cfRule type="expression" dxfId="521" priority="131">
      <formula>NOT($M24)</formula>
    </cfRule>
  </conditionalFormatting>
  <conditionalFormatting sqref="G31">
    <cfRule type="expression" dxfId="520" priority="334">
      <formula>NOT($M31)</formula>
    </cfRule>
  </conditionalFormatting>
  <conditionalFormatting sqref="G33">
    <cfRule type="expression" dxfId="519" priority="359">
      <formula>NOT($M33)</formula>
    </cfRule>
  </conditionalFormatting>
  <conditionalFormatting sqref="G35">
    <cfRule type="expression" dxfId="518" priority="354">
      <formula>NOT($M35)</formula>
    </cfRule>
  </conditionalFormatting>
  <conditionalFormatting sqref="G37">
    <cfRule type="expression" dxfId="517" priority="349">
      <formula>NOT($M37)</formula>
    </cfRule>
  </conditionalFormatting>
  <conditionalFormatting sqref="G39">
    <cfRule type="expression" dxfId="516" priority="344">
      <formula>NOT($M39)</formula>
    </cfRule>
  </conditionalFormatting>
  <conditionalFormatting sqref="G41">
    <cfRule type="expression" dxfId="515" priority="339">
      <formula>NOT($M41)</formula>
    </cfRule>
  </conditionalFormatting>
  <conditionalFormatting sqref="G46">
    <cfRule type="expression" dxfId="514" priority="316">
      <formula>NOT($M46)</formula>
    </cfRule>
  </conditionalFormatting>
  <conditionalFormatting sqref="G48">
    <cfRule type="expression" dxfId="513" priority="298">
      <formula>NOT($M48)</formula>
    </cfRule>
  </conditionalFormatting>
  <conditionalFormatting sqref="G50">
    <cfRule type="expression" dxfId="512" priority="280">
      <formula>NOT($M50)</formula>
    </cfRule>
  </conditionalFormatting>
  <conditionalFormatting sqref="G52">
    <cfRule type="expression" dxfId="511" priority="262">
      <formula>NOT($M52)</formula>
    </cfRule>
  </conditionalFormatting>
  <conditionalFormatting sqref="G54">
    <cfRule type="expression" dxfId="510" priority="244">
      <formula>NOT($M54)</formula>
    </cfRule>
  </conditionalFormatting>
  <conditionalFormatting sqref="G56">
    <cfRule type="expression" dxfId="509" priority="226">
      <formula>NOT($M56)</formula>
    </cfRule>
  </conditionalFormatting>
  <conditionalFormatting sqref="G61">
    <cfRule type="expression" dxfId="508" priority="216">
      <formula>NOT($M61)</formula>
    </cfRule>
  </conditionalFormatting>
  <conditionalFormatting sqref="G63">
    <cfRule type="expression" dxfId="507" priority="96">
      <formula>NOT($M63)</formula>
    </cfRule>
  </conditionalFormatting>
  <conditionalFormatting sqref="G65">
    <cfRule type="expression" dxfId="506" priority="205">
      <formula>NOT($M65)</formula>
    </cfRule>
  </conditionalFormatting>
  <conditionalFormatting sqref="G67">
    <cfRule type="expression" dxfId="505" priority="200">
      <formula>NOT($M67)</formula>
    </cfRule>
  </conditionalFormatting>
  <conditionalFormatting sqref="G69">
    <cfRule type="expression" dxfId="504" priority="195">
      <formula>NOT($M69)</formula>
    </cfRule>
  </conditionalFormatting>
  <conditionalFormatting sqref="G71">
    <cfRule type="expression" dxfId="503" priority="190">
      <formula>NOT($M71)</formula>
    </cfRule>
  </conditionalFormatting>
  <conditionalFormatting sqref="G76">
    <cfRule type="expression" dxfId="502" priority="164">
      <formula>NOT($M76)</formula>
    </cfRule>
  </conditionalFormatting>
  <conditionalFormatting sqref="G78">
    <cfRule type="expression" dxfId="501" priority="166">
      <formula>NOT($M78)</formula>
    </cfRule>
  </conditionalFormatting>
  <conditionalFormatting sqref="G80">
    <cfRule type="expression" dxfId="500" priority="185">
      <formula>NOT($M80)</formula>
    </cfRule>
  </conditionalFormatting>
  <conditionalFormatting sqref="H14:I14">
    <cfRule type="expression" dxfId="499" priority="1288">
      <formula>M14=FALSE</formula>
    </cfRule>
    <cfRule type="expression" dxfId="498" priority="1289">
      <formula>AND(M14,H14="",G14&lt;&gt;"pauschal",J14="")</formula>
    </cfRule>
    <cfRule type="expression" dxfId="497" priority="1292">
      <formula>AND(M14,OR(G14="pauschal",J14&lt;&gt;""))</formula>
    </cfRule>
  </conditionalFormatting>
  <conditionalFormatting sqref="H16:I16">
    <cfRule type="expression" dxfId="496" priority="1080">
      <formula>M16=FALSE</formula>
    </cfRule>
    <cfRule type="expression" dxfId="495" priority="1081">
      <formula>AND(M16,H16="",G16&lt;&gt;"pauschal",J16="")</formula>
    </cfRule>
    <cfRule type="expression" dxfId="494" priority="1084">
      <formula>AND(M16,OR(G16="pauschal",J16&lt;&gt;""))</formula>
    </cfRule>
    <cfRule type="expression" dxfId="493" priority="1282">
      <formula>M16=FALSE</formula>
    </cfRule>
    <cfRule type="expression" dxfId="492" priority="1283">
      <formula>AND(M16,H16="",G16&lt;&gt;"pauschal",J16="")</formula>
    </cfRule>
    <cfRule type="expression" dxfId="491" priority="1286">
      <formula>AND(M16,OR(G16="pauschal",J16&lt;&gt;""))</formula>
    </cfRule>
  </conditionalFormatting>
  <conditionalFormatting sqref="H18:I18">
    <cfRule type="expression" dxfId="490" priority="1066">
      <formula>M18=FALSE</formula>
    </cfRule>
    <cfRule type="expression" dxfId="489" priority="1067">
      <formula>AND(M18,H18="",G18&lt;&gt;"pauschal",J18="")</formula>
    </cfRule>
    <cfRule type="expression" dxfId="488" priority="1070">
      <formula>AND(M18,OR(G18="pauschal",J18&lt;&gt;""))</formula>
    </cfRule>
    <cfRule type="expression" dxfId="487" priority="1073">
      <formula>M18=FALSE</formula>
    </cfRule>
    <cfRule type="expression" dxfId="486" priority="1074">
      <formula>AND(M18,H18="",G18&lt;&gt;"pauschal",J18="")</formula>
    </cfRule>
    <cfRule type="expression" dxfId="485" priority="1077">
      <formula>AND(M18,OR(G18="pauschal",J18&lt;&gt;""))</formula>
    </cfRule>
    <cfRule type="expression" dxfId="484" priority="1276">
      <formula>M18=FALSE</formula>
    </cfRule>
    <cfRule type="expression" dxfId="483" priority="1277">
      <formula>AND(M18,H18="",G18&lt;&gt;"pauschal",J18="")</formula>
    </cfRule>
    <cfRule type="expression" dxfId="482" priority="1280">
      <formula>AND(M18,OR(G18="pauschal",J18&lt;&gt;""))</formula>
    </cfRule>
  </conditionalFormatting>
  <conditionalFormatting sqref="H20:I20">
    <cfRule type="expression" dxfId="481" priority="1045">
      <formula>M20=FALSE</formula>
    </cfRule>
    <cfRule type="expression" dxfId="480" priority="1046">
      <formula>AND(M20,H20="",G20&lt;&gt;"pauschal",J20="")</formula>
    </cfRule>
    <cfRule type="expression" dxfId="479" priority="1049">
      <formula>AND(M20,OR(G20="pauschal",J20&lt;&gt;""))</formula>
    </cfRule>
    <cfRule type="expression" dxfId="478" priority="1058">
      <formula>M20=FALSE</formula>
    </cfRule>
    <cfRule type="expression" dxfId="477" priority="1059">
      <formula>AND(M20,H20="",G20&lt;&gt;"pauschal",J20="")</formula>
    </cfRule>
    <cfRule type="expression" dxfId="476" priority="1062">
      <formula>AND(M20,OR(G20="pauschal",J20&lt;&gt;""))</formula>
    </cfRule>
    <cfRule type="expression" dxfId="475" priority="1270">
      <formula>M20=FALSE</formula>
    </cfRule>
    <cfRule type="expression" dxfId="474" priority="1271">
      <formula>AND(M20,H20="",G20&lt;&gt;"pauschal",J20="")</formula>
    </cfRule>
    <cfRule type="expression" dxfId="473" priority="1274">
      <formula>AND(M20,OR(G20="pauschal",J20&lt;&gt;""))</formula>
    </cfRule>
  </conditionalFormatting>
  <conditionalFormatting sqref="H22:I22">
    <cfRule type="expression" dxfId="472" priority="1031">
      <formula>M22=FALSE</formula>
    </cfRule>
    <cfRule type="expression" dxfId="471" priority="1032">
      <formula>AND(M22,H22="",G22&lt;&gt;"pauschal",J22="")</formula>
    </cfRule>
    <cfRule type="expression" dxfId="470" priority="1035">
      <formula>AND(M22,OR(G22="pauschal",J22&lt;&gt;""))</formula>
    </cfRule>
    <cfRule type="expression" dxfId="469" priority="1038">
      <formula>M22=FALSE</formula>
    </cfRule>
    <cfRule type="expression" dxfId="468" priority="1039">
      <formula>AND(M22,H22="",G22&lt;&gt;"pauschal",J22="")</formula>
    </cfRule>
    <cfRule type="expression" dxfId="467" priority="1042">
      <formula>AND(M22,OR(G22="pauschal",J22&lt;&gt;""))</formula>
    </cfRule>
    <cfRule type="expression" dxfId="466" priority="1052">
      <formula>M22=FALSE</formula>
    </cfRule>
    <cfRule type="expression" dxfId="465" priority="1053">
      <formula>AND(M22,H22="",G22&lt;&gt;"pauschal",J22="")</formula>
    </cfRule>
    <cfRule type="expression" dxfId="464" priority="1056">
      <formula>AND(M22,OR(G22="pauschal",J22&lt;&gt;""))</formula>
    </cfRule>
    <cfRule type="expression" dxfId="463" priority="1264">
      <formula>M22=FALSE</formula>
    </cfRule>
    <cfRule type="expression" dxfId="462" priority="1265">
      <formula>AND(M22,H22="",G22&lt;&gt;"pauschal",J22="")</formula>
    </cfRule>
    <cfRule type="expression" dxfId="461" priority="1268">
      <formula>AND(M22,OR(G22="pauschal",J22&lt;&gt;""))</formula>
    </cfRule>
  </conditionalFormatting>
  <conditionalFormatting sqref="H24:I24">
    <cfRule type="expression" dxfId="460" priority="135">
      <formula>M24=FALSE</formula>
    </cfRule>
    <cfRule type="expression" dxfId="459" priority="136">
      <formula>AND(M24,H24="",G24&lt;&gt;"pauschal",J24="")</formula>
    </cfRule>
    <cfRule type="expression" dxfId="458" priority="139">
      <formula>AND(M24,OR(G24="pauschal",J24&lt;&gt;""))</formula>
    </cfRule>
    <cfRule type="expression" dxfId="457" priority="141">
      <formula>M24=FALSE</formula>
    </cfRule>
    <cfRule type="expression" dxfId="456" priority="142">
      <formula>AND(M24,H24="",G24&lt;&gt;"pauschal",J24="")</formula>
    </cfRule>
    <cfRule type="expression" dxfId="455" priority="145">
      <formula>AND(M24,OR(G24="pauschal",J24&lt;&gt;""))</formula>
    </cfRule>
    <cfRule type="expression" dxfId="454" priority="147">
      <formula>M24=FALSE</formula>
    </cfRule>
    <cfRule type="expression" dxfId="453" priority="148">
      <formula>AND(M24,H24="",G24&lt;&gt;"pauschal",J24="")</formula>
    </cfRule>
    <cfRule type="expression" dxfId="452" priority="151">
      <formula>AND(M24,OR(G24="pauschal",J24&lt;&gt;""))</formula>
    </cfRule>
    <cfRule type="expression" dxfId="451" priority="153">
      <formula>M24=FALSE</formula>
    </cfRule>
    <cfRule type="expression" dxfId="450" priority="154">
      <formula>AND(M24,H24="",G24&lt;&gt;"pauschal",J24="")</formula>
    </cfRule>
    <cfRule type="expression" dxfId="449" priority="157">
      <formula>AND(M24,OR(G24="pauschal",J24&lt;&gt;""))</formula>
    </cfRule>
  </conditionalFormatting>
  <conditionalFormatting sqref="H26:I26">
    <cfRule type="expression" dxfId="448" priority="1010">
      <formula>M26=FALSE</formula>
    </cfRule>
    <cfRule type="expression" dxfId="447" priority="1011">
      <formula>AND(M26,H26="",G26&lt;&gt;"pauschal",J26="")</formula>
    </cfRule>
    <cfRule type="expression" dxfId="446" priority="1014">
      <formula>AND(M26,OR(G26="pauschal",J26&lt;&gt;""))</formula>
    </cfRule>
    <cfRule type="expression" dxfId="445" priority="1017">
      <formula>M26=FALSE</formula>
    </cfRule>
    <cfRule type="expression" dxfId="444" priority="1018">
      <formula>AND(M26,H26="",G26&lt;&gt;"pauschal",J26="")</formula>
    </cfRule>
    <cfRule type="expression" dxfId="443" priority="1021">
      <formula>AND(M26,OR(G26="pauschal",J26&lt;&gt;""))</formula>
    </cfRule>
    <cfRule type="expression" dxfId="442" priority="1024">
      <formula>M26=FALSE</formula>
    </cfRule>
    <cfRule type="expression" dxfId="441" priority="1025">
      <formula>AND(M26,H26="",G26&lt;&gt;"pauschal",J26="")</formula>
    </cfRule>
    <cfRule type="expression" dxfId="440" priority="1028">
      <formula>AND(M26,OR(G26="pauschal",J26&lt;&gt;""))</formula>
    </cfRule>
    <cfRule type="expression" dxfId="439" priority="1258">
      <formula>M26=FALSE</formula>
    </cfRule>
    <cfRule type="expression" dxfId="438" priority="1259">
      <formula>AND(M26,H26="",G26&lt;&gt;"pauschal",J26="")</formula>
    </cfRule>
    <cfRule type="expression" dxfId="437" priority="1262">
      <formula>AND(M26,OR(G26="pauschal",J26&lt;&gt;""))</formula>
    </cfRule>
  </conditionalFormatting>
  <conditionalFormatting sqref="H31:I31">
    <cfRule type="expression" dxfId="436" priority="998">
      <formula>M31=FALSE</formula>
    </cfRule>
    <cfRule type="expression" dxfId="435" priority="999">
      <formula>AND(M31,H31="",G31&lt;&gt;"pauschal",J31="")</formula>
    </cfRule>
    <cfRule type="expression" dxfId="434" priority="1002">
      <formula>AND(M31,OR(G31="pauschal",J31&lt;&gt;""))</formula>
    </cfRule>
  </conditionalFormatting>
  <conditionalFormatting sqref="H33:I33">
    <cfRule type="expression" dxfId="433" priority="960">
      <formula>M33=FALSE</formula>
    </cfRule>
    <cfRule type="expression" dxfId="432" priority="961">
      <formula>AND(M33,H33="",G33&lt;&gt;"pauschal",J33="")</formula>
    </cfRule>
    <cfRule type="expression" dxfId="431" priority="964">
      <formula>AND(M33,OR(G33="pauschal",J33&lt;&gt;""))</formula>
    </cfRule>
    <cfRule type="expression" dxfId="430" priority="992">
      <formula>M33=FALSE</formula>
    </cfRule>
    <cfRule type="expression" dxfId="429" priority="993">
      <formula>AND(M33,H33="",G33&lt;&gt;"pauschal",J33="")</formula>
    </cfRule>
    <cfRule type="expression" dxfId="428" priority="996">
      <formula>AND(M33,OR(G33="pauschal",J33&lt;&gt;""))</formula>
    </cfRule>
  </conditionalFormatting>
  <conditionalFormatting sqref="H35:I35">
    <cfRule type="expression" dxfId="427" priority="946">
      <formula>M35=FALSE</formula>
    </cfRule>
    <cfRule type="expression" dxfId="426" priority="947">
      <formula>AND(M35,H35="",G35&lt;&gt;"pauschal",J35="")</formula>
    </cfRule>
    <cfRule type="expression" dxfId="425" priority="950">
      <formula>AND(M35,OR(G35="pauschal",J35&lt;&gt;""))</formula>
    </cfRule>
    <cfRule type="expression" dxfId="424" priority="953">
      <formula>M35=FALSE</formula>
    </cfRule>
    <cfRule type="expression" dxfId="423" priority="954">
      <formula>AND(M35,H35="",G35&lt;&gt;"pauschal",J35="")</formula>
    </cfRule>
    <cfRule type="expression" dxfId="422" priority="957">
      <formula>AND(M35,OR(G35="pauschal",J35&lt;&gt;""))</formula>
    </cfRule>
    <cfRule type="expression" dxfId="421" priority="986">
      <formula>M35=FALSE</formula>
    </cfRule>
    <cfRule type="expression" dxfId="420" priority="987">
      <formula>AND(M35,H35="",G35&lt;&gt;"pauschal",J35="")</formula>
    </cfRule>
    <cfRule type="expression" dxfId="419" priority="990">
      <formula>AND(M35,OR(G35="pauschal",J35&lt;&gt;""))</formula>
    </cfRule>
  </conditionalFormatting>
  <conditionalFormatting sqref="H37:I37">
    <cfRule type="expression" dxfId="418" priority="925">
      <formula>M37=FALSE</formula>
    </cfRule>
    <cfRule type="expression" dxfId="417" priority="926">
      <formula>AND(M37,H37="",G37&lt;&gt;"pauschal",J37="")</formula>
    </cfRule>
    <cfRule type="expression" dxfId="416" priority="929">
      <formula>AND(M37,OR(G37="pauschal",J37&lt;&gt;""))</formula>
    </cfRule>
    <cfRule type="expression" dxfId="415" priority="938">
      <formula>M37=FALSE</formula>
    </cfRule>
    <cfRule type="expression" dxfId="414" priority="939">
      <formula>AND(M37,H37="",G37&lt;&gt;"pauschal",J37="")</formula>
    </cfRule>
    <cfRule type="expression" dxfId="413" priority="942">
      <formula>AND(M37,OR(G37="pauschal",J37&lt;&gt;""))</formula>
    </cfRule>
    <cfRule type="expression" dxfId="412" priority="980">
      <formula>M37=FALSE</formula>
    </cfRule>
    <cfRule type="expression" dxfId="411" priority="981">
      <formula>AND(M37,H37="",G37&lt;&gt;"pauschal",J37="")</formula>
    </cfRule>
    <cfRule type="expression" dxfId="410" priority="984">
      <formula>AND(M37,OR(G37="pauschal",J37&lt;&gt;""))</formula>
    </cfRule>
  </conditionalFormatting>
  <conditionalFormatting sqref="H39:I39">
    <cfRule type="expression" dxfId="409" priority="911">
      <formula>M39=FALSE</formula>
    </cfRule>
    <cfRule type="expression" dxfId="408" priority="912">
      <formula>AND(M39,H39="",G39&lt;&gt;"pauschal",J39="")</formula>
    </cfRule>
    <cfRule type="expression" dxfId="407" priority="915">
      <formula>AND(M39,OR(G39="pauschal",J39&lt;&gt;""))</formula>
    </cfRule>
    <cfRule type="expression" dxfId="406" priority="918">
      <formula>M39=FALSE</formula>
    </cfRule>
    <cfRule type="expression" dxfId="405" priority="919">
      <formula>AND(M39,H39="",G39&lt;&gt;"pauschal",J39="")</formula>
    </cfRule>
    <cfRule type="expression" dxfId="404" priority="922">
      <formula>AND(M39,OR(G39="pauschal",J39&lt;&gt;""))</formula>
    </cfRule>
    <cfRule type="expression" dxfId="403" priority="932">
      <formula>M39=FALSE</formula>
    </cfRule>
    <cfRule type="expression" dxfId="402" priority="933">
      <formula>AND(M39,H39="",G39&lt;&gt;"pauschal",J39="")</formula>
    </cfRule>
    <cfRule type="expression" dxfId="401" priority="936">
      <formula>AND(M39,OR(G39="pauschal",J39&lt;&gt;""))</formula>
    </cfRule>
    <cfRule type="expression" dxfId="400" priority="974">
      <formula>M39=FALSE</formula>
    </cfRule>
    <cfRule type="expression" dxfId="399" priority="975">
      <formula>AND(M39,H39="",G39&lt;&gt;"pauschal",J39="")</formula>
    </cfRule>
    <cfRule type="expression" dxfId="398" priority="978">
      <formula>AND(M39,OR(G39="pauschal",J39&lt;&gt;""))</formula>
    </cfRule>
  </conditionalFormatting>
  <conditionalFormatting sqref="H41:I41">
    <cfRule type="expression" dxfId="397" priority="890">
      <formula>M41=FALSE</formula>
    </cfRule>
    <cfRule type="expression" dxfId="396" priority="891">
      <formula>AND(M41,H41="",G41&lt;&gt;"pauschal",J41="")</formula>
    </cfRule>
    <cfRule type="expression" dxfId="395" priority="894">
      <formula>AND(M41,OR(G41="pauschal",J41&lt;&gt;""))</formula>
    </cfRule>
    <cfRule type="expression" dxfId="394" priority="897">
      <formula>M41=FALSE</formula>
    </cfRule>
    <cfRule type="expression" dxfId="393" priority="898">
      <formula>AND(M41,H41="",G41&lt;&gt;"pauschal",J41="")</formula>
    </cfRule>
    <cfRule type="expression" dxfId="392" priority="901">
      <formula>AND(M41,OR(G41="pauschal",J41&lt;&gt;""))</formula>
    </cfRule>
    <cfRule type="expression" dxfId="391" priority="904">
      <formula>M41=FALSE</formula>
    </cfRule>
    <cfRule type="expression" dxfId="390" priority="905">
      <formula>AND(M41,H41="",G41&lt;&gt;"pauschal",J41="")</formula>
    </cfRule>
    <cfRule type="expression" dxfId="389" priority="908">
      <formula>AND(M41,OR(G41="pauschal",J41&lt;&gt;""))</formula>
    </cfRule>
    <cfRule type="expression" dxfId="388" priority="968">
      <formula>M41=FALSE</formula>
    </cfRule>
    <cfRule type="expression" dxfId="387" priority="969">
      <formula>AND(M41,H41="",G41&lt;&gt;"pauschal",J41="")</formula>
    </cfRule>
    <cfRule type="expression" dxfId="386" priority="972">
      <formula>AND(M41,OR(G41="pauschal",J41&lt;&gt;""))</formula>
    </cfRule>
  </conditionalFormatting>
  <conditionalFormatting sqref="H46:I46">
    <cfRule type="expression" dxfId="385" priority="321">
      <formula>M46=FALSE</formula>
    </cfRule>
    <cfRule type="expression" dxfId="384" priority="322">
      <formula>AND(M46,H46="",G46&lt;&gt;"pauschal",J46="")</formula>
    </cfRule>
    <cfRule type="expression" dxfId="383" priority="325">
      <formula>AND(M46,OR(G46="pauschal",J46&lt;&gt;""))</formula>
    </cfRule>
  </conditionalFormatting>
  <conditionalFormatting sqref="H48:I48">
    <cfRule type="expression" dxfId="382" priority="302">
      <formula>M48=FALSE</formula>
    </cfRule>
    <cfRule type="expression" dxfId="381" priority="303">
      <formula>AND(M48,H48="",G48&lt;&gt;"pauschal",J48="")</formula>
    </cfRule>
    <cfRule type="expression" dxfId="380" priority="306">
      <formula>AND(M48,OR(G48="pauschal",J48&lt;&gt;""))</formula>
    </cfRule>
    <cfRule type="expression" dxfId="379" priority="308">
      <formula>M48=FALSE</formula>
    </cfRule>
    <cfRule type="expression" dxfId="378" priority="309">
      <formula>AND(M48,H48="",G48&lt;&gt;"pauschal",J48="")</formula>
    </cfRule>
    <cfRule type="expression" dxfId="377" priority="312">
      <formula>AND(M48,OR(G48="pauschal",J48&lt;&gt;""))</formula>
    </cfRule>
  </conditionalFormatting>
  <conditionalFormatting sqref="H50:I50">
    <cfRule type="expression" dxfId="376" priority="284">
      <formula>M50=FALSE</formula>
    </cfRule>
    <cfRule type="expression" dxfId="375" priority="285">
      <formula>AND(M50,H50="",G50&lt;&gt;"pauschal",J50="")</formula>
    </cfRule>
    <cfRule type="expression" dxfId="374" priority="288">
      <formula>AND(M50,OR(G50="pauschal",J50&lt;&gt;""))</formula>
    </cfRule>
    <cfRule type="expression" dxfId="373" priority="290">
      <formula>M50=FALSE</formula>
    </cfRule>
    <cfRule type="expression" dxfId="372" priority="291">
      <formula>AND(M50,H50="",G50&lt;&gt;"pauschal",J50="")</formula>
    </cfRule>
    <cfRule type="expression" dxfId="371" priority="294">
      <formula>AND(M50,OR(G50="pauschal",J50&lt;&gt;""))</formula>
    </cfRule>
  </conditionalFormatting>
  <conditionalFormatting sqref="H52:I52">
    <cfRule type="expression" dxfId="370" priority="266">
      <formula>M52=FALSE</formula>
    </cfRule>
    <cfRule type="expression" dxfId="369" priority="267">
      <formula>AND(M52,H52="",G52&lt;&gt;"pauschal",J52="")</formula>
    </cfRule>
    <cfRule type="expression" dxfId="368" priority="270">
      <formula>AND(M52,OR(G52="pauschal",J52&lt;&gt;""))</formula>
    </cfRule>
    <cfRule type="expression" dxfId="367" priority="272">
      <formula>M52=FALSE</formula>
    </cfRule>
    <cfRule type="expression" dxfId="366" priority="273">
      <formula>AND(M52,H52="",G52&lt;&gt;"pauschal",J52="")</formula>
    </cfRule>
    <cfRule type="expression" dxfId="365" priority="276">
      <formula>AND(M52,OR(G52="pauschal",J52&lt;&gt;""))</formula>
    </cfRule>
  </conditionalFormatting>
  <conditionalFormatting sqref="H54:I54">
    <cfRule type="expression" dxfId="364" priority="248">
      <formula>M54=FALSE</formula>
    </cfRule>
    <cfRule type="expression" dxfId="363" priority="249">
      <formula>AND(M54,H54="",G54&lt;&gt;"pauschal",J54="")</formula>
    </cfRule>
    <cfRule type="expression" dxfId="362" priority="252">
      <formula>AND(M54,OR(G54="pauschal",J54&lt;&gt;""))</formula>
    </cfRule>
    <cfRule type="expression" dxfId="361" priority="254">
      <formula>M54=FALSE</formula>
    </cfRule>
    <cfRule type="expression" dxfId="360" priority="255">
      <formula>AND(M54,H54="",G54&lt;&gt;"pauschal",J54="")</formula>
    </cfRule>
    <cfRule type="expression" dxfId="359" priority="258">
      <formula>AND(M54,OR(G54="pauschal",J54&lt;&gt;""))</formula>
    </cfRule>
  </conditionalFormatting>
  <conditionalFormatting sqref="H56:I56">
    <cfRule type="expression" dxfId="358" priority="230">
      <formula>M56=FALSE</formula>
    </cfRule>
    <cfRule type="expression" dxfId="357" priority="231">
      <formula>AND(M56,H56="",G56&lt;&gt;"pauschal",J56="")</formula>
    </cfRule>
    <cfRule type="expression" dxfId="356" priority="234">
      <formula>AND(M56,OR(G56="pauschal",J56&lt;&gt;""))</formula>
    </cfRule>
    <cfRule type="expression" dxfId="355" priority="236">
      <formula>M56=FALSE</formula>
    </cfRule>
    <cfRule type="expression" dxfId="354" priority="237">
      <formula>AND(M56,H56="",G56&lt;&gt;"pauschal",J56="")</formula>
    </cfRule>
    <cfRule type="expression" dxfId="353" priority="240">
      <formula>AND(M56,OR(G56="pauschal",J56&lt;&gt;""))</formula>
    </cfRule>
  </conditionalFormatting>
  <conditionalFormatting sqref="H61:I61">
    <cfRule type="expression" dxfId="352" priority="499">
      <formula>M61=FALSE</formula>
    </cfRule>
    <cfRule type="expression" dxfId="351" priority="500">
      <formula>AND(M61,H61="",G61&lt;&gt;"pauschal",J61="")</formula>
    </cfRule>
    <cfRule type="expression" dxfId="350" priority="503">
      <formula>AND(M61,OR(G61="pauschal",J61&lt;&gt;""))</formula>
    </cfRule>
    <cfRule type="expression" dxfId="349" priority="505">
      <formula>M61=FALSE</formula>
    </cfRule>
    <cfRule type="expression" dxfId="348" priority="506">
      <formula>AND(M61,H61="",G61&lt;&gt;"pauschal",J61="")</formula>
    </cfRule>
    <cfRule type="expression" dxfId="347" priority="509">
      <formula>AND(M61,OR(G61="pauschal",J61&lt;&gt;""))</formula>
    </cfRule>
    <cfRule type="expression" dxfId="346" priority="511">
      <formula>M61=FALSE</formula>
    </cfRule>
    <cfRule type="expression" dxfId="345" priority="512">
      <formula>AND(M61,H61="",G61&lt;&gt;"pauschal",J61="")</formula>
    </cfRule>
    <cfRule type="expression" dxfId="344" priority="515">
      <formula>AND(M61,OR(G61="pauschal",J61&lt;&gt;""))</formula>
    </cfRule>
    <cfRule type="expression" dxfId="343" priority="518">
      <formula>M61=FALSE</formula>
    </cfRule>
    <cfRule type="expression" dxfId="342" priority="519">
      <formula>AND(M61,H61="",G61&lt;&gt;"pauschal",J61="")</formula>
    </cfRule>
    <cfRule type="expression" dxfId="341" priority="522">
      <formula>AND(M61,OR(G61="pauschal",J61&lt;&gt;""))</formula>
    </cfRule>
  </conditionalFormatting>
  <conditionalFormatting sqref="H63:I63">
    <cfRule type="expression" dxfId="340" priority="99">
      <formula>M63=FALSE</formula>
    </cfRule>
    <cfRule type="expression" dxfId="339" priority="100">
      <formula>AND(M63,H63="",G63&lt;&gt;"pauschal",J63="")</formula>
    </cfRule>
    <cfRule type="expression" dxfId="338" priority="103">
      <formula>AND(M63,OR(G63="pauschal",J63&lt;&gt;""))</formula>
    </cfRule>
    <cfRule type="expression" dxfId="337" priority="105">
      <formula>M63=FALSE</formula>
    </cfRule>
    <cfRule type="expression" dxfId="336" priority="106">
      <formula>AND(M63,H63="",G63&lt;&gt;"pauschal",J63="")</formula>
    </cfRule>
    <cfRule type="expression" dxfId="335" priority="109">
      <formula>AND(M63,OR(G63="pauschal",J63&lt;&gt;""))</formula>
    </cfRule>
    <cfRule type="expression" dxfId="334" priority="111">
      <formula>M63=FALSE</formula>
    </cfRule>
    <cfRule type="expression" dxfId="333" priority="112">
      <formula>AND(M63,H63="",G63&lt;&gt;"pauschal",J63="")</formula>
    </cfRule>
    <cfRule type="expression" dxfId="332" priority="115">
      <formula>AND(M63,OR(G63="pauschal",J63&lt;&gt;""))</formula>
    </cfRule>
  </conditionalFormatting>
  <conditionalFormatting sqref="H65:I65">
    <cfRule type="expression" dxfId="331" priority="727">
      <formula>M65=FALSE</formula>
    </cfRule>
    <cfRule type="expression" dxfId="330" priority="728">
      <formula>AND(M65,H65="",G65&lt;&gt;"pauschal",J65="")</formula>
    </cfRule>
    <cfRule type="expression" dxfId="329" priority="731">
      <formula>AND(M65,OR(G65="pauschal",J65&lt;&gt;""))</formula>
    </cfRule>
    <cfRule type="expression" dxfId="328" priority="734">
      <formula>M65=FALSE</formula>
    </cfRule>
    <cfRule type="expression" dxfId="327" priority="735">
      <formula>AND(M65,H65="",G65&lt;&gt;"pauschal",J65="")</formula>
    </cfRule>
    <cfRule type="expression" dxfId="326" priority="738">
      <formula>AND(M65,OR(G65="pauschal",J65&lt;&gt;""))</formula>
    </cfRule>
    <cfRule type="expression" dxfId="325" priority="760">
      <formula>M65=FALSE</formula>
    </cfRule>
    <cfRule type="expression" dxfId="324" priority="761">
      <formula>AND(M65,H65="",G65&lt;&gt;"pauschal",J65="")</formula>
    </cfRule>
    <cfRule type="expression" dxfId="323" priority="764">
      <formula>AND(M65,OR(G65="pauschal",J65&lt;&gt;""))</formula>
    </cfRule>
  </conditionalFormatting>
  <conditionalFormatting sqref="H67:I67">
    <cfRule type="expression" dxfId="322" priority="706">
      <formula>M67=FALSE</formula>
    </cfRule>
    <cfRule type="expression" dxfId="321" priority="707">
      <formula>AND(M67,H67="",G67&lt;&gt;"pauschal",J67="")</formula>
    </cfRule>
    <cfRule type="expression" dxfId="320" priority="710">
      <formula>AND(M67,OR(G67="pauschal",J67&lt;&gt;""))</formula>
    </cfRule>
    <cfRule type="expression" dxfId="319" priority="719">
      <formula>M67=FALSE</formula>
    </cfRule>
    <cfRule type="expression" dxfId="318" priority="720">
      <formula>AND(M67,H67="",G67&lt;&gt;"pauschal",J67="")</formula>
    </cfRule>
    <cfRule type="expression" dxfId="317" priority="723">
      <formula>AND(M67,OR(G67="pauschal",J67&lt;&gt;""))</formula>
    </cfRule>
    <cfRule type="expression" dxfId="316" priority="754">
      <formula>M67=FALSE</formula>
    </cfRule>
    <cfRule type="expression" dxfId="315" priority="755">
      <formula>AND(M67,H67="",G67&lt;&gt;"pauschal",J67="")</formula>
    </cfRule>
    <cfRule type="expression" dxfId="314" priority="758">
      <formula>AND(M67,OR(G67="pauschal",J67&lt;&gt;""))</formula>
    </cfRule>
  </conditionalFormatting>
  <conditionalFormatting sqref="H69:I69">
    <cfRule type="expression" dxfId="313" priority="692">
      <formula>M69=FALSE</formula>
    </cfRule>
    <cfRule type="expression" dxfId="312" priority="693">
      <formula>AND(M69,H69="",G69&lt;&gt;"pauschal",J69="")</formula>
    </cfRule>
    <cfRule type="expression" dxfId="311" priority="696">
      <formula>AND(M69,OR(G69="pauschal",J69&lt;&gt;""))</formula>
    </cfRule>
    <cfRule type="expression" dxfId="310" priority="699">
      <formula>M69=FALSE</formula>
    </cfRule>
    <cfRule type="expression" dxfId="309" priority="700">
      <formula>AND(M69,H69="",G69&lt;&gt;"pauschal",J69="")</formula>
    </cfRule>
    <cfRule type="expression" dxfId="308" priority="703">
      <formula>AND(M69,OR(G69="pauschal",J69&lt;&gt;""))</formula>
    </cfRule>
    <cfRule type="expression" dxfId="307" priority="713">
      <formula>M69=FALSE</formula>
    </cfRule>
    <cfRule type="expression" dxfId="306" priority="714">
      <formula>AND(M69,H69="",G69&lt;&gt;"pauschal",J69="")</formula>
    </cfRule>
    <cfRule type="expression" dxfId="305" priority="717">
      <formula>AND(M69,OR(G69="pauschal",J69&lt;&gt;""))</formula>
    </cfRule>
    <cfRule type="expression" dxfId="304" priority="748">
      <formula>M69=FALSE</formula>
    </cfRule>
    <cfRule type="expression" dxfId="303" priority="749">
      <formula>AND(M69,H69="",G69&lt;&gt;"pauschal",J69="")</formula>
    </cfRule>
    <cfRule type="expression" dxfId="302" priority="752">
      <formula>AND(M69,OR(G69="pauschal",J69&lt;&gt;""))</formula>
    </cfRule>
  </conditionalFormatting>
  <conditionalFormatting sqref="H71:I71">
    <cfRule type="expression" dxfId="301" priority="671">
      <formula>M71=FALSE</formula>
    </cfRule>
    <cfRule type="expression" dxfId="300" priority="672">
      <formula>AND(M71,H71="",G71&lt;&gt;"pauschal",J71="")</formula>
    </cfRule>
    <cfRule type="expression" dxfId="299" priority="675">
      <formula>AND(M71,OR(G71="pauschal",J71&lt;&gt;""))</formula>
    </cfRule>
    <cfRule type="expression" dxfId="298" priority="678">
      <formula>M71=FALSE</formula>
    </cfRule>
    <cfRule type="expression" dxfId="297" priority="679">
      <formula>AND(M71,H71="",G71&lt;&gt;"pauschal",J71="")</formula>
    </cfRule>
    <cfRule type="expression" dxfId="296" priority="682">
      <formula>AND(M71,OR(G71="pauschal",J71&lt;&gt;""))</formula>
    </cfRule>
    <cfRule type="expression" dxfId="295" priority="685">
      <formula>M71=FALSE</formula>
    </cfRule>
    <cfRule type="expression" dxfId="294" priority="686">
      <formula>AND(M71,H71="",G71&lt;&gt;"pauschal",J71="")</formula>
    </cfRule>
    <cfRule type="expression" dxfId="293" priority="689">
      <formula>AND(M71,OR(G71="pauschal",J71&lt;&gt;""))</formula>
    </cfRule>
    <cfRule type="expression" dxfId="292" priority="742">
      <formula>M71=FALSE</formula>
    </cfRule>
    <cfRule type="expression" dxfId="291" priority="743">
      <formula>AND(M71,H71="",G71&lt;&gt;"pauschal",J71="")</formula>
    </cfRule>
    <cfRule type="expression" dxfId="290" priority="746">
      <formula>AND(M71,OR(G71="pauschal",J71&lt;&gt;""))</formula>
    </cfRule>
  </conditionalFormatting>
  <conditionalFormatting sqref="H76:I76">
    <cfRule type="expression" dxfId="289" priority="540">
      <formula>M76=FALSE</formula>
    </cfRule>
    <cfRule type="expression" dxfId="288" priority="541">
      <formula>AND(M76,H76="",G76&lt;&gt;"pauschal",J76="")</formula>
    </cfRule>
    <cfRule type="expression" dxfId="287" priority="544">
      <formula>AND(M76,OR(G76="pauschal",J76&lt;&gt;""))</formula>
    </cfRule>
    <cfRule type="expression" dxfId="286" priority="552">
      <formula>M76=FALSE</formula>
    </cfRule>
    <cfRule type="expression" dxfId="285" priority="553">
      <formula>AND(M76,H76="",G76&lt;&gt;"pauschal",J76="")</formula>
    </cfRule>
    <cfRule type="expression" dxfId="284" priority="556">
      <formula>AND(M76,OR(G76="pauschal",J76&lt;&gt;""))</formula>
    </cfRule>
    <cfRule type="expression" dxfId="283" priority="565">
      <formula>M76=FALSE</formula>
    </cfRule>
    <cfRule type="expression" dxfId="282" priority="566">
      <formula>AND(M76,H76="",G76&lt;&gt;"pauschal",J76="")</formula>
    </cfRule>
    <cfRule type="expression" dxfId="281" priority="569">
      <formula>AND(M76,OR(G76="pauschal",J76&lt;&gt;""))</formula>
    </cfRule>
  </conditionalFormatting>
  <conditionalFormatting sqref="H78:I78">
    <cfRule type="expression" dxfId="280" priority="528">
      <formula>M78=FALSE</formula>
    </cfRule>
    <cfRule type="expression" dxfId="279" priority="529">
      <formula>AND(M78,H78="",G78&lt;&gt;"pauschal",J78="")</formula>
    </cfRule>
    <cfRule type="expression" dxfId="278" priority="532">
      <formula>AND(M78,OR(G78="pauschal",J78&lt;&gt;""))</formula>
    </cfRule>
    <cfRule type="expression" dxfId="277" priority="534">
      <formula>M78=FALSE</formula>
    </cfRule>
    <cfRule type="expression" dxfId="276" priority="535">
      <formula>AND(M78,H78="",G78&lt;&gt;"pauschal",J78="")</formula>
    </cfRule>
    <cfRule type="expression" dxfId="275" priority="538">
      <formula>AND(M78,OR(G78="pauschal",J78&lt;&gt;""))</formula>
    </cfRule>
    <cfRule type="expression" dxfId="274" priority="546">
      <formula>M78=FALSE</formula>
    </cfRule>
    <cfRule type="expression" dxfId="273" priority="547">
      <formula>AND(M78,H78="",G78&lt;&gt;"pauschal",J78="")</formula>
    </cfRule>
    <cfRule type="expression" dxfId="272" priority="550">
      <formula>AND(M78,OR(G78="pauschal",J78&lt;&gt;""))</formula>
    </cfRule>
    <cfRule type="expression" dxfId="271" priority="559">
      <formula>M78=FALSE</formula>
    </cfRule>
    <cfRule type="expression" dxfId="270" priority="560">
      <formula>AND(M78,H78="",G78&lt;&gt;"pauschal",J78="")</formula>
    </cfRule>
    <cfRule type="expression" dxfId="269" priority="563">
      <formula>AND(M78,OR(G78="pauschal",J78&lt;&gt;""))</formula>
    </cfRule>
  </conditionalFormatting>
  <conditionalFormatting sqref="H80:I80">
    <cfRule type="expression" dxfId="268" priority="628">
      <formula>M80=FALSE</formula>
    </cfRule>
    <cfRule type="expression" dxfId="267" priority="629">
      <formula>AND(M80,H80="",G80&lt;&gt;"pauschal",J80="")</formula>
    </cfRule>
    <cfRule type="expression" dxfId="266" priority="632">
      <formula>AND(M80,OR(G80="pauschal",J80&lt;&gt;""))</formula>
    </cfRule>
    <cfRule type="expression" dxfId="265" priority="635">
      <formula>M80=FALSE</formula>
    </cfRule>
    <cfRule type="expression" dxfId="264" priority="636">
      <formula>AND(M80,H80="",G80&lt;&gt;"pauschal",J80="")</formula>
    </cfRule>
    <cfRule type="expression" dxfId="263" priority="639">
      <formula>AND(M80,OR(G80="pauschal",J80&lt;&gt;""))</formula>
    </cfRule>
    <cfRule type="expression" dxfId="262" priority="661">
      <formula>M80=FALSE</formula>
    </cfRule>
    <cfRule type="expression" dxfId="261" priority="662">
      <formula>AND(M80,H80="",G80&lt;&gt;"pauschal",J80="")</formula>
    </cfRule>
    <cfRule type="expression" dxfId="260" priority="665">
      <formula>AND(M80,OR(G80="pauschal",J80&lt;&gt;""))</formula>
    </cfRule>
  </conditionalFormatting>
  <conditionalFormatting sqref="J14">
    <cfRule type="expression" dxfId="259" priority="1287">
      <formula>M14=FALSE</formula>
    </cfRule>
    <cfRule type="expression" dxfId="258" priority="1290">
      <formula>AND(M14,J14="",G14&lt;&gt;"v.H.-Satz",H14="")</formula>
    </cfRule>
    <cfRule type="expression" dxfId="257" priority="1291">
      <formula>AND(M14,G14="v.H.-Satz")</formula>
    </cfRule>
  </conditionalFormatting>
  <conditionalFormatting sqref="J16">
    <cfRule type="expression" dxfId="256" priority="1079">
      <formula>M16=FALSE</formula>
    </cfRule>
    <cfRule type="expression" dxfId="255" priority="1082">
      <formula>AND(M16,J16="",G16&lt;&gt;"v.H.-Satz",H16="")</formula>
    </cfRule>
    <cfRule type="expression" dxfId="254" priority="1083">
      <formula>AND(M16,G16="v.H.-Satz")</formula>
    </cfRule>
    <cfRule type="expression" dxfId="253" priority="1281">
      <formula>M16=FALSE</formula>
    </cfRule>
    <cfRule type="expression" dxfId="252" priority="1284">
      <formula>AND(M16,J16="",G16&lt;&gt;"v.H.-Satz",H16="")</formula>
    </cfRule>
    <cfRule type="expression" dxfId="251" priority="1285">
      <formula>AND(M16,G16="v.H.-Satz")</formula>
    </cfRule>
  </conditionalFormatting>
  <conditionalFormatting sqref="J18">
    <cfRule type="expression" dxfId="250" priority="1065">
      <formula>M18=FALSE</formula>
    </cfRule>
    <cfRule type="expression" dxfId="249" priority="1068">
      <formula>AND(M18,J18="",G18&lt;&gt;"v.H.-Satz",H18="")</formula>
    </cfRule>
    <cfRule type="expression" dxfId="248" priority="1069">
      <formula>AND(M18,G18="v.H.-Satz")</formula>
    </cfRule>
    <cfRule type="expression" dxfId="247" priority="1072">
      <formula>M18=FALSE</formula>
    </cfRule>
    <cfRule type="expression" dxfId="246" priority="1075">
      <formula>AND(M18,J18="",G18&lt;&gt;"v.H.-Satz",H18="")</formula>
    </cfRule>
    <cfRule type="expression" dxfId="245" priority="1076">
      <formula>AND(M18,G18="v.H.-Satz")</formula>
    </cfRule>
    <cfRule type="expression" dxfId="244" priority="1275">
      <formula>M18=FALSE</formula>
    </cfRule>
    <cfRule type="expression" dxfId="243" priority="1278">
      <formula>AND(M18,J18="",G18&lt;&gt;"v.H.-Satz",H18="")</formula>
    </cfRule>
    <cfRule type="expression" dxfId="242" priority="1279">
      <formula>AND(M18,G18="v.H.-Satz")</formula>
    </cfRule>
  </conditionalFormatting>
  <conditionalFormatting sqref="J20">
    <cfRule type="expression" dxfId="241" priority="1044">
      <formula>M20=FALSE</formula>
    </cfRule>
    <cfRule type="expression" dxfId="240" priority="1047">
      <formula>AND(M20,J20="",G20&lt;&gt;"v.H.-Satz",H20="")</formula>
    </cfRule>
    <cfRule type="expression" dxfId="239" priority="1048">
      <formula>AND(M20,G20="v.H.-Satz")</formula>
    </cfRule>
    <cfRule type="expression" dxfId="238" priority="1057">
      <formula>M20=FALSE</formula>
    </cfRule>
    <cfRule type="expression" dxfId="237" priority="1060">
      <formula>AND(M20,J20="",G20&lt;&gt;"v.H.-Satz",H20="")</formula>
    </cfRule>
    <cfRule type="expression" dxfId="236" priority="1061">
      <formula>AND(M20,G20="v.H.-Satz")</formula>
    </cfRule>
    <cfRule type="expression" dxfId="235" priority="1269">
      <formula>M20=FALSE</formula>
    </cfRule>
    <cfRule type="expression" dxfId="234" priority="1272">
      <formula>AND(M20,J20="",G20&lt;&gt;"v.H.-Satz",H20="")</formula>
    </cfRule>
    <cfRule type="expression" dxfId="233" priority="1273">
      <formula>AND(M20,G20="v.H.-Satz")</formula>
    </cfRule>
  </conditionalFormatting>
  <conditionalFormatting sqref="J22">
    <cfRule type="expression" dxfId="232" priority="1030">
      <formula>M22=FALSE</formula>
    </cfRule>
    <cfRule type="expression" dxfId="231" priority="1033">
      <formula>AND(M22,J22="",G22&lt;&gt;"v.H.-Satz",H22="")</formula>
    </cfRule>
    <cfRule type="expression" dxfId="230" priority="1034">
      <formula>AND(M22,G22="v.H.-Satz")</formula>
    </cfRule>
    <cfRule type="expression" dxfId="229" priority="1037">
      <formula>M22=FALSE</formula>
    </cfRule>
    <cfRule type="expression" dxfId="228" priority="1040">
      <formula>AND(M22,J22="",G22&lt;&gt;"v.H.-Satz",H22="")</formula>
    </cfRule>
    <cfRule type="expression" dxfId="227" priority="1041">
      <formula>AND(M22,G22="v.H.-Satz")</formula>
    </cfRule>
    <cfRule type="expression" dxfId="226" priority="1051">
      <formula>M22=FALSE</formula>
    </cfRule>
    <cfRule type="expression" dxfId="225" priority="1054">
      <formula>AND(M22,J22="",G22&lt;&gt;"v.H.-Satz",H22="")</formula>
    </cfRule>
    <cfRule type="expression" dxfId="224" priority="1055">
      <formula>AND(M22,G22="v.H.-Satz")</formula>
    </cfRule>
    <cfRule type="expression" dxfId="223" priority="1263">
      <formula>M22=FALSE</formula>
    </cfRule>
    <cfRule type="expression" dxfId="222" priority="1266">
      <formula>AND(M22,J22="",G22&lt;&gt;"v.H.-Satz",H22="")</formula>
    </cfRule>
    <cfRule type="expression" dxfId="221" priority="1267">
      <formula>AND(M22,G22="v.H.-Satz")</formula>
    </cfRule>
  </conditionalFormatting>
  <conditionalFormatting sqref="J24">
    <cfRule type="expression" dxfId="220" priority="134">
      <formula>M24=FALSE</formula>
    </cfRule>
    <cfRule type="expression" dxfId="219" priority="137">
      <formula>AND(M24,J24="",G24&lt;&gt;"v.H.-Satz",H24="")</formula>
    </cfRule>
    <cfRule type="expression" dxfId="218" priority="138">
      <formula>AND(M24,G24="v.H.-Satz")</formula>
    </cfRule>
    <cfRule type="expression" dxfId="217" priority="140">
      <formula>M24=FALSE</formula>
    </cfRule>
    <cfRule type="expression" dxfId="216" priority="143">
      <formula>AND(M24,J24="",G24&lt;&gt;"v.H.-Satz",H24="")</formula>
    </cfRule>
    <cfRule type="expression" dxfId="215" priority="144">
      <formula>AND(M24,G24="v.H.-Satz")</formula>
    </cfRule>
    <cfRule type="expression" dxfId="214" priority="146">
      <formula>M24=FALSE</formula>
    </cfRule>
    <cfRule type="expression" dxfId="213" priority="149">
      <formula>AND(M24,J24="",G24&lt;&gt;"v.H.-Satz",H24="")</formula>
    </cfRule>
    <cfRule type="expression" dxfId="212" priority="150">
      <formula>AND(M24,G24="v.H.-Satz")</formula>
    </cfRule>
    <cfRule type="expression" dxfId="211" priority="152">
      <formula>M24=FALSE</formula>
    </cfRule>
    <cfRule type="expression" dxfId="210" priority="155">
      <formula>AND(M24,J24="",G24&lt;&gt;"v.H.-Satz",H24="")</formula>
    </cfRule>
    <cfRule type="expression" dxfId="209" priority="156">
      <formula>AND(M24,G24="v.H.-Satz")</formula>
    </cfRule>
  </conditionalFormatting>
  <conditionalFormatting sqref="J26">
    <cfRule type="expression" dxfId="208" priority="1009">
      <formula>M26=FALSE</formula>
    </cfRule>
    <cfRule type="expression" dxfId="207" priority="1012">
      <formula>AND(M26,J26="",G26&lt;&gt;"v.H.-Satz",H26="")</formula>
    </cfRule>
    <cfRule type="expression" dxfId="206" priority="1013">
      <formula>AND(M26,G26="v.H.-Satz")</formula>
    </cfRule>
    <cfRule type="expression" dxfId="205" priority="1016">
      <formula>M26=FALSE</formula>
    </cfRule>
    <cfRule type="expression" dxfId="204" priority="1019">
      <formula>AND(M26,J26="",G26&lt;&gt;"v.H.-Satz",H26="")</formula>
    </cfRule>
    <cfRule type="expression" dxfId="203" priority="1020">
      <formula>AND(M26,G26="v.H.-Satz")</formula>
    </cfRule>
    <cfRule type="expression" dxfId="202" priority="1023">
      <formula>M26=FALSE</formula>
    </cfRule>
    <cfRule type="expression" dxfId="201" priority="1026">
      <formula>AND(M26,J26="",G26&lt;&gt;"v.H.-Satz",H26="")</formula>
    </cfRule>
    <cfRule type="expression" dxfId="200" priority="1027">
      <formula>AND(M26,G26="v.H.-Satz")</formula>
    </cfRule>
    <cfRule type="expression" dxfId="199" priority="1257">
      <formula>M26=FALSE</formula>
    </cfRule>
    <cfRule type="expression" dxfId="198" priority="1260">
      <formula>AND(M26,J26="",G26&lt;&gt;"v.H.-Satz",H26="")</formula>
    </cfRule>
    <cfRule type="expression" dxfId="197" priority="1261">
      <formula>AND(M26,G26="v.H.-Satz")</formula>
    </cfRule>
  </conditionalFormatting>
  <conditionalFormatting sqref="J31">
    <cfRule type="expression" dxfId="196" priority="997">
      <formula>M31=FALSE</formula>
    </cfRule>
    <cfRule type="expression" dxfId="195" priority="1000">
      <formula>AND(M31,J31="",G31&lt;&gt;"v.H.-Satz",H31="")</formula>
    </cfRule>
    <cfRule type="expression" dxfId="194" priority="1001">
      <formula>AND(M31,G31="v.H.-Satz")</formula>
    </cfRule>
  </conditionalFormatting>
  <conditionalFormatting sqref="J33">
    <cfRule type="expression" dxfId="193" priority="959">
      <formula>M33=FALSE</formula>
    </cfRule>
    <cfRule type="expression" dxfId="192" priority="962">
      <formula>AND(M33,J33="",G33&lt;&gt;"v.H.-Satz",H33="")</formula>
    </cfRule>
    <cfRule type="expression" dxfId="191" priority="963">
      <formula>AND(M33,G33="v.H.-Satz")</formula>
    </cfRule>
    <cfRule type="expression" dxfId="190" priority="991">
      <formula>M33=FALSE</formula>
    </cfRule>
    <cfRule type="expression" dxfId="189" priority="994">
      <formula>AND(M33,J33="",G33&lt;&gt;"v.H.-Satz",H33="")</formula>
    </cfRule>
    <cfRule type="expression" dxfId="188" priority="995">
      <formula>AND(M33,G33="v.H.-Satz")</formula>
    </cfRule>
  </conditionalFormatting>
  <conditionalFormatting sqref="J35">
    <cfRule type="expression" dxfId="187" priority="945">
      <formula>M35=FALSE</formula>
    </cfRule>
    <cfRule type="expression" dxfId="186" priority="948">
      <formula>AND(M35,J35="",G35&lt;&gt;"v.H.-Satz",H35="")</formula>
    </cfRule>
    <cfRule type="expression" dxfId="185" priority="949">
      <formula>AND(M35,G35="v.H.-Satz")</formula>
    </cfRule>
    <cfRule type="expression" dxfId="184" priority="952">
      <formula>M35=FALSE</formula>
    </cfRule>
    <cfRule type="expression" dxfId="183" priority="955">
      <formula>AND(M35,J35="",G35&lt;&gt;"v.H.-Satz",H35="")</formula>
    </cfRule>
    <cfRule type="expression" dxfId="182" priority="956">
      <formula>AND(M35,G35="v.H.-Satz")</formula>
    </cfRule>
    <cfRule type="expression" dxfId="181" priority="985">
      <formula>M35=FALSE</formula>
    </cfRule>
    <cfRule type="expression" dxfId="180" priority="988">
      <formula>AND(M35,J35="",G35&lt;&gt;"v.H.-Satz",H35="")</formula>
    </cfRule>
    <cfRule type="expression" dxfId="179" priority="989">
      <formula>AND(M35,G35="v.H.-Satz")</formula>
    </cfRule>
  </conditionalFormatting>
  <conditionalFormatting sqref="J37">
    <cfRule type="expression" dxfId="178" priority="924">
      <formula>M37=FALSE</formula>
    </cfRule>
    <cfRule type="expression" dxfId="177" priority="927">
      <formula>AND(M37,J37="",G37&lt;&gt;"v.H.-Satz",H37="")</formula>
    </cfRule>
    <cfRule type="expression" dxfId="176" priority="928">
      <formula>AND(M37,G37="v.H.-Satz")</formula>
    </cfRule>
    <cfRule type="expression" dxfId="175" priority="937">
      <formula>M37=FALSE</formula>
    </cfRule>
    <cfRule type="expression" dxfId="174" priority="940">
      <formula>AND(M37,J37="",G37&lt;&gt;"v.H.-Satz",H37="")</formula>
    </cfRule>
    <cfRule type="expression" dxfId="173" priority="941">
      <formula>AND(M37,G37="v.H.-Satz")</formula>
    </cfRule>
    <cfRule type="expression" dxfId="172" priority="979">
      <formula>M37=FALSE</formula>
    </cfRule>
    <cfRule type="expression" dxfId="171" priority="982">
      <formula>AND(M37,J37="",G37&lt;&gt;"v.H.-Satz",H37="")</formula>
    </cfRule>
    <cfRule type="expression" dxfId="170" priority="983">
      <formula>AND(M37,G37="v.H.-Satz")</formula>
    </cfRule>
  </conditionalFormatting>
  <conditionalFormatting sqref="J39">
    <cfRule type="expression" dxfId="169" priority="910">
      <formula>M39=FALSE</formula>
    </cfRule>
    <cfRule type="expression" dxfId="168" priority="913">
      <formula>AND(M39,J39="",G39&lt;&gt;"v.H.-Satz",H39="")</formula>
    </cfRule>
    <cfRule type="expression" dxfId="167" priority="914">
      <formula>AND(M39,G39="v.H.-Satz")</formula>
    </cfRule>
    <cfRule type="expression" dxfId="166" priority="917">
      <formula>M39=FALSE</formula>
    </cfRule>
    <cfRule type="expression" dxfId="165" priority="920">
      <formula>AND(M39,J39="",G39&lt;&gt;"v.H.-Satz",H39="")</formula>
    </cfRule>
    <cfRule type="expression" dxfId="164" priority="921">
      <formula>AND(M39,G39="v.H.-Satz")</formula>
    </cfRule>
    <cfRule type="expression" dxfId="163" priority="931">
      <formula>M39=FALSE</formula>
    </cfRule>
    <cfRule type="expression" dxfId="162" priority="934">
      <formula>AND(M39,J39="",G39&lt;&gt;"v.H.-Satz",H39="")</formula>
    </cfRule>
    <cfRule type="expression" dxfId="161" priority="935">
      <formula>AND(M39,G39="v.H.-Satz")</formula>
    </cfRule>
    <cfRule type="expression" dxfId="160" priority="973">
      <formula>M39=FALSE</formula>
    </cfRule>
    <cfRule type="expression" dxfId="159" priority="976">
      <formula>AND(M39,J39="",G39&lt;&gt;"v.H.-Satz",H39="")</formula>
    </cfRule>
    <cfRule type="expression" dxfId="158" priority="977">
      <formula>AND(M39,G39="v.H.-Satz")</formula>
    </cfRule>
  </conditionalFormatting>
  <conditionalFormatting sqref="J41">
    <cfRule type="expression" dxfId="157" priority="889">
      <formula>M41=FALSE</formula>
    </cfRule>
    <cfRule type="expression" dxfId="156" priority="892">
      <formula>AND(M41,J41="",G41&lt;&gt;"v.H.-Satz",H41="")</formula>
    </cfRule>
    <cfRule type="expression" dxfId="155" priority="893">
      <formula>AND(M41,G41="v.H.-Satz")</formula>
    </cfRule>
    <cfRule type="expression" dxfId="154" priority="896">
      <formula>M41=FALSE</formula>
    </cfRule>
    <cfRule type="expression" dxfId="153" priority="899">
      <formula>AND(M41,J41="",G41&lt;&gt;"v.H.-Satz",H41="")</formula>
    </cfRule>
    <cfRule type="expression" dxfId="152" priority="900">
      <formula>AND(M41,G41="v.H.-Satz")</formula>
    </cfRule>
    <cfRule type="expression" dxfId="151" priority="903">
      <formula>M41=FALSE</formula>
    </cfRule>
    <cfRule type="expression" dxfId="150" priority="906">
      <formula>AND(M41,J41="",G41&lt;&gt;"v.H.-Satz",H41="")</formula>
    </cfRule>
    <cfRule type="expression" dxfId="149" priority="907">
      <formula>AND(M41,G41="v.H.-Satz")</formula>
    </cfRule>
    <cfRule type="expression" dxfId="148" priority="967">
      <formula>M41=FALSE</formula>
    </cfRule>
    <cfRule type="expression" dxfId="147" priority="970">
      <formula>AND(M41,J41="",G41&lt;&gt;"v.H.-Satz",H41="")</formula>
    </cfRule>
    <cfRule type="expression" dxfId="146" priority="971">
      <formula>AND(M41,G41="v.H.-Satz")</formula>
    </cfRule>
  </conditionalFormatting>
  <conditionalFormatting sqref="J46">
    <cfRule type="expression" dxfId="145" priority="320">
      <formula>M46=FALSE</formula>
    </cfRule>
    <cfRule type="expression" dxfId="144" priority="323">
      <formula>AND(M46,J46="",G46&lt;&gt;"v.H.-Satz",H46="")</formula>
    </cfRule>
    <cfRule type="expression" dxfId="143" priority="324">
      <formula>AND(M46,G46="v.H.-Satz")</formula>
    </cfRule>
  </conditionalFormatting>
  <conditionalFormatting sqref="J48">
    <cfRule type="expression" dxfId="142" priority="301">
      <formula>M48=FALSE</formula>
    </cfRule>
    <cfRule type="expression" dxfId="141" priority="304">
      <formula>AND(M48,J48="",G48&lt;&gt;"v.H.-Satz",H48="")</formula>
    </cfRule>
    <cfRule type="expression" dxfId="140" priority="305">
      <formula>AND(M48,G48="v.H.-Satz")</formula>
    </cfRule>
    <cfRule type="expression" dxfId="139" priority="307">
      <formula>M48=FALSE</formula>
    </cfRule>
    <cfRule type="expression" dxfId="138" priority="310">
      <formula>AND(M48,J48="",G48&lt;&gt;"v.H.-Satz",H48="")</formula>
    </cfRule>
    <cfRule type="expression" dxfId="137" priority="311">
      <formula>AND(M48,G48="v.H.-Satz")</formula>
    </cfRule>
  </conditionalFormatting>
  <conditionalFormatting sqref="J50">
    <cfRule type="expression" dxfId="136" priority="283">
      <formula>M50=FALSE</formula>
    </cfRule>
    <cfRule type="expression" dxfId="135" priority="286">
      <formula>AND(M50,J50="",G50&lt;&gt;"v.H.-Satz",H50="")</formula>
    </cfRule>
    <cfRule type="expression" dxfId="134" priority="287">
      <formula>AND(M50,G50="v.H.-Satz")</formula>
    </cfRule>
    <cfRule type="expression" dxfId="133" priority="289">
      <formula>M50=FALSE</formula>
    </cfRule>
    <cfRule type="expression" dxfId="132" priority="292">
      <formula>AND(M50,J50="",G50&lt;&gt;"v.H.-Satz",H50="")</formula>
    </cfRule>
    <cfRule type="expression" dxfId="131" priority="293">
      <formula>AND(M50,G50="v.H.-Satz")</formula>
    </cfRule>
  </conditionalFormatting>
  <conditionalFormatting sqref="J52">
    <cfRule type="expression" dxfId="130" priority="265">
      <formula>M52=FALSE</formula>
    </cfRule>
    <cfRule type="expression" dxfId="129" priority="268">
      <formula>AND(M52,J52="",G52&lt;&gt;"v.H.-Satz",H52="")</formula>
    </cfRule>
    <cfRule type="expression" dxfId="128" priority="269">
      <formula>AND(M52,G52="v.H.-Satz")</formula>
    </cfRule>
    <cfRule type="expression" dxfId="127" priority="271">
      <formula>M52=FALSE</formula>
    </cfRule>
    <cfRule type="expression" dxfId="126" priority="274">
      <formula>AND(M52,J52="",G52&lt;&gt;"v.H.-Satz",H52="")</formula>
    </cfRule>
    <cfRule type="expression" dxfId="125" priority="275">
      <formula>AND(M52,G52="v.H.-Satz")</formula>
    </cfRule>
  </conditionalFormatting>
  <conditionalFormatting sqref="J54">
    <cfRule type="expression" dxfId="124" priority="247">
      <formula>M54=FALSE</formula>
    </cfRule>
    <cfRule type="expression" dxfId="123" priority="250">
      <formula>AND(M54,J54="",G54&lt;&gt;"v.H.-Satz",H54="")</formula>
    </cfRule>
    <cfRule type="expression" dxfId="122" priority="251">
      <formula>AND(M54,G54="v.H.-Satz")</formula>
    </cfRule>
    <cfRule type="expression" dxfId="121" priority="253">
      <formula>M54=FALSE</formula>
    </cfRule>
    <cfRule type="expression" dxfId="120" priority="256">
      <formula>AND(M54,J54="",G54&lt;&gt;"v.H.-Satz",H54="")</formula>
    </cfRule>
    <cfRule type="expression" dxfId="119" priority="257">
      <formula>AND(M54,G54="v.H.-Satz")</formula>
    </cfRule>
  </conditionalFormatting>
  <conditionalFormatting sqref="J56">
    <cfRule type="expression" dxfId="118" priority="229">
      <formula>M56=FALSE</formula>
    </cfRule>
    <cfRule type="expression" dxfId="117" priority="232">
      <formula>AND(M56,J56="",G56&lt;&gt;"v.H.-Satz",H56="")</formula>
    </cfRule>
    <cfRule type="expression" dxfId="116" priority="233">
      <formula>AND(M56,G56="v.H.-Satz")</formula>
    </cfRule>
    <cfRule type="expression" dxfId="115" priority="235">
      <formula>M56=FALSE</formula>
    </cfRule>
    <cfRule type="expression" dxfId="114" priority="238">
      <formula>AND(M56,J56="",G56&lt;&gt;"v.H.-Satz",H56="")</formula>
    </cfRule>
    <cfRule type="expression" dxfId="113" priority="239">
      <formula>AND(M56,G56="v.H.-Satz")</formula>
    </cfRule>
  </conditionalFormatting>
  <conditionalFormatting sqref="J61">
    <cfRule type="expression" dxfId="112" priority="498">
      <formula>M61=FALSE</formula>
    </cfRule>
    <cfRule type="expression" dxfId="111" priority="501">
      <formula>AND(M61,J61="",G61&lt;&gt;"v.H.-Satz",H61="")</formula>
    </cfRule>
    <cfRule type="expression" dxfId="110" priority="502">
      <formula>AND(M61,G61="v.H.-Satz")</formula>
    </cfRule>
    <cfRule type="expression" dxfId="109" priority="504">
      <formula>M61=FALSE</formula>
    </cfRule>
    <cfRule type="expression" dxfId="108" priority="507">
      <formula>AND(M61,J61="",G61&lt;&gt;"v.H.-Satz",H61="")</formula>
    </cfRule>
    <cfRule type="expression" dxfId="107" priority="508">
      <formula>AND(M61,G61="v.H.-Satz")</formula>
    </cfRule>
    <cfRule type="expression" dxfId="106" priority="510">
      <formula>M61=FALSE</formula>
    </cfRule>
    <cfRule type="expression" dxfId="105" priority="513">
      <formula>AND(M61,J61="",G61&lt;&gt;"v.H.-Satz",H61="")</formula>
    </cfRule>
    <cfRule type="expression" dxfId="104" priority="514">
      <formula>AND(M61,G61="v.H.-Satz")</formula>
    </cfRule>
    <cfRule type="expression" dxfId="103" priority="517">
      <formula>M61=FALSE</formula>
    </cfRule>
    <cfRule type="expression" dxfId="102" priority="520">
      <formula>AND(M61,J61="",G61&lt;&gt;"v.H.-Satz",H61="")</formula>
    </cfRule>
    <cfRule type="expression" dxfId="101" priority="521">
      <formula>AND(M61,G61="v.H.-Satz")</formula>
    </cfRule>
  </conditionalFormatting>
  <conditionalFormatting sqref="J63">
    <cfRule type="expression" dxfId="100" priority="98">
      <formula>M63=FALSE</formula>
    </cfRule>
    <cfRule type="expression" dxfId="99" priority="101">
      <formula>AND(M63,J63="",G63&lt;&gt;"v.H.-Satz",H63="")</formula>
    </cfRule>
    <cfRule type="expression" dxfId="98" priority="102">
      <formula>AND(M63,G63="v.H.-Satz")</formula>
    </cfRule>
    <cfRule type="expression" dxfId="97" priority="104">
      <formula>M63=FALSE</formula>
    </cfRule>
    <cfRule type="expression" dxfId="96" priority="107">
      <formula>AND(M63,J63="",G63&lt;&gt;"v.H.-Satz",H63="")</formula>
    </cfRule>
    <cfRule type="expression" dxfId="95" priority="108">
      <formula>AND(M63,G63="v.H.-Satz")</formula>
    </cfRule>
    <cfRule type="expression" dxfId="94" priority="110">
      <formula>M63=FALSE</formula>
    </cfRule>
    <cfRule type="expression" dxfId="93" priority="113">
      <formula>AND(M63,J63="",G63&lt;&gt;"v.H.-Satz",H63="")</formula>
    </cfRule>
    <cfRule type="expression" dxfId="92" priority="114">
      <formula>AND(M63,G63="v.H.-Satz")</formula>
    </cfRule>
  </conditionalFormatting>
  <conditionalFormatting sqref="J65">
    <cfRule type="expression" dxfId="91" priority="726">
      <formula>M65=FALSE</formula>
    </cfRule>
    <cfRule type="expression" dxfId="90" priority="729">
      <formula>AND(M65,J65="",G65&lt;&gt;"v.H.-Satz",H65="")</formula>
    </cfRule>
    <cfRule type="expression" dxfId="89" priority="730">
      <formula>AND(M65,G65="v.H.-Satz")</formula>
    </cfRule>
    <cfRule type="expression" dxfId="88" priority="733">
      <formula>M65=FALSE</formula>
    </cfRule>
    <cfRule type="expression" dxfId="87" priority="736">
      <formula>AND(M65,J65="",G65&lt;&gt;"v.H.-Satz",H65="")</formula>
    </cfRule>
    <cfRule type="expression" dxfId="86" priority="737">
      <formula>AND(M65,G65="v.H.-Satz")</formula>
    </cfRule>
    <cfRule type="expression" dxfId="85" priority="759">
      <formula>M65=FALSE</formula>
    </cfRule>
    <cfRule type="expression" dxfId="84" priority="762">
      <formula>AND(M65,J65="",G65&lt;&gt;"v.H.-Satz",H65="")</formula>
    </cfRule>
    <cfRule type="expression" dxfId="83" priority="763">
      <formula>AND(M65,G65="v.H.-Satz")</formula>
    </cfRule>
  </conditionalFormatting>
  <conditionalFormatting sqref="J67">
    <cfRule type="expression" dxfId="82" priority="705">
      <formula>M67=FALSE</formula>
    </cfRule>
    <cfRule type="expression" dxfId="81" priority="708">
      <formula>AND(M67,J67="",G67&lt;&gt;"v.H.-Satz",H67="")</formula>
    </cfRule>
    <cfRule type="expression" dxfId="80" priority="709">
      <formula>AND(M67,G67="v.H.-Satz")</formula>
    </cfRule>
    <cfRule type="expression" dxfId="79" priority="718">
      <formula>M67=FALSE</formula>
    </cfRule>
    <cfRule type="expression" dxfId="78" priority="721">
      <formula>AND(M67,J67="",G67&lt;&gt;"v.H.-Satz",H67="")</formula>
    </cfRule>
    <cfRule type="expression" dxfId="77" priority="722">
      <formula>AND(M67,G67="v.H.-Satz")</formula>
    </cfRule>
    <cfRule type="expression" dxfId="76" priority="753">
      <formula>M67=FALSE</formula>
    </cfRule>
    <cfRule type="expression" dxfId="75" priority="756">
      <formula>AND(M67,J67="",G67&lt;&gt;"v.H.-Satz",H67="")</formula>
    </cfRule>
    <cfRule type="expression" dxfId="74" priority="757">
      <formula>AND(M67,G67="v.H.-Satz")</formula>
    </cfRule>
  </conditionalFormatting>
  <conditionalFormatting sqref="J69">
    <cfRule type="expression" dxfId="73" priority="691">
      <formula>M69=FALSE</formula>
    </cfRule>
    <cfRule type="expression" dxfId="72" priority="694">
      <formula>AND(M69,J69="",G69&lt;&gt;"v.H.-Satz",H69="")</formula>
    </cfRule>
    <cfRule type="expression" dxfId="71" priority="695">
      <formula>AND(M69,G69="v.H.-Satz")</formula>
    </cfRule>
    <cfRule type="expression" dxfId="70" priority="698">
      <formula>M69=FALSE</formula>
    </cfRule>
    <cfRule type="expression" dxfId="69" priority="701">
      <formula>AND(M69,J69="",G69&lt;&gt;"v.H.-Satz",H69="")</formula>
    </cfRule>
    <cfRule type="expression" dxfId="68" priority="702">
      <formula>AND(M69,G69="v.H.-Satz")</formula>
    </cfRule>
    <cfRule type="expression" dxfId="67" priority="712">
      <formula>M69=FALSE</formula>
    </cfRule>
    <cfRule type="expression" dxfId="66" priority="715">
      <formula>AND(M69,J69="",G69&lt;&gt;"v.H.-Satz",H69="")</formula>
    </cfRule>
    <cfRule type="expression" dxfId="65" priority="716">
      <formula>AND(M69,G69="v.H.-Satz")</formula>
    </cfRule>
    <cfRule type="expression" dxfId="64" priority="747">
      <formula>M69=FALSE</formula>
    </cfRule>
    <cfRule type="expression" dxfId="63" priority="750">
      <formula>AND(M69,J69="",G69&lt;&gt;"v.H.-Satz",H69="")</formula>
    </cfRule>
    <cfRule type="expression" dxfId="62" priority="751">
      <formula>AND(M69,G69="v.H.-Satz")</formula>
    </cfRule>
  </conditionalFormatting>
  <conditionalFormatting sqref="J71">
    <cfRule type="expression" dxfId="61" priority="670">
      <formula>M71=FALSE</formula>
    </cfRule>
    <cfRule type="expression" dxfId="60" priority="673">
      <formula>AND(M71,J71="",G71&lt;&gt;"v.H.-Satz",H71="")</formula>
    </cfRule>
    <cfRule type="expression" dxfId="59" priority="674">
      <formula>AND(M71,G71="v.H.-Satz")</formula>
    </cfRule>
    <cfRule type="expression" dxfId="58" priority="677">
      <formula>M71=FALSE</formula>
    </cfRule>
    <cfRule type="expression" dxfId="57" priority="680">
      <formula>AND(M71,J71="",G71&lt;&gt;"v.H.-Satz",H71="")</formula>
    </cfRule>
    <cfRule type="expression" dxfId="56" priority="681">
      <formula>AND(M71,G71="v.H.-Satz")</formula>
    </cfRule>
    <cfRule type="expression" dxfId="55" priority="684">
      <formula>M71=FALSE</formula>
    </cfRule>
    <cfRule type="expression" dxfId="54" priority="687">
      <formula>AND(M71,J71="",G71&lt;&gt;"v.H.-Satz",H71="")</formula>
    </cfRule>
    <cfRule type="expression" dxfId="53" priority="688">
      <formula>AND(M71,G71="v.H.-Satz")</formula>
    </cfRule>
    <cfRule type="expression" dxfId="52" priority="741">
      <formula>M71=FALSE</formula>
    </cfRule>
    <cfRule type="expression" dxfId="51" priority="744">
      <formula>AND(M71,J71="",G71&lt;&gt;"v.H.-Satz",H71="")</formula>
    </cfRule>
    <cfRule type="expression" dxfId="50" priority="745">
      <formula>AND(M71,G71="v.H.-Satz")</formula>
    </cfRule>
  </conditionalFormatting>
  <conditionalFormatting sqref="J76">
    <cfRule type="expression" dxfId="49" priority="539">
      <formula>M76=FALSE</formula>
    </cfRule>
    <cfRule type="expression" dxfId="48" priority="542">
      <formula>AND(M76,J76="",G76&lt;&gt;"v.H.-Satz",H76="")</formula>
    </cfRule>
    <cfRule type="expression" dxfId="47" priority="543">
      <formula>AND(M76,G76="v.H.-Satz")</formula>
    </cfRule>
    <cfRule type="expression" dxfId="46" priority="551">
      <formula>M76=FALSE</formula>
    </cfRule>
    <cfRule type="expression" dxfId="45" priority="554">
      <formula>AND(M76,J76="",G76&lt;&gt;"v.H.-Satz",H76="")</formula>
    </cfRule>
    <cfRule type="expression" dxfId="44" priority="555">
      <formula>AND(M76,G76="v.H.-Satz")</formula>
    </cfRule>
    <cfRule type="expression" dxfId="43" priority="564">
      <formula>M76=FALSE</formula>
    </cfRule>
    <cfRule type="expression" dxfId="42" priority="567">
      <formula>AND(M76,J76="",G76&lt;&gt;"v.H.-Satz",H76="")</formula>
    </cfRule>
    <cfRule type="expression" dxfId="41" priority="568">
      <formula>AND(M76,G76="v.H.-Satz")</formula>
    </cfRule>
  </conditionalFormatting>
  <conditionalFormatting sqref="J78">
    <cfRule type="expression" dxfId="40" priority="527">
      <formula>M78=FALSE</formula>
    </cfRule>
    <cfRule type="expression" dxfId="39" priority="530">
      <formula>AND(M78,J78="",G78&lt;&gt;"v.H.-Satz",H78="")</formula>
    </cfRule>
    <cfRule type="expression" dxfId="38" priority="531">
      <formula>AND(M78,G78="v.H.-Satz")</formula>
    </cfRule>
    <cfRule type="expression" dxfId="37" priority="533">
      <formula>M78=FALSE</formula>
    </cfRule>
    <cfRule type="expression" dxfId="36" priority="536">
      <formula>AND(M78,J78="",G78&lt;&gt;"v.H.-Satz",H78="")</formula>
    </cfRule>
    <cfRule type="expression" dxfId="35" priority="537">
      <formula>AND(M78,G78="v.H.-Satz")</formula>
    </cfRule>
    <cfRule type="expression" dxfId="34" priority="545">
      <formula>M78=FALSE</formula>
    </cfRule>
    <cfRule type="expression" dxfId="33" priority="548">
      <formula>AND(M78,J78="",G78&lt;&gt;"v.H.-Satz",H78="")</formula>
    </cfRule>
    <cfRule type="expression" dxfId="32" priority="549">
      <formula>AND(M78,G78="v.H.-Satz")</formula>
    </cfRule>
    <cfRule type="expression" dxfId="31" priority="558">
      <formula>M78=FALSE</formula>
    </cfRule>
    <cfRule type="expression" dxfId="30" priority="561">
      <formula>AND(M78,J78="",G78&lt;&gt;"v.H.-Satz",H78="")</formula>
    </cfRule>
    <cfRule type="expression" dxfId="29" priority="562">
      <formula>AND(M78,G78="v.H.-Satz")</formula>
    </cfRule>
  </conditionalFormatting>
  <conditionalFormatting sqref="J80">
    <cfRule type="expression" dxfId="28" priority="627">
      <formula>M80=FALSE</formula>
    </cfRule>
    <cfRule type="expression" dxfId="27" priority="630">
      <formula>AND(M80,J80="",G80&lt;&gt;"v.H.-Satz",H80="")</formula>
    </cfRule>
    <cfRule type="expression" dxfId="26" priority="631">
      <formula>AND(M80,G80="v.H.-Satz")</formula>
    </cfRule>
    <cfRule type="expression" dxfId="25" priority="634">
      <formula>M80=FALSE</formula>
    </cfRule>
    <cfRule type="expression" dxfId="24" priority="637">
      <formula>AND(M80,J80="",G80&lt;&gt;"v.H.-Satz",H80="")</formula>
    </cfRule>
    <cfRule type="expression" dxfId="23" priority="638">
      <formula>AND(M80,G80="v.H.-Satz")</formula>
    </cfRule>
    <cfRule type="expression" dxfId="22" priority="660">
      <formula>M80=FALSE</formula>
    </cfRule>
    <cfRule type="expression" dxfId="21" priority="663">
      <formula>AND(M80,J80="",G80&lt;&gt;"v.H.-Satz",H80="")</formula>
    </cfRule>
    <cfRule type="expression" dxfId="20" priority="664">
      <formula>AND(M80,G80="v.H.-Satz")</formula>
    </cfRule>
  </conditionalFormatting>
  <dataValidations count="2">
    <dataValidation type="list" allowBlank="1" showInputMessage="1" showErrorMessage="1" sqref="G31 G16 G18 G20 G22 G26 G41 G33 G35 G37 G39 G14 G46 G48 G50 G52 G54 G56 G80 G65 G67 G69 G71 G78 G24 G61 G76 G63">
      <formula1>"v.H.-Satz,pauschal"</formula1>
    </dataValidation>
    <dataValidation allowBlank="1" showErrorMessage="1" sqref="E14 E67 E56:F56 E16 E54 E22:F22 E26:F26 F23:F25 E41:F41 F27 F32:F40 E24 E33 F21 E35 E20:F20 E46 E18 E37 E31:F31 E48:F48 F42 F49:F55 E39 E50 E69 E65 E71 F76:F81 E52 F57 F63:F72 E80"/>
  </dataValidations>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Februar 2023&amp;R&amp;P</oddFooter>
  </headerFooter>
  <rowBreaks count="4" manualBreakCount="4">
    <brk id="29" max="11" man="1"/>
    <brk id="44" max="11" man="1"/>
    <brk id="59" max="11" man="1"/>
    <brk id="7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Kontrollkästchen 2">
              <controlPr defaultSize="0" autoFill="0" autoLine="0" autoPict="0" altText="">
                <anchor moveWithCells="1">
                  <from>
                    <xdr:col>1</xdr:col>
                    <xdr:colOff>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ltText="">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ltText="">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ltText="">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40966" r:id="rId9" name="Check Box 6">
              <controlPr defaultSize="0" autoFill="0" autoLine="0" autoPict="0" altText="">
                <anchor moveWithCells="1">
                  <from>
                    <xdr:col>1</xdr:col>
                    <xdr:colOff>0</xdr:colOff>
                    <xdr:row>47</xdr:row>
                    <xdr:rowOff>0</xdr:rowOff>
                  </from>
                  <to>
                    <xdr:col>2</xdr:col>
                    <xdr:colOff>0</xdr:colOff>
                    <xdr:row>48</xdr:row>
                    <xdr:rowOff>0</xdr:rowOff>
                  </to>
                </anchor>
              </controlPr>
            </control>
          </mc:Choice>
        </mc:AlternateContent>
        <mc:AlternateContent xmlns:mc="http://schemas.openxmlformats.org/markup-compatibility/2006">
          <mc:Choice Requires="x14">
            <control shapeId="40967" r:id="rId10" name="Check Box 7">
              <controlPr defaultSize="0" autoFill="0" autoLine="0" autoPict="0" altText="">
                <anchor moveWithCells="1">
                  <from>
                    <xdr:col>1</xdr:col>
                    <xdr:colOff>0</xdr:colOff>
                    <xdr:row>49</xdr:row>
                    <xdr:rowOff>0</xdr:rowOff>
                  </from>
                  <to>
                    <xdr:col>2</xdr:col>
                    <xdr:colOff>0</xdr:colOff>
                    <xdr:row>50</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ltText="">
                <anchor moveWithCells="1">
                  <from>
                    <xdr:col>1</xdr:col>
                    <xdr:colOff>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ltText="">
                <anchor moveWithCells="1">
                  <from>
                    <xdr:col>1</xdr:col>
                    <xdr:colOff>0</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40970" r:id="rId13" name="Check Box 10">
              <controlPr defaultSize="0" autoFill="0" autoLine="0" autoPict="0" altText="">
                <anchor moveWithCells="1">
                  <from>
                    <xdr:col>1</xdr:col>
                    <xdr:colOff>0</xdr:colOff>
                    <xdr:row>55</xdr:row>
                    <xdr:rowOff>0</xdr:rowOff>
                  </from>
                  <to>
                    <xdr:col>2</xdr:col>
                    <xdr:colOff>0</xdr:colOff>
                    <xdr:row>56</xdr:row>
                    <xdr:rowOff>0</xdr:rowOff>
                  </to>
                </anchor>
              </controlPr>
            </control>
          </mc:Choice>
        </mc:AlternateContent>
        <mc:AlternateContent xmlns:mc="http://schemas.openxmlformats.org/markup-compatibility/2006">
          <mc:Choice Requires="x14">
            <control shapeId="40974" r:id="rId14" name="Check Box 14">
              <controlPr defaultSize="0" autoFill="0" autoLine="0" autoPict="0" altText="3 Fahrstreifen">
                <anchor moveWithCells="1">
                  <from>
                    <xdr:col>1</xdr:col>
                    <xdr:colOff>0</xdr:colOff>
                    <xdr:row>75</xdr:row>
                    <xdr:rowOff>0</xdr:rowOff>
                  </from>
                  <to>
                    <xdr:col>2</xdr:col>
                    <xdr:colOff>0</xdr:colOff>
                    <xdr:row>76</xdr:row>
                    <xdr:rowOff>0</xdr:rowOff>
                  </to>
                </anchor>
              </controlPr>
            </control>
          </mc:Choice>
        </mc:AlternateContent>
        <mc:AlternateContent xmlns:mc="http://schemas.openxmlformats.org/markup-compatibility/2006">
          <mc:Choice Requires="x14">
            <control shapeId="40975" r:id="rId15" name="Check Box 15">
              <controlPr defaultSize="0" autoFill="0" autoLine="0" autoPict="0" altText="3 Fahrstreifen">
                <anchor moveWithCells="1">
                  <from>
                    <xdr:col>1</xdr:col>
                    <xdr:colOff>0</xdr:colOff>
                    <xdr:row>77</xdr:row>
                    <xdr:rowOff>0</xdr:rowOff>
                  </from>
                  <to>
                    <xdr:col>2</xdr:col>
                    <xdr:colOff>0</xdr:colOff>
                    <xdr:row>78</xdr:row>
                    <xdr:rowOff>0</xdr:rowOff>
                  </to>
                </anchor>
              </controlPr>
            </control>
          </mc:Choice>
        </mc:AlternateContent>
        <mc:AlternateContent xmlns:mc="http://schemas.openxmlformats.org/markup-compatibility/2006">
          <mc:Choice Requires="x14">
            <control shapeId="40976" r:id="rId16" name="Check Box 16">
              <controlPr defaultSize="0" autoFill="0" autoLine="0" autoPict="0" altText="">
                <anchor moveWithCells="1">
                  <from>
                    <xdr:col>1</xdr:col>
                    <xdr:colOff>0</xdr:colOff>
                    <xdr:row>62</xdr:row>
                    <xdr:rowOff>0</xdr:rowOff>
                  </from>
                  <to>
                    <xdr:col>2</xdr:col>
                    <xdr:colOff>0</xdr:colOff>
                    <xdr:row>63</xdr:row>
                    <xdr:rowOff>0</xdr:rowOff>
                  </to>
                </anchor>
              </controlPr>
            </control>
          </mc:Choice>
        </mc:AlternateContent>
        <mc:AlternateContent xmlns:mc="http://schemas.openxmlformats.org/markup-compatibility/2006">
          <mc:Choice Requires="x14">
            <control shapeId="40977" r:id="rId17" name="Check Box 17">
              <controlPr defaultSize="0" autoFill="0" autoLine="0" autoPict="0" altText="">
                <anchor moveWithCells="1">
                  <from>
                    <xdr:col>1</xdr:col>
                    <xdr:colOff>0</xdr:colOff>
                    <xdr:row>60</xdr:row>
                    <xdr:rowOff>0</xdr:rowOff>
                  </from>
                  <to>
                    <xdr:col>2</xdr:col>
                    <xdr:colOff>0</xdr:colOff>
                    <xdr:row>61</xdr:row>
                    <xdr:rowOff>0</xdr:rowOff>
                  </to>
                </anchor>
              </controlPr>
            </control>
          </mc:Choice>
        </mc:AlternateContent>
        <mc:AlternateContent xmlns:mc="http://schemas.openxmlformats.org/markup-compatibility/2006">
          <mc:Choice Requires="x14">
            <control shapeId="40985" r:id="rId18" name="Check Box 25">
              <controlPr defaultSize="0" autoFill="0" autoLine="0" autoPict="0" altText="">
                <anchor moveWithCells="1">
                  <from>
                    <xdr:col>1</xdr:col>
                    <xdr:colOff>0</xdr:colOff>
                    <xdr:row>45</xdr:row>
                    <xdr:rowOff>0</xdr:rowOff>
                  </from>
                  <to>
                    <xdr:col>2</xdr:col>
                    <xdr:colOff>0</xdr:colOff>
                    <xdr:row>46</xdr:row>
                    <xdr:rowOff>0</xdr:rowOff>
                  </to>
                </anchor>
              </controlPr>
            </control>
          </mc:Choice>
        </mc:AlternateContent>
        <mc:AlternateContent xmlns:mc="http://schemas.openxmlformats.org/markup-compatibility/2006">
          <mc:Choice Requires="x14">
            <control shapeId="40986" r:id="rId19" name="Check Box 26">
              <controlPr defaultSize="0" autoFill="0" autoLine="0" autoPict="0" altText="">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40987" r:id="rId20" name="Kontrollkästchen 5">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40988" r:id="rId21" name="Check Box 28">
              <controlPr defaultSize="0" autoFill="0" autoLine="0" autoPict="0" altText="">
                <anchor moveWithCells="1">
                  <from>
                    <xdr:col>1</xdr:col>
                    <xdr:colOff>0</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40989" r:id="rId22" name="Check Box 29">
              <controlPr defaultSize="0" autoFill="0" autoLine="0" autoPict="0" altText="">
                <anchor moveWithCells="1">
                  <from>
                    <xdr:col>1</xdr:col>
                    <xdr:colOff>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40990" r:id="rId23" name="Check Box 30">
              <controlPr defaultSize="0" autoFill="0" autoLine="0" autoPict="0" altText="">
                <anchor moveWithCells="1">
                  <from>
                    <xdr:col>1</xdr:col>
                    <xdr:colOff>0</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40991" r:id="rId24" name="Check Box 31">
              <controlPr defaultSize="0" autoFill="0" autoLine="0" autoPict="0" altText="">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40992" r:id="rId25" name="Check Box 32">
              <controlPr defaultSize="0" autoFill="0" autoLine="0" autoPict="0" altText="">
                <anchor moveWithCells="1">
                  <from>
                    <xdr:col>1</xdr:col>
                    <xdr:colOff>0</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41002" r:id="rId26" name="Check Box 42">
              <controlPr defaultSize="0" autoFill="0" autoLine="0" autoPict="0" altText="">
                <anchor moveWithCells="1">
                  <from>
                    <xdr:col>1</xdr:col>
                    <xdr:colOff>0</xdr:colOff>
                    <xdr:row>64</xdr:row>
                    <xdr:rowOff>0</xdr:rowOff>
                  </from>
                  <to>
                    <xdr:col>2</xdr:col>
                    <xdr:colOff>0</xdr:colOff>
                    <xdr:row>65</xdr:row>
                    <xdr:rowOff>9525</xdr:rowOff>
                  </to>
                </anchor>
              </controlPr>
            </control>
          </mc:Choice>
        </mc:AlternateContent>
        <mc:AlternateContent xmlns:mc="http://schemas.openxmlformats.org/markup-compatibility/2006">
          <mc:Choice Requires="x14">
            <control shapeId="41003" r:id="rId27" name="Check Box 43">
              <controlPr defaultSize="0" autoFill="0" autoLine="0" autoPict="0" altText="">
                <anchor moveWithCells="1">
                  <from>
                    <xdr:col>1</xdr:col>
                    <xdr:colOff>0</xdr:colOff>
                    <xdr:row>66</xdr:row>
                    <xdr:rowOff>0</xdr:rowOff>
                  </from>
                  <to>
                    <xdr:col>2</xdr:col>
                    <xdr:colOff>0</xdr:colOff>
                    <xdr:row>66</xdr:row>
                    <xdr:rowOff>209550</xdr:rowOff>
                  </to>
                </anchor>
              </controlPr>
            </control>
          </mc:Choice>
        </mc:AlternateContent>
        <mc:AlternateContent xmlns:mc="http://schemas.openxmlformats.org/markup-compatibility/2006">
          <mc:Choice Requires="x14">
            <control shapeId="41004" r:id="rId28" name="Check Box 44">
              <controlPr defaultSize="0" autoFill="0" autoLine="0" autoPict="0" altText="">
                <anchor moveWithCells="1">
                  <from>
                    <xdr:col>1</xdr:col>
                    <xdr:colOff>0</xdr:colOff>
                    <xdr:row>70</xdr:row>
                    <xdr:rowOff>0</xdr:rowOff>
                  </from>
                  <to>
                    <xdr:col>2</xdr:col>
                    <xdr:colOff>0</xdr:colOff>
                    <xdr:row>71</xdr:row>
                    <xdr:rowOff>9525</xdr:rowOff>
                  </to>
                </anchor>
              </controlPr>
            </control>
          </mc:Choice>
        </mc:AlternateContent>
        <mc:AlternateContent xmlns:mc="http://schemas.openxmlformats.org/markup-compatibility/2006">
          <mc:Choice Requires="x14">
            <control shapeId="41005" r:id="rId29" name="Check Box 45">
              <controlPr defaultSize="0" autoFill="0" autoLine="0" autoPict="0" altText="3 Fahrstreifen">
                <anchor moveWithCells="1">
                  <from>
                    <xdr:col>1</xdr:col>
                    <xdr:colOff>0</xdr:colOff>
                    <xdr:row>79</xdr:row>
                    <xdr:rowOff>0</xdr:rowOff>
                  </from>
                  <to>
                    <xdr:col>2</xdr:col>
                    <xdr:colOff>0</xdr:colOff>
                    <xdr:row>80</xdr:row>
                    <xdr:rowOff>0</xdr:rowOff>
                  </to>
                </anchor>
              </controlPr>
            </control>
          </mc:Choice>
        </mc:AlternateContent>
        <mc:AlternateContent xmlns:mc="http://schemas.openxmlformats.org/markup-compatibility/2006">
          <mc:Choice Requires="x14">
            <control shapeId="41023" r:id="rId30" name="Check Box 63">
              <controlPr defaultSize="0" autoFill="0" autoLine="0" autoPict="0" altText="">
                <anchor moveWithCells="1">
                  <from>
                    <xdr:col>1</xdr:col>
                    <xdr:colOff>0</xdr:colOff>
                    <xdr:row>68</xdr:row>
                    <xdr:rowOff>0</xdr:rowOff>
                  </from>
                  <to>
                    <xdr:col>2</xdr:col>
                    <xdr:colOff>0</xdr:colOff>
                    <xdr:row>69</xdr:row>
                    <xdr:rowOff>9525</xdr:rowOff>
                  </to>
                </anchor>
              </controlPr>
            </control>
          </mc:Choice>
        </mc:AlternateContent>
        <mc:AlternateContent xmlns:mc="http://schemas.openxmlformats.org/markup-compatibility/2006">
          <mc:Choice Requires="x14">
            <control shapeId="41034" r:id="rId31" name="Check Box 74">
              <controlPr defaultSize="0" autoFill="0" autoLine="0" autoPict="0" altText="">
                <anchor moveWithCells="1">
                  <from>
                    <xdr:col>1</xdr:col>
                    <xdr:colOff>0</xdr:colOff>
                    <xdr:row>23</xdr:row>
                    <xdr:rowOff>0</xdr:rowOff>
                  </from>
                  <to>
                    <xdr:col>2</xdr:col>
                    <xdr:colOff>0</xdr:colOff>
                    <xdr:row>24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3" id="{B51000AF-DD14-46D4-B19C-5D366B53F533}">
            <xm:f>NOT(Projektgrundlagen!$I$23)</xm:f>
            <x14:dxf>
              <font>
                <strike/>
                <color theme="0" tint="-0.14996795556505021"/>
              </font>
              <fill>
                <patternFill>
                  <bgColor theme="0"/>
                </patternFill>
              </fill>
            </x14:dxf>
          </x14:cfRule>
          <xm:sqref>B46:G57</xm:sqref>
        </x14:conditionalFormatting>
        <x14:conditionalFormatting xmlns:xm="http://schemas.microsoft.com/office/excel/2006/main">
          <x14:cfRule type="expression" priority="215" id="{2A752DBE-107F-4866-9CAC-E8D798BA02B8}">
            <xm:f>NOT(Projektgrundlagen!$I$23)</xm:f>
            <x14:dxf>
              <font>
                <strike/>
                <color theme="0" tint="-0.14996795556505021"/>
              </font>
              <fill>
                <patternFill>
                  <bgColor theme="0"/>
                </patternFill>
              </fill>
            </x14:dxf>
          </x14:cfRule>
          <xm:sqref>B61:G61</xm:sqref>
        </x14:conditionalFormatting>
        <x14:conditionalFormatting xmlns:xm="http://schemas.microsoft.com/office/excel/2006/main">
          <x14:cfRule type="expression" priority="123" id="{9A32840D-4F38-477C-A974-B6C691E5C007}">
            <xm:f>NOT(Projektgrundlagen!$I$23)</xm:f>
            <x14:dxf>
              <font>
                <strike/>
                <color theme="0" tint="-0.14996795556505021"/>
              </font>
              <fill>
                <patternFill>
                  <bgColor theme="0"/>
                </patternFill>
              </fill>
            </x14:dxf>
          </x14:cfRule>
          <xm:sqref>B14:K23</xm:sqref>
        </x14:conditionalFormatting>
        <x14:conditionalFormatting xmlns:xm="http://schemas.microsoft.com/office/excel/2006/main">
          <x14:cfRule type="expression" priority="80" id="{A6291FD7-5E89-42EC-B259-773D022E9851}">
            <xm:f>NOT(Projektgrundlagen!$I$23)</xm:f>
            <x14:dxf>
              <font>
                <strike/>
                <color theme="0" tint="-0.14996795556505021"/>
              </font>
              <fill>
                <patternFill>
                  <bgColor theme="0"/>
                </patternFill>
              </fill>
            </x14:dxf>
          </x14:cfRule>
          <xm:sqref>B24:K25</xm:sqref>
        </x14:conditionalFormatting>
        <x14:conditionalFormatting xmlns:xm="http://schemas.microsoft.com/office/excel/2006/main">
          <x14:cfRule type="expression" priority="366" id="{671E2B1F-D858-44A3-8357-65169AC9AF0C}">
            <xm:f>NOT(Projektgrundlagen!$I$23)</xm:f>
            <x14:dxf>
              <font>
                <strike/>
                <color theme="0" tint="-0.14996795556505021"/>
              </font>
              <fill>
                <patternFill>
                  <bgColor theme="0"/>
                </patternFill>
              </fill>
            </x14:dxf>
          </x14:cfRule>
          <xm:sqref>B26:K27 H46:K57</xm:sqref>
        </x14:conditionalFormatting>
        <x14:conditionalFormatting xmlns:xm="http://schemas.microsoft.com/office/excel/2006/main">
          <x14:cfRule type="expression" priority="53" id="{F7E7BB17-0956-4D9B-A007-B7CF665637C6}">
            <xm:f>NOT(Projektgrundlagen!$I$23)</xm:f>
            <x14:dxf>
              <font>
                <strike/>
                <color theme="0" tint="-0.14996795556505021"/>
              </font>
              <fill>
                <patternFill>
                  <bgColor theme="0"/>
                </patternFill>
              </fill>
            </x14:dxf>
          </x14:cfRule>
          <xm:sqref>B31:K42</xm:sqref>
        </x14:conditionalFormatting>
        <x14:conditionalFormatting xmlns:xm="http://schemas.microsoft.com/office/excel/2006/main">
          <x14:cfRule type="expression" priority="13" id="{B2C400BE-7F94-4B9B-9B63-9D8950C37265}">
            <xm:f>NOT(Projektgrundlagen!$I$23)</xm:f>
            <x14:dxf>
              <font>
                <strike/>
                <color theme="0" tint="-0.14996795556505021"/>
              </font>
              <fill>
                <patternFill>
                  <bgColor theme="0"/>
                </patternFill>
              </fill>
            </x14:dxf>
          </x14:cfRule>
          <xm:sqref>B62:K72</xm:sqref>
        </x14:conditionalFormatting>
        <x14:conditionalFormatting xmlns:xm="http://schemas.microsoft.com/office/excel/2006/main">
          <x14:cfRule type="expression" priority="1" id="{F6F1D8DD-25CA-40B6-8788-4DF875D0C552}">
            <xm:f>NOT(Projektgrundlagen!$I$23)</xm:f>
            <x14:dxf>
              <font>
                <strike/>
                <color theme="0" tint="-0.14996795556505021"/>
              </font>
              <fill>
                <patternFill>
                  <bgColor theme="0"/>
                </patternFill>
              </fill>
            </x14:dxf>
          </x14:cfRule>
          <xm:sqref>B76:K81</xm:sqref>
        </x14:conditionalFormatting>
        <x14:conditionalFormatting xmlns:xm="http://schemas.microsoft.com/office/excel/2006/main">
          <x14:cfRule type="expression" priority="516" id="{30106D88-EBF2-42BC-9FB9-63B5EB64E72C}">
            <xm:f>NOT(Projektgrundlagen!$I$23)</xm:f>
            <x14:dxf>
              <font>
                <strike/>
                <color theme="0" tint="-0.14996795556505021"/>
              </font>
              <fill>
                <patternFill>
                  <bgColor theme="0"/>
                </patternFill>
              </fill>
            </x14:dxf>
          </x14:cfRule>
          <xm:sqref>H61:J61</xm:sqref>
        </x14:conditionalFormatting>
        <x14:conditionalFormatting xmlns:xm="http://schemas.microsoft.com/office/excel/2006/main">
          <x14:cfRule type="expression" priority="159" id="{5E282FC9-1989-4856-B1F7-FE73298D5F2A}">
            <xm:f>NOT(Projektgrundlagen!$I$23)</xm:f>
            <x14:dxf>
              <font>
                <strike/>
                <color theme="0" tint="-0.14996795556505021"/>
              </font>
              <fill>
                <patternFill>
                  <bgColor theme="0"/>
                </patternFill>
              </fill>
            </x14:dxf>
          </x14:cfRule>
          <xm:sqref>K61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C00000"/>
  </sheetPr>
  <dimension ref="B2:J291"/>
  <sheetViews>
    <sheetView workbookViewId="0">
      <selection activeCell="B4" sqref="B4"/>
    </sheetView>
  </sheetViews>
  <sheetFormatPr baseColWidth="10" defaultRowHeight="12.75"/>
  <cols>
    <col min="2" max="2" width="47.28515625" customWidth="1"/>
    <col min="3" max="3" width="27.28515625" customWidth="1"/>
    <col min="4" max="4" width="10" customWidth="1"/>
    <col min="6" max="6" width="10" customWidth="1"/>
    <col min="7" max="7" width="11.85546875" bestFit="1" customWidth="1"/>
  </cols>
  <sheetData>
    <row r="2" spans="2:7">
      <c r="B2" t="s">
        <v>127</v>
      </c>
      <c r="C2" t="s">
        <v>860</v>
      </c>
      <c r="D2" t="s">
        <v>861</v>
      </c>
      <c r="E2" t="s">
        <v>862</v>
      </c>
      <c r="F2" t="s">
        <v>863</v>
      </c>
      <c r="G2" t="s">
        <v>260</v>
      </c>
    </row>
    <row r="3" spans="2:7">
      <c r="B3" t="str">
        <f>Projektgrundlagen!F2&amp;" "&amp;Projektgrundlagen!B2</f>
        <v>VII.12.4 Fachplanung Tragwerksplanung</v>
      </c>
      <c r="C3" t="str">
        <f>Projektgrundlagen!E5</f>
        <v>B63SABBD000300</v>
      </c>
      <c r="D3" t="str">
        <f>Projektgrundlagen!E6&amp;" "&amp;Projektgrundlagen!E7</f>
        <v>B 26, Erneuerung der Brücke über die Bahn bei Wernfeld Behelfsbrücke über die Bahn</v>
      </c>
      <c r="E3" t="str">
        <f>Projektgrundlagen!G5</f>
        <v>24-080603 D</v>
      </c>
      <c r="F3">
        <f>Projektgrundlagen!E8</f>
        <v>0</v>
      </c>
      <c r="G3" s="1190">
        <f>'E Honorarberechnung'!J141</f>
        <v>43165.241875</v>
      </c>
    </row>
    <row r="7" spans="2:7">
      <c r="B7" t="s">
        <v>244</v>
      </c>
      <c r="C7" t="s">
        <v>864</v>
      </c>
      <c r="D7" t="s">
        <v>865</v>
      </c>
    </row>
    <row r="8" spans="2:7">
      <c r="B8" s="1191" t="s">
        <v>905</v>
      </c>
      <c r="C8" s="1192">
        <f>'E Honorarberechnung'!I14</f>
        <v>2250000</v>
      </c>
      <c r="D8">
        <v>1</v>
      </c>
    </row>
    <row r="9" spans="2:7">
      <c r="B9" s="1191" t="s">
        <v>866</v>
      </c>
      <c r="C9" s="1193">
        <f>'E Honorarberechnung'!I15</f>
        <v>3</v>
      </c>
      <c r="D9">
        <v>2</v>
      </c>
    </row>
    <row r="10" spans="2:7">
      <c r="B10" s="1191" t="s">
        <v>867</v>
      </c>
      <c r="C10" s="1192">
        <f>'E Honorarberechnung'!J36</f>
        <v>145093.25</v>
      </c>
      <c r="D10">
        <v>3</v>
      </c>
    </row>
    <row r="11" spans="2:7">
      <c r="B11" s="1191" t="s">
        <v>868</v>
      </c>
      <c r="C11" s="1192">
        <f>'E Honorarberechnung'!I40</f>
        <v>0</v>
      </c>
      <c r="D11">
        <v>4</v>
      </c>
    </row>
    <row r="12" spans="2:7">
      <c r="B12" s="1191" t="s">
        <v>869</v>
      </c>
      <c r="C12" s="1192">
        <f>'E Honorarberechnung'!I41</f>
        <v>0</v>
      </c>
      <c r="D12">
        <v>5</v>
      </c>
    </row>
    <row r="13" spans="2:7">
      <c r="B13" t="s">
        <v>906</v>
      </c>
      <c r="C13" s="1192">
        <f>'E Honorarberechnung'!J43</f>
        <v>145093.25</v>
      </c>
      <c r="D13">
        <v>6</v>
      </c>
    </row>
    <row r="14" spans="2:7">
      <c r="B14" t="s">
        <v>870</v>
      </c>
      <c r="C14" s="1192">
        <f>'E Honorarberechnung'!I53</f>
        <v>0</v>
      </c>
      <c r="D14">
        <v>7</v>
      </c>
    </row>
    <row r="15" spans="2:7">
      <c r="B15" t="s">
        <v>871</v>
      </c>
      <c r="C15" s="1192">
        <f>'E Honorarberechnung'!I60</f>
        <v>0</v>
      </c>
      <c r="D15">
        <v>8</v>
      </c>
    </row>
    <row r="16" spans="2:7">
      <c r="B16" t="s">
        <v>872</v>
      </c>
      <c r="C16" s="1192">
        <f>'F Honorarübersicht'!E17</f>
        <v>0</v>
      </c>
      <c r="D16">
        <v>9</v>
      </c>
    </row>
    <row r="17" spans="2:4">
      <c r="B17" t="s">
        <v>873</v>
      </c>
      <c r="C17" s="1192">
        <f>'F Honorarübersicht'!I17</f>
        <v>0</v>
      </c>
      <c r="D17">
        <v>10</v>
      </c>
    </row>
    <row r="18" spans="2:4">
      <c r="B18" t="s">
        <v>874</v>
      </c>
      <c r="C18" s="1192">
        <f>'F Honorarübersicht'!E18</f>
        <v>10</v>
      </c>
      <c r="D18">
        <v>11</v>
      </c>
    </row>
    <row r="19" spans="2:4">
      <c r="B19" t="s">
        <v>875</v>
      </c>
      <c r="C19" s="1192">
        <f>'F Honorarübersicht'!I18</f>
        <v>14509.325000000001</v>
      </c>
      <c r="D19">
        <v>12</v>
      </c>
    </row>
    <row r="20" spans="2:4">
      <c r="B20" t="s">
        <v>876</v>
      </c>
      <c r="C20" s="1192">
        <f>'F Honorarübersicht'!E19</f>
        <v>15</v>
      </c>
      <c r="D20">
        <v>13</v>
      </c>
    </row>
    <row r="21" spans="2:4">
      <c r="B21" t="s">
        <v>877</v>
      </c>
      <c r="C21" s="1192">
        <f>'F Honorarübersicht'!I19</f>
        <v>21763.987499999999</v>
      </c>
      <c r="D21">
        <v>14</v>
      </c>
    </row>
    <row r="22" spans="2:4">
      <c r="B22" t="s">
        <v>878</v>
      </c>
      <c r="C22" s="1192">
        <f>'F Honorarübersicht'!E20</f>
        <v>0</v>
      </c>
      <c r="D22">
        <v>15</v>
      </c>
    </row>
    <row r="23" spans="2:4">
      <c r="B23" t="s">
        <v>879</v>
      </c>
      <c r="C23" s="1192">
        <f>'F Honorarübersicht'!I20</f>
        <v>0</v>
      </c>
      <c r="D23">
        <v>16</v>
      </c>
    </row>
    <row r="24" spans="2:4">
      <c r="B24" t="s">
        <v>880</v>
      </c>
      <c r="C24" s="1192">
        <f>'F Honorarübersicht'!E22</f>
        <v>0</v>
      </c>
      <c r="D24">
        <v>17</v>
      </c>
    </row>
    <row r="25" spans="2:4">
      <c r="B25" t="s">
        <v>881</v>
      </c>
      <c r="C25" s="1192">
        <f>'F Honorarübersicht'!I22</f>
        <v>0</v>
      </c>
      <c r="D25">
        <v>18</v>
      </c>
    </row>
    <row r="26" spans="2:4">
      <c r="B26" t="s">
        <v>882</v>
      </c>
      <c r="C26" s="1192">
        <f>'F Honorarübersicht'!E23</f>
        <v>0</v>
      </c>
      <c r="D26">
        <v>19</v>
      </c>
    </row>
    <row r="27" spans="2:4">
      <c r="B27" t="s">
        <v>883</v>
      </c>
      <c r="C27" s="1192">
        <f>'F Honorarübersicht'!I23</f>
        <v>0</v>
      </c>
      <c r="D27">
        <v>20</v>
      </c>
    </row>
    <row r="28" spans="2:4">
      <c r="B28" t="s">
        <v>884</v>
      </c>
      <c r="C28" s="1192">
        <f>'F Honorarübersicht'!E24</f>
        <v>0</v>
      </c>
      <c r="D28">
        <v>21</v>
      </c>
    </row>
    <row r="29" spans="2:4">
      <c r="B29" t="s">
        <v>885</v>
      </c>
      <c r="C29" s="1192">
        <f>'F Honorarübersicht'!I24</f>
        <v>0</v>
      </c>
      <c r="D29">
        <v>22</v>
      </c>
    </row>
    <row r="30" spans="2:4">
      <c r="B30" t="s">
        <v>886</v>
      </c>
      <c r="C30" s="1192">
        <f>'F Honorarübersicht'!E26</f>
        <v>0</v>
      </c>
      <c r="D30">
        <v>23</v>
      </c>
    </row>
    <row r="31" spans="2:4">
      <c r="B31" t="s">
        <v>887</v>
      </c>
      <c r="C31" s="1192">
        <f>'F Honorarübersicht'!I26</f>
        <v>0</v>
      </c>
      <c r="D31">
        <v>24</v>
      </c>
    </row>
    <row r="32" spans="2:4">
      <c r="B32" t="s">
        <v>888</v>
      </c>
      <c r="C32" s="1192">
        <f>'F Honorarübersicht'!E27</f>
        <v>0</v>
      </c>
      <c r="D32">
        <v>25</v>
      </c>
    </row>
    <row r="33" spans="2:10">
      <c r="B33" t="s">
        <v>889</v>
      </c>
      <c r="C33" s="1192">
        <f>'F Honorarübersicht'!I27</f>
        <v>0</v>
      </c>
      <c r="D33">
        <v>26</v>
      </c>
    </row>
    <row r="34" spans="2:10">
      <c r="B34" s="1194" t="s">
        <v>890</v>
      </c>
      <c r="C34" s="1195">
        <f>'F Honorarübersicht'!I29</f>
        <v>36273.3125</v>
      </c>
      <c r="D34">
        <v>27</v>
      </c>
    </row>
    <row r="35" spans="2:10">
      <c r="B35" s="1194" t="s">
        <v>891</v>
      </c>
      <c r="C35" s="1195">
        <f>'F Honorarübersicht'!J29</f>
        <v>0</v>
      </c>
      <c r="D35">
        <v>28</v>
      </c>
    </row>
    <row r="36" spans="2:10">
      <c r="B36" t="s">
        <v>892</v>
      </c>
      <c r="C36" s="1192">
        <f>'F Honorarübersicht'!K29</f>
        <v>36273.3125</v>
      </c>
      <c r="D36">
        <v>29</v>
      </c>
    </row>
    <row r="37" spans="2:10">
      <c r="B37" t="s">
        <v>893</v>
      </c>
      <c r="C37" s="1192">
        <f>IF('E Honorarberechnung'!L71,'E Honorarberechnung'!I71*100,"")</f>
        <v>0</v>
      </c>
      <c r="D37">
        <v>30</v>
      </c>
    </row>
    <row r="38" spans="2:10">
      <c r="B38" t="s">
        <v>894</v>
      </c>
      <c r="C38" s="1192">
        <f>'F Honorarübersicht'!L29</f>
        <v>0</v>
      </c>
      <c r="D38">
        <v>31</v>
      </c>
      <c r="J38" s="1192"/>
    </row>
    <row r="39" spans="2:10">
      <c r="B39" t="s">
        <v>895</v>
      </c>
      <c r="C39" s="1192">
        <f>'F Honorarübersicht'!M29</f>
        <v>36273.3125</v>
      </c>
      <c r="D39">
        <v>32</v>
      </c>
      <c r="J39" s="1192"/>
    </row>
    <row r="40" spans="2:10">
      <c r="B40" t="s">
        <v>896</v>
      </c>
      <c r="C40" s="1192">
        <f>'E Honorarberechnung'!I93*100</f>
        <v>19</v>
      </c>
      <c r="D40">
        <v>33</v>
      </c>
      <c r="J40" s="1192"/>
    </row>
    <row r="41" spans="2:10">
      <c r="B41" t="s">
        <v>897</v>
      </c>
      <c r="C41" s="1192">
        <f>'F Honorarübersicht'!N29</f>
        <v>6891.9293749999997</v>
      </c>
      <c r="D41">
        <v>34</v>
      </c>
      <c r="J41" s="1192"/>
    </row>
    <row r="42" spans="2:10">
      <c r="B42" s="1194" t="s">
        <v>898</v>
      </c>
      <c r="C42" s="1195">
        <f>'F Honorarübersicht'!O29</f>
        <v>43165.241875</v>
      </c>
      <c r="D42">
        <v>35</v>
      </c>
      <c r="J42" s="1192"/>
    </row>
    <row r="43" spans="2:10">
      <c r="B43" s="1196" t="str">
        <f>"15.1 "&amp;'E Honorarberechnung'!D99</f>
        <v>15.1 Ingenieur nach Ing.-Gesetz</v>
      </c>
      <c r="C43" s="1192">
        <f>'E Honorarberechnung'!I99</f>
        <v>0</v>
      </c>
      <c r="D43">
        <v>36</v>
      </c>
      <c r="I43" s="1196"/>
      <c r="J43" s="1192"/>
    </row>
    <row r="44" spans="2:10">
      <c r="B44" s="1196" t="str">
        <f>"17.1 "&amp;'E Honorarberechnung'!D99&amp;"  mit "&amp;'E Honorarberechnung'!I129&amp;" Std."</f>
        <v>17.1 Ingenieur nach Ing.-Gesetz  mit  Std.</v>
      </c>
      <c r="C44" s="1192" t="str">
        <f>'E Honorarberechnung'!J129</f>
        <v/>
      </c>
      <c r="D44">
        <v>37</v>
      </c>
      <c r="I44" s="1196"/>
      <c r="J44" s="1192"/>
    </row>
    <row r="45" spans="2:10">
      <c r="B45" s="1196" t="str">
        <f>"15.2 "&amp;'E Honorarberechnung'!D100</f>
        <v>15.2 Techniker</v>
      </c>
      <c r="C45" s="1192">
        <f>'E Honorarberechnung'!I100</f>
        <v>0</v>
      </c>
      <c r="D45">
        <v>38</v>
      </c>
      <c r="I45" s="1196"/>
      <c r="J45" s="1192"/>
    </row>
    <row r="46" spans="2:10">
      <c r="B46" s="1196" t="str">
        <f>"17.2 "&amp;'E Honorarberechnung'!D100&amp;"  mit "&amp;'E Honorarberechnung'!I130&amp;" Std."</f>
        <v>17.2 Techniker  mit  Std.</v>
      </c>
      <c r="C46" s="1192" t="str">
        <f>'E Honorarberechnung'!J130</f>
        <v/>
      </c>
      <c r="D46">
        <v>39</v>
      </c>
      <c r="I46" s="1196"/>
      <c r="J46" s="1192"/>
    </row>
    <row r="47" spans="2:10">
      <c r="B47" s="1196" t="str">
        <f>"15.3 "&amp;'E Honorarberechnung'!D101</f>
        <v xml:space="preserve">15.3 Technische Zeichner, sonst. Mitarbeiter </v>
      </c>
      <c r="C47" s="1192">
        <f>'E Honorarberechnung'!I101</f>
        <v>0</v>
      </c>
      <c r="D47">
        <v>40</v>
      </c>
      <c r="I47" s="1196"/>
      <c r="J47" s="1192"/>
    </row>
    <row r="48" spans="2:10">
      <c r="B48" s="1196" t="str">
        <f>"17.3 "&amp;'E Honorarberechnung'!D101&amp;"  mit "&amp;'E Honorarberechnung'!I131&amp;" Std."</f>
        <v>17.3 Technische Zeichner, sonst. Mitarbeiter   mit  Std.</v>
      </c>
      <c r="C48" s="1192" t="str">
        <f>'E Honorarberechnung'!J131</f>
        <v/>
      </c>
      <c r="D48">
        <v>41</v>
      </c>
      <c r="I48" s="1196"/>
      <c r="J48" s="1192"/>
    </row>
    <row r="49" spans="2:10">
      <c r="B49" s="1196" t="str">
        <f>"18 "&amp;'E Honorarberechnung'!C132</f>
        <v xml:space="preserve">18 Sonstige Vereinbarungen: </v>
      </c>
      <c r="C49" s="1192" t="str">
        <f>IFERROR('E Honorarberechnung'!J133+'E Honorarberechnung'!J134,"")</f>
        <v/>
      </c>
      <c r="D49">
        <v>42</v>
      </c>
      <c r="I49" s="1196"/>
      <c r="J49" s="1192"/>
    </row>
    <row r="50" spans="2:10">
      <c r="B50" t="s">
        <v>899</v>
      </c>
      <c r="C50" s="1192">
        <f>'E Honorarberechnung'!J138</f>
        <v>36273.3125</v>
      </c>
      <c r="D50">
        <v>43</v>
      </c>
      <c r="J50" s="1192"/>
    </row>
    <row r="51" spans="2:10">
      <c r="B51" t="s">
        <v>900</v>
      </c>
      <c r="C51" s="1192">
        <f>'E Honorarberechnung'!J139</f>
        <v>6891.9293749999997</v>
      </c>
      <c r="D51">
        <v>44</v>
      </c>
      <c r="J51" s="1192"/>
    </row>
    <row r="52" spans="2:10">
      <c r="B52" s="1194" t="s">
        <v>901</v>
      </c>
      <c r="C52" s="1195">
        <f>'E Honorarberechnung'!J141</f>
        <v>43165.241875</v>
      </c>
      <c r="D52">
        <v>45</v>
      </c>
      <c r="J52" s="1192"/>
    </row>
    <row r="53" spans="2:10">
      <c r="C53" s="1192"/>
      <c r="E53" s="1192"/>
    </row>
    <row r="54" spans="2:10">
      <c r="B54" s="1194"/>
      <c r="C54" s="1195"/>
    </row>
    <row r="55" spans="2:10">
      <c r="B55" s="1194"/>
      <c r="C55" s="1195"/>
    </row>
    <row r="56" spans="2:10">
      <c r="B56" s="1194"/>
      <c r="C56" s="1195"/>
    </row>
    <row r="57" spans="2:10">
      <c r="B57" s="1197" t="s">
        <v>902</v>
      </c>
      <c r="C57" s="1198" t="s">
        <v>43</v>
      </c>
      <c r="D57" s="1198" t="s">
        <v>42</v>
      </c>
      <c r="E57" s="1198" t="s">
        <v>903</v>
      </c>
      <c r="F57" s="1199" t="s">
        <v>904</v>
      </c>
    </row>
    <row r="58" spans="2:10">
      <c r="B58" t="str">
        <f>IF(AND(Projektgrundlagen!$I$21,'StB-D1 Besondere Lstg'!M13=TRUE),'StB-D1 Besondere Lstg'!C13&amp;" "&amp;'StB-D1 Besondere Lstg'!F13&amp;" "&amp;'StB-D1 Besondere Lstg'!F14,IF(AND(Projektgrundlagen!$I$22,'HB-D1 Besondere Lstg Land'!M13=TRUE),'HB-D1 Besondere Lstg Land'!C13&amp;" "&amp;'HB-D1 Besondere Lstg Land'!F13&amp;" "&amp;'HB-D1 Besondere Lstg Land'!F14,IF(AND(Projektgrundlagen!$I$23,'HB-D2 Besondere Lstg Bund'!M13=TRUE),'HB-D2 Besondere Lstg Bund'!C13&amp;" "&amp;'HB-D2 Besondere Lstg Bund'!F13&amp;" "&amp;'HB-D2 Besondere Lstg Bund'!F14,"")))</f>
        <v/>
      </c>
      <c r="C58" s="1192" t="str">
        <f>IF(AND(Projektgrundlagen!$I$21,'StB-D1 Besondere Lstg'!M13=TRUE),'StB-D1 Besondere Lstg'!H13,"")</f>
        <v/>
      </c>
      <c r="D58" s="1192" t="str">
        <f>IF(AND(Projektgrundlagen!$I$21,'StB-D1 Besondere Lstg'!M13=TRUE),'StB-D1 Besondere Lstg'!I13,IF(AND(Projektgrundlagen!$I$22,'HB-D1 Besondere Lstg Land'!M13=TRUE),(IF('HB-D1 Besondere Lstg Land'!H13&gt;0,"v.H.","pauschal")),IF(AND(Projektgrundlagen!$I$23,'HB-D2 Besondere Lstg Bund'!M13=TRUE),(IF('HB-D2 Besondere Lstg Bund'!H13&gt;0,"v.H.","pauschal")),"")))</f>
        <v/>
      </c>
      <c r="E58" s="1192" t="str">
        <f>IF(AND(Projektgrundlagen!$I$21,'StB-D1 Besondere Lstg'!M13=TRUE),'StB-D1 Besondere Lstg'!J13,IF(AND(Projektgrundlagen!$I$22,'HB-D1 Besondere Lstg Land'!M13=TRUE),'HB-D1 Besondere Lstg Land'!H13+'HB-D1 Besondere Lstg Land'!J13,IF(AND(Projektgrundlagen!$I$23,'HB-D2 Besondere Lstg Bund'!M13=TRUE),'HB-D2 Besondere Lstg Bund'!H13+'HB-D2 Besondere Lstg Bund'!J13,"")))</f>
        <v/>
      </c>
      <c r="F58" s="1192" t="str">
        <f>IF(AND(Projektgrundlagen!$I$21,'StB-D1 Besondere Lstg'!M13=TRUE),'StB-D1 Besondere Lstg'!K13,IF(AND(Projektgrundlagen!$I$22,'HB-D1 Besondere Lstg Land'!M13=TRUE),'HB-D1 Besondere Lstg Land'!K13,IF(AND(Projektgrundlagen!$I$23,'HB-D2 Besondere Lstg Bund'!M13=TRUE),'HB-D2 Besondere Lstg Bund'!K13,"")))</f>
        <v/>
      </c>
    </row>
    <row r="59" spans="2:10">
      <c r="B59" t="str">
        <f>IF(AND(Projektgrundlagen!$I$21,'StB-D1 Besondere Lstg'!M14=TRUE),'StB-D1 Besondere Lstg'!C14&amp;" "&amp;'StB-D1 Besondere Lstg'!F14&amp;" "&amp;'StB-D1 Besondere Lstg'!F15,IF(AND(Projektgrundlagen!$I$22,'HB-D1 Besondere Lstg Land'!M14=TRUE),'HB-D1 Besondere Lstg Land'!C14&amp;" "&amp;'HB-D1 Besondere Lstg Land'!F14&amp;" "&amp;'HB-D1 Besondere Lstg Land'!F15,IF(AND(Projektgrundlagen!$I$23,'HB-D2 Besondere Lstg Bund'!M14=TRUE),'HB-D2 Besondere Lstg Bund'!C14&amp;" "&amp;'HB-D2 Besondere Lstg Bund'!F14&amp;" "&amp;'HB-D2 Besondere Lstg Bund'!F15,"")))</f>
        <v/>
      </c>
      <c r="C59" s="1192" t="str">
        <f>IF(AND(Projektgrundlagen!$I$21,'StB-D1 Besondere Lstg'!M14=TRUE),'StB-D1 Besondere Lstg'!H14,"")</f>
        <v/>
      </c>
      <c r="D59" s="1192" t="str">
        <f>IF(AND(Projektgrundlagen!$I$21,'StB-D1 Besondere Lstg'!M14=TRUE),'StB-D1 Besondere Lstg'!I14,IF(AND(Projektgrundlagen!$I$22,'HB-D1 Besondere Lstg Land'!M14=TRUE),(IF('HB-D1 Besondere Lstg Land'!H14&gt;0,"v.H.","pauschal")),IF(AND(Projektgrundlagen!$I$23,'HB-D2 Besondere Lstg Bund'!M14=TRUE),(IF('HB-D2 Besondere Lstg Bund'!H14&gt;0,"v.H.","pauschal")),"")))</f>
        <v/>
      </c>
      <c r="E59" s="1192" t="str">
        <f>IF(AND(Projektgrundlagen!$I$21,'StB-D1 Besondere Lstg'!M14=TRUE),'StB-D1 Besondere Lstg'!J14,IF(AND(Projektgrundlagen!$I$22,'HB-D1 Besondere Lstg Land'!M14=TRUE),'HB-D1 Besondere Lstg Land'!H14+'HB-D1 Besondere Lstg Land'!J14,IF(AND(Projektgrundlagen!$I$23,'HB-D2 Besondere Lstg Bund'!M14=TRUE),'HB-D2 Besondere Lstg Bund'!H14+'HB-D2 Besondere Lstg Bund'!J14,"")))</f>
        <v/>
      </c>
      <c r="F59" s="1192" t="str">
        <f>IF(AND(Projektgrundlagen!$I$21,'StB-D1 Besondere Lstg'!M14=TRUE),'StB-D1 Besondere Lstg'!K14,IF(AND(Projektgrundlagen!$I$22,'HB-D1 Besondere Lstg Land'!M14=TRUE),'HB-D1 Besondere Lstg Land'!K14,IF(AND(Projektgrundlagen!$I$23,'HB-D2 Besondere Lstg Bund'!M14=TRUE),'HB-D2 Besondere Lstg Bund'!K14,"")))</f>
        <v/>
      </c>
    </row>
    <row r="60" spans="2:10">
      <c r="B60" t="str">
        <f>IF(AND(Projektgrundlagen!$I$21,'StB-D1 Besondere Lstg'!M15=TRUE),'StB-D1 Besondere Lstg'!C15&amp;" "&amp;'StB-D1 Besondere Lstg'!F15&amp;" "&amp;'StB-D1 Besondere Lstg'!F16,IF(AND(Projektgrundlagen!$I$22,'HB-D1 Besondere Lstg Land'!M15=TRUE),'HB-D1 Besondere Lstg Land'!C15&amp;" "&amp;'HB-D1 Besondere Lstg Land'!F15&amp;" "&amp;'HB-D1 Besondere Lstg Land'!F16,IF(AND(Projektgrundlagen!$I$23,'HB-D2 Besondere Lstg Bund'!M15=TRUE),'HB-D2 Besondere Lstg Bund'!C15&amp;" "&amp;'HB-D2 Besondere Lstg Bund'!F15&amp;" "&amp;'HB-D2 Besondere Lstg Bund'!F16,"")))</f>
        <v/>
      </c>
      <c r="C60" s="1192" t="str">
        <f>IF(AND(Projektgrundlagen!$I$21,'StB-D1 Besondere Lstg'!M15=TRUE),'StB-D1 Besondere Lstg'!H15,"")</f>
        <v/>
      </c>
      <c r="D60" s="1192" t="str">
        <f>IF(AND(Projektgrundlagen!$I$21,'StB-D1 Besondere Lstg'!M15=TRUE),'StB-D1 Besondere Lstg'!I15,IF(AND(Projektgrundlagen!$I$22,'HB-D1 Besondere Lstg Land'!M15=TRUE),(IF('HB-D1 Besondere Lstg Land'!H15&gt;0,"v.H.","pauschal")),IF(AND(Projektgrundlagen!$I$23,'HB-D2 Besondere Lstg Bund'!M15=TRUE),(IF('HB-D2 Besondere Lstg Bund'!H15&gt;0,"v.H.","pauschal")),"")))</f>
        <v/>
      </c>
      <c r="E60" s="1192" t="str">
        <f>IF(AND(Projektgrundlagen!$I$21,'StB-D1 Besondere Lstg'!M15=TRUE),'StB-D1 Besondere Lstg'!J15,IF(AND(Projektgrundlagen!$I$22,'HB-D1 Besondere Lstg Land'!M15=TRUE),'HB-D1 Besondere Lstg Land'!H15+'HB-D1 Besondere Lstg Land'!J15,IF(AND(Projektgrundlagen!$I$23,'HB-D2 Besondere Lstg Bund'!M15=TRUE),'HB-D2 Besondere Lstg Bund'!H15+'HB-D2 Besondere Lstg Bund'!J15,"")))</f>
        <v/>
      </c>
      <c r="F60" s="1192" t="str">
        <f>IF(AND(Projektgrundlagen!$I$21,'StB-D1 Besondere Lstg'!M15=TRUE),'StB-D1 Besondere Lstg'!K15,IF(AND(Projektgrundlagen!$I$22,'HB-D1 Besondere Lstg Land'!M15=TRUE),'HB-D1 Besondere Lstg Land'!K15,IF(AND(Projektgrundlagen!$I$23,'HB-D2 Besondere Lstg Bund'!M15=TRUE),'HB-D2 Besondere Lstg Bund'!K15,"")))</f>
        <v/>
      </c>
    </row>
    <row r="61" spans="2:10">
      <c r="B61" t="str">
        <f>IF(AND(Projektgrundlagen!$I$21,'StB-D1 Besondere Lstg'!M16=TRUE),'StB-D1 Besondere Lstg'!C16&amp;" "&amp;'StB-D1 Besondere Lstg'!F16&amp;" "&amp;'StB-D1 Besondere Lstg'!F17,IF(AND(Projektgrundlagen!$I$22,'HB-D1 Besondere Lstg Land'!M16=TRUE),'HB-D1 Besondere Lstg Land'!C16&amp;" "&amp;'HB-D1 Besondere Lstg Land'!F16&amp;" "&amp;'HB-D1 Besondere Lstg Land'!F17,IF(AND(Projektgrundlagen!$I$23,'HB-D2 Besondere Lstg Bund'!M16=TRUE),'HB-D2 Besondere Lstg Bund'!C16&amp;" "&amp;'HB-D2 Besondere Lstg Bund'!F16&amp;" "&amp;'HB-D2 Besondere Lstg Bund'!F17,"")))</f>
        <v/>
      </c>
      <c r="C61" s="1192" t="str">
        <f>IF(AND(Projektgrundlagen!$I$21,'StB-D1 Besondere Lstg'!M16=TRUE),'StB-D1 Besondere Lstg'!H16,"")</f>
        <v/>
      </c>
      <c r="D61" s="1192" t="str">
        <f>IF(AND(Projektgrundlagen!$I$21,'StB-D1 Besondere Lstg'!M16=TRUE),'StB-D1 Besondere Lstg'!I16,IF(AND(Projektgrundlagen!$I$22,'HB-D1 Besondere Lstg Land'!M16=TRUE),(IF('HB-D1 Besondere Lstg Land'!H16&gt;0,"v.H.","pauschal")),IF(AND(Projektgrundlagen!$I$23,'HB-D2 Besondere Lstg Bund'!M16=TRUE),(IF('HB-D2 Besondere Lstg Bund'!H16&gt;0,"v.H.","pauschal")),"")))</f>
        <v/>
      </c>
      <c r="E61" s="1192" t="str">
        <f>IF(AND(Projektgrundlagen!$I$21,'StB-D1 Besondere Lstg'!M16=TRUE),'StB-D1 Besondere Lstg'!J16,IF(AND(Projektgrundlagen!$I$22,'HB-D1 Besondere Lstg Land'!M16=TRUE),'HB-D1 Besondere Lstg Land'!H16+'HB-D1 Besondere Lstg Land'!J16,IF(AND(Projektgrundlagen!$I$23,'HB-D2 Besondere Lstg Bund'!M16=TRUE),'HB-D2 Besondere Lstg Bund'!H16+'HB-D2 Besondere Lstg Bund'!J16,"")))</f>
        <v/>
      </c>
      <c r="F61" s="1192" t="str">
        <f>IF(AND(Projektgrundlagen!$I$21,'StB-D1 Besondere Lstg'!M16=TRUE),'StB-D1 Besondere Lstg'!K16,IF(AND(Projektgrundlagen!$I$22,'HB-D1 Besondere Lstg Land'!M16=TRUE),'HB-D1 Besondere Lstg Land'!K16,IF(AND(Projektgrundlagen!$I$23,'HB-D2 Besondere Lstg Bund'!M16=TRUE),'HB-D2 Besondere Lstg Bund'!K16,"")))</f>
        <v/>
      </c>
    </row>
    <row r="62" spans="2:10">
      <c r="B62" t="str">
        <f>IF(AND(Projektgrundlagen!$I$21,'StB-D1 Besondere Lstg'!M17=TRUE),'StB-D1 Besondere Lstg'!C17&amp;" "&amp;'StB-D1 Besondere Lstg'!F17&amp;" "&amp;'StB-D1 Besondere Lstg'!F18,IF(AND(Projektgrundlagen!$I$22,'HB-D1 Besondere Lstg Land'!M17=TRUE),'HB-D1 Besondere Lstg Land'!C17&amp;" "&amp;'HB-D1 Besondere Lstg Land'!F17&amp;" "&amp;'HB-D1 Besondere Lstg Land'!F18,IF(AND(Projektgrundlagen!$I$23,'HB-D2 Besondere Lstg Bund'!M17=TRUE),'HB-D2 Besondere Lstg Bund'!C17&amp;" "&amp;'HB-D2 Besondere Lstg Bund'!F17&amp;" "&amp;'HB-D2 Besondere Lstg Bund'!F18,"")))</f>
        <v/>
      </c>
      <c r="C62" s="1192" t="str">
        <f>IF(AND(Projektgrundlagen!$I$21,'StB-D1 Besondere Lstg'!M17=TRUE),'StB-D1 Besondere Lstg'!H17,"")</f>
        <v/>
      </c>
      <c r="D62" s="1192" t="str">
        <f>IF(AND(Projektgrundlagen!$I$21,'StB-D1 Besondere Lstg'!M17=TRUE),'StB-D1 Besondere Lstg'!I17,IF(AND(Projektgrundlagen!$I$22,'HB-D1 Besondere Lstg Land'!M17=TRUE),(IF('HB-D1 Besondere Lstg Land'!H17&gt;0,"v.H.","pauschal")),IF(AND(Projektgrundlagen!$I$23,'HB-D2 Besondere Lstg Bund'!M17=TRUE),(IF('HB-D2 Besondere Lstg Bund'!H17&gt;0,"v.H.","pauschal")),"")))</f>
        <v/>
      </c>
      <c r="E62" s="1192" t="str">
        <f>IF(AND(Projektgrundlagen!$I$21,'StB-D1 Besondere Lstg'!M17=TRUE),'StB-D1 Besondere Lstg'!J17,IF(AND(Projektgrundlagen!$I$22,'HB-D1 Besondere Lstg Land'!M17=TRUE),'HB-D1 Besondere Lstg Land'!H17+'HB-D1 Besondere Lstg Land'!J17,IF(AND(Projektgrundlagen!$I$23,'HB-D2 Besondere Lstg Bund'!M17=TRUE),'HB-D2 Besondere Lstg Bund'!H17+'HB-D2 Besondere Lstg Bund'!J17,"")))</f>
        <v/>
      </c>
      <c r="F62" s="1192" t="str">
        <f>IF(AND(Projektgrundlagen!$I$21,'StB-D1 Besondere Lstg'!M17=TRUE),'StB-D1 Besondere Lstg'!K17,IF(AND(Projektgrundlagen!$I$22,'HB-D1 Besondere Lstg Land'!M17=TRUE),'HB-D1 Besondere Lstg Land'!K17,IF(AND(Projektgrundlagen!$I$23,'HB-D2 Besondere Lstg Bund'!M17=TRUE),'HB-D2 Besondere Lstg Bund'!K17,"")))</f>
        <v/>
      </c>
    </row>
    <row r="63" spans="2:10" ht="14.25">
      <c r="B63" t="str">
        <f>IF(AND(Projektgrundlagen!$I$21,'StB-D1 Besondere Lstg'!M18=TRUE),'StB-D1 Besondere Lstg'!C18&amp;" "&amp;'StB-D1 Besondere Lstg'!F18&amp;" "&amp;'StB-D1 Besondere Lstg'!F19,IF(AND(Projektgrundlagen!$I$22,'HB-D1 Besondere Lstg Land'!M18=TRUE),'HB-D1 Besondere Lstg Land'!C18&amp;" "&amp;'HB-D1 Besondere Lstg Land'!F18&amp;" "&amp;'HB-D1 Besondere Lstg Land'!F19,IF(AND(Projektgrundlagen!$I$23,'HB-D2 Besondere Lstg Bund'!M18=TRUE),'HB-D2 Besondere Lstg Bund'!C18&amp;" "&amp;'HB-D2 Besondere Lstg Bund'!F18&amp;" "&amp;'HB-D2 Besondere Lstg Bund'!F19,"")))</f>
        <v/>
      </c>
      <c r="C63" s="1192" t="str">
        <f>IF(AND(Projektgrundlagen!$I$21,'StB-D1 Besondere Lstg'!M18=TRUE),'StB-D1 Besondere Lstg'!H18,"")</f>
        <v/>
      </c>
      <c r="D63" s="1192" t="str">
        <f>IF(AND(Projektgrundlagen!$I$21,'StB-D1 Besondere Lstg'!M18=TRUE),'StB-D1 Besondere Lstg'!I18,IF(AND(Projektgrundlagen!$I$22,'HB-D1 Besondere Lstg Land'!M18=TRUE),(IF('HB-D1 Besondere Lstg Land'!H18&gt;0,"v.H.","pauschal")),IF(AND(Projektgrundlagen!$I$23,'HB-D2 Besondere Lstg Bund'!M18=TRUE),(IF('HB-D2 Besondere Lstg Bund'!H18&gt;0,"v.H.","pauschal")),"")))</f>
        <v/>
      </c>
      <c r="E63" s="1192" t="str">
        <f>IF(AND(Projektgrundlagen!$I$21,'StB-D1 Besondere Lstg'!M18=TRUE),'StB-D1 Besondere Lstg'!J18,IF(AND(Projektgrundlagen!$I$22,'HB-D1 Besondere Lstg Land'!M18=TRUE),'HB-D1 Besondere Lstg Land'!H18+'HB-D1 Besondere Lstg Land'!J18,IF(AND(Projektgrundlagen!$I$23,'HB-D2 Besondere Lstg Bund'!M18=TRUE),'HB-D2 Besondere Lstg Bund'!H18+'HB-D2 Besondere Lstg Bund'!J18,"")))</f>
        <v/>
      </c>
      <c r="F63" s="1192" t="str">
        <f>IF(AND(Projektgrundlagen!$I$21,'StB-D1 Besondere Lstg'!M18=TRUE),'StB-D1 Besondere Lstg'!K18,IF(AND(Projektgrundlagen!$I$22,'HB-D1 Besondere Lstg Land'!M18=TRUE),'HB-D1 Besondere Lstg Land'!K18,IF(AND(Projektgrundlagen!$I$23,'HB-D2 Besondere Lstg Bund'!M18=TRUE),'HB-D2 Besondere Lstg Bund'!K18,"")))</f>
        <v/>
      </c>
      <c r="G63" s="1200"/>
      <c r="H63" s="1201"/>
    </row>
    <row r="64" spans="2:10" ht="14.25">
      <c r="B64" t="str">
        <f>IF(AND(Projektgrundlagen!$I$21,'StB-D1 Besondere Lstg'!M19=TRUE),'StB-D1 Besondere Lstg'!C19&amp;" "&amp;'StB-D1 Besondere Lstg'!F19&amp;" "&amp;'StB-D1 Besondere Lstg'!F20,IF(AND(Projektgrundlagen!$I$22,'HB-D1 Besondere Lstg Land'!M19=TRUE),'HB-D1 Besondere Lstg Land'!C19&amp;" "&amp;'HB-D1 Besondere Lstg Land'!F19&amp;" "&amp;'HB-D1 Besondere Lstg Land'!F20,IF(AND(Projektgrundlagen!$I$23,'HB-D2 Besondere Lstg Bund'!M19=TRUE),'HB-D2 Besondere Lstg Bund'!C19&amp;" "&amp;'HB-D2 Besondere Lstg Bund'!F19&amp;" "&amp;'HB-D2 Besondere Lstg Bund'!F20,"")))</f>
        <v/>
      </c>
      <c r="C64" s="1192" t="str">
        <f>IF(AND(Projektgrundlagen!$I$21,'StB-D1 Besondere Lstg'!M19=TRUE),'StB-D1 Besondere Lstg'!H19,"")</f>
        <v/>
      </c>
      <c r="D64" s="1192" t="str">
        <f>IF(AND(Projektgrundlagen!$I$21,'StB-D1 Besondere Lstg'!M19=TRUE),'StB-D1 Besondere Lstg'!I19,IF(AND(Projektgrundlagen!$I$22,'HB-D1 Besondere Lstg Land'!M19=TRUE),(IF('HB-D1 Besondere Lstg Land'!H19&gt;0,"v.H.","pauschal")),IF(AND(Projektgrundlagen!$I$23,'HB-D2 Besondere Lstg Bund'!M19=TRUE),(IF('HB-D2 Besondere Lstg Bund'!H19&gt;0,"v.H.","pauschal")),"")))</f>
        <v/>
      </c>
      <c r="E64" s="1192" t="str">
        <f>IF(AND(Projektgrundlagen!$I$21,'StB-D1 Besondere Lstg'!M19=TRUE),'StB-D1 Besondere Lstg'!J19,IF(AND(Projektgrundlagen!$I$22,'HB-D1 Besondere Lstg Land'!M19=TRUE),'HB-D1 Besondere Lstg Land'!H19+'HB-D1 Besondere Lstg Land'!J19,IF(AND(Projektgrundlagen!$I$23,'HB-D2 Besondere Lstg Bund'!M19=TRUE),'HB-D2 Besondere Lstg Bund'!H19+'HB-D2 Besondere Lstg Bund'!J19,"")))</f>
        <v/>
      </c>
      <c r="F64" s="1192" t="str">
        <f>IF(AND(Projektgrundlagen!$I$21,'StB-D1 Besondere Lstg'!M19=TRUE),'StB-D1 Besondere Lstg'!K19,IF(AND(Projektgrundlagen!$I$22,'HB-D1 Besondere Lstg Land'!M19=TRUE),'HB-D1 Besondere Lstg Land'!K19,IF(AND(Projektgrundlagen!$I$23,'HB-D2 Besondere Lstg Bund'!M19=TRUE),'HB-D2 Besondere Lstg Bund'!K19,"")))</f>
        <v/>
      </c>
      <c r="G64" s="1200"/>
      <c r="H64" s="1201"/>
    </row>
    <row r="65" spans="2:8" ht="14.25">
      <c r="B65" t="str">
        <f>IF(AND(Projektgrundlagen!$I$21,'StB-D1 Besondere Lstg'!M20=TRUE),'StB-D1 Besondere Lstg'!C20&amp;" "&amp;'StB-D1 Besondere Lstg'!F20&amp;" "&amp;'StB-D1 Besondere Lstg'!F21,IF(AND(Projektgrundlagen!$I$22,'HB-D1 Besondere Lstg Land'!M20=TRUE),'HB-D1 Besondere Lstg Land'!C20&amp;" "&amp;'HB-D1 Besondere Lstg Land'!F20&amp;" "&amp;'HB-D1 Besondere Lstg Land'!F21,IF(AND(Projektgrundlagen!$I$23,'HB-D2 Besondere Lstg Bund'!M20=TRUE),'HB-D2 Besondere Lstg Bund'!C20&amp;" "&amp;'HB-D2 Besondere Lstg Bund'!F20&amp;" "&amp;'HB-D2 Besondere Lstg Bund'!F21,"")))</f>
        <v/>
      </c>
      <c r="C65" s="1192" t="str">
        <f>IF(AND(Projektgrundlagen!$I$21,'StB-D1 Besondere Lstg'!M20=TRUE),'StB-D1 Besondere Lstg'!H20,"")</f>
        <v/>
      </c>
      <c r="D65" s="1192" t="str">
        <f>IF(AND(Projektgrundlagen!$I$21,'StB-D1 Besondere Lstg'!M20=TRUE),'StB-D1 Besondere Lstg'!I20,IF(AND(Projektgrundlagen!$I$22,'HB-D1 Besondere Lstg Land'!M20=TRUE),(IF('HB-D1 Besondere Lstg Land'!H20&gt;0,"v.H.","pauschal")),IF(AND(Projektgrundlagen!$I$23,'HB-D2 Besondere Lstg Bund'!M20=TRUE),(IF('HB-D2 Besondere Lstg Bund'!H20&gt;0,"v.H.","pauschal")),"")))</f>
        <v/>
      </c>
      <c r="E65" s="1192" t="str">
        <f>IF(AND(Projektgrundlagen!$I$21,'StB-D1 Besondere Lstg'!M20=TRUE),'StB-D1 Besondere Lstg'!J20,IF(AND(Projektgrundlagen!$I$22,'HB-D1 Besondere Lstg Land'!M20=TRUE),'HB-D1 Besondere Lstg Land'!H20+'HB-D1 Besondere Lstg Land'!J20,IF(AND(Projektgrundlagen!$I$23,'HB-D2 Besondere Lstg Bund'!M20=TRUE),'HB-D2 Besondere Lstg Bund'!H20+'HB-D2 Besondere Lstg Bund'!J20,"")))</f>
        <v/>
      </c>
      <c r="F65" s="1192" t="str">
        <f>IF(AND(Projektgrundlagen!$I$21,'StB-D1 Besondere Lstg'!M20=TRUE),'StB-D1 Besondere Lstg'!K20,IF(AND(Projektgrundlagen!$I$22,'HB-D1 Besondere Lstg Land'!M20=TRUE),'HB-D1 Besondere Lstg Land'!K20,IF(AND(Projektgrundlagen!$I$23,'HB-D2 Besondere Lstg Bund'!M20=TRUE),'HB-D2 Besondere Lstg Bund'!K20,"")))</f>
        <v/>
      </c>
      <c r="G65" s="1200"/>
      <c r="H65" s="1201"/>
    </row>
    <row r="66" spans="2:8" ht="14.25">
      <c r="B66" t="str">
        <f>IF(AND(Projektgrundlagen!$I$21,'StB-D1 Besondere Lstg'!M21=TRUE),'StB-D1 Besondere Lstg'!C21&amp;" "&amp;'StB-D1 Besondere Lstg'!F21&amp;" "&amp;'StB-D1 Besondere Lstg'!F22,IF(AND(Projektgrundlagen!$I$22,'HB-D1 Besondere Lstg Land'!M21=TRUE),'HB-D1 Besondere Lstg Land'!C21&amp;" "&amp;'HB-D1 Besondere Lstg Land'!F21&amp;" "&amp;'HB-D1 Besondere Lstg Land'!F22,IF(AND(Projektgrundlagen!$I$23,'HB-D2 Besondere Lstg Bund'!M21=TRUE),'HB-D2 Besondere Lstg Bund'!C21&amp;" "&amp;'HB-D2 Besondere Lstg Bund'!F21&amp;" "&amp;'HB-D2 Besondere Lstg Bund'!F22,"")))</f>
        <v/>
      </c>
      <c r="C66" s="1192" t="str">
        <f>IF(AND(Projektgrundlagen!$I$21,'StB-D1 Besondere Lstg'!M21=TRUE),'StB-D1 Besondere Lstg'!H21,"")</f>
        <v/>
      </c>
      <c r="D66" s="1192" t="str">
        <f>IF(AND(Projektgrundlagen!$I$21,'StB-D1 Besondere Lstg'!M21=TRUE),'StB-D1 Besondere Lstg'!I21,IF(AND(Projektgrundlagen!$I$22,'HB-D1 Besondere Lstg Land'!M21=TRUE),(IF('HB-D1 Besondere Lstg Land'!H21&gt;0,"v.H.","pauschal")),IF(AND(Projektgrundlagen!$I$23,'HB-D2 Besondere Lstg Bund'!M21=TRUE),(IF('HB-D2 Besondere Lstg Bund'!H21&gt;0,"v.H.","pauschal")),"")))</f>
        <v/>
      </c>
      <c r="E66" s="1192" t="str">
        <f>IF(AND(Projektgrundlagen!$I$21,'StB-D1 Besondere Lstg'!M21=TRUE),'StB-D1 Besondere Lstg'!J21,IF(AND(Projektgrundlagen!$I$22,'HB-D1 Besondere Lstg Land'!M21=TRUE),'HB-D1 Besondere Lstg Land'!H21+'HB-D1 Besondere Lstg Land'!J21,IF(AND(Projektgrundlagen!$I$23,'HB-D2 Besondere Lstg Bund'!M21=TRUE),'HB-D2 Besondere Lstg Bund'!H21+'HB-D2 Besondere Lstg Bund'!J21,"")))</f>
        <v/>
      </c>
      <c r="F66" s="1192" t="str">
        <f>IF(AND(Projektgrundlagen!$I$21,'StB-D1 Besondere Lstg'!M21=TRUE),'StB-D1 Besondere Lstg'!K21,IF(AND(Projektgrundlagen!$I$22,'HB-D1 Besondere Lstg Land'!M21=TRUE),'HB-D1 Besondere Lstg Land'!K21,IF(AND(Projektgrundlagen!$I$23,'HB-D2 Besondere Lstg Bund'!M21=TRUE),'HB-D2 Besondere Lstg Bund'!K21,"")))</f>
        <v/>
      </c>
      <c r="G66" s="1200"/>
      <c r="H66" s="1201"/>
    </row>
    <row r="67" spans="2:8" ht="14.25">
      <c r="B67" t="str">
        <f>IF(AND(Projektgrundlagen!$I$21,'StB-D1 Besondere Lstg'!M22=TRUE),'StB-D1 Besondere Lstg'!C22&amp;" "&amp;'StB-D1 Besondere Lstg'!F22&amp;" "&amp;'StB-D1 Besondere Lstg'!F23,IF(AND(Projektgrundlagen!$I$22,'HB-D1 Besondere Lstg Land'!M22=TRUE),'HB-D1 Besondere Lstg Land'!C22&amp;" "&amp;'HB-D1 Besondere Lstg Land'!F22&amp;" "&amp;'HB-D1 Besondere Lstg Land'!F23,IF(AND(Projektgrundlagen!$I$23,'HB-D2 Besondere Lstg Bund'!M22=TRUE),'HB-D2 Besondere Lstg Bund'!C22&amp;" "&amp;'HB-D2 Besondere Lstg Bund'!F22&amp;" "&amp;'HB-D2 Besondere Lstg Bund'!F23,"")))</f>
        <v/>
      </c>
      <c r="C67" s="1192" t="str">
        <f>IF(AND(Projektgrundlagen!$I$21,'StB-D1 Besondere Lstg'!M22=TRUE),'StB-D1 Besondere Lstg'!H22,"")</f>
        <v/>
      </c>
      <c r="D67" s="1192" t="str">
        <f>IF(AND(Projektgrundlagen!$I$21,'StB-D1 Besondere Lstg'!M22=TRUE),'StB-D1 Besondere Lstg'!I22,IF(AND(Projektgrundlagen!$I$22,'HB-D1 Besondere Lstg Land'!M22=TRUE),(IF('HB-D1 Besondere Lstg Land'!H22&gt;0,"v.H.","pauschal")),IF(AND(Projektgrundlagen!$I$23,'HB-D2 Besondere Lstg Bund'!M22=TRUE),(IF('HB-D2 Besondere Lstg Bund'!H22&gt;0,"v.H.","pauschal")),"")))</f>
        <v/>
      </c>
      <c r="E67" s="1192" t="str">
        <f>IF(AND(Projektgrundlagen!$I$21,'StB-D1 Besondere Lstg'!M22=TRUE),'StB-D1 Besondere Lstg'!J22,IF(AND(Projektgrundlagen!$I$22,'HB-D1 Besondere Lstg Land'!M22=TRUE),'HB-D1 Besondere Lstg Land'!H22+'HB-D1 Besondere Lstg Land'!J22,IF(AND(Projektgrundlagen!$I$23,'HB-D2 Besondere Lstg Bund'!M22=TRUE),'HB-D2 Besondere Lstg Bund'!H22+'HB-D2 Besondere Lstg Bund'!J22,"")))</f>
        <v/>
      </c>
      <c r="F67" s="1192" t="str">
        <f>IF(AND(Projektgrundlagen!$I$21,'StB-D1 Besondere Lstg'!M22=TRUE),'StB-D1 Besondere Lstg'!K22,IF(AND(Projektgrundlagen!$I$22,'HB-D1 Besondere Lstg Land'!M22=TRUE),'HB-D1 Besondere Lstg Land'!K22,IF(AND(Projektgrundlagen!$I$23,'HB-D2 Besondere Lstg Bund'!M22=TRUE),'HB-D2 Besondere Lstg Bund'!K22,"")))</f>
        <v/>
      </c>
      <c r="G67" s="1200"/>
      <c r="H67" s="1201"/>
    </row>
    <row r="68" spans="2:8" ht="14.25">
      <c r="B68" t="str">
        <f>IF(AND(Projektgrundlagen!$I$21,'StB-D1 Besondere Lstg'!M23=TRUE),'StB-D1 Besondere Lstg'!C23&amp;" "&amp;'StB-D1 Besondere Lstg'!F23&amp;" "&amp;'StB-D1 Besondere Lstg'!F24,IF(AND(Projektgrundlagen!$I$22,'HB-D1 Besondere Lstg Land'!M23=TRUE),'HB-D1 Besondere Lstg Land'!C23&amp;" "&amp;'HB-D1 Besondere Lstg Land'!F23&amp;" "&amp;'HB-D1 Besondere Lstg Land'!F24,IF(AND(Projektgrundlagen!$I$23,'HB-D2 Besondere Lstg Bund'!M23=TRUE),'HB-D2 Besondere Lstg Bund'!C23&amp;" "&amp;'HB-D2 Besondere Lstg Bund'!F23&amp;" "&amp;'HB-D2 Besondere Lstg Bund'!F24,"")))</f>
        <v/>
      </c>
      <c r="C68" s="1192" t="str">
        <f>IF(AND(Projektgrundlagen!$I$21,'StB-D1 Besondere Lstg'!M23=TRUE),'StB-D1 Besondere Lstg'!H23,"")</f>
        <v/>
      </c>
      <c r="D68" s="1192" t="str">
        <f>IF(AND(Projektgrundlagen!$I$21,'StB-D1 Besondere Lstg'!M23=TRUE),'StB-D1 Besondere Lstg'!I23,IF(AND(Projektgrundlagen!$I$22,'HB-D1 Besondere Lstg Land'!M23=TRUE),(IF('HB-D1 Besondere Lstg Land'!H23&gt;0,"v.H.","pauschal")),IF(AND(Projektgrundlagen!$I$23,'HB-D2 Besondere Lstg Bund'!M23=TRUE),(IF('HB-D2 Besondere Lstg Bund'!H23&gt;0,"v.H.","pauschal")),"")))</f>
        <v/>
      </c>
      <c r="E68" s="1192" t="str">
        <f>IF(AND(Projektgrundlagen!$I$21,'StB-D1 Besondere Lstg'!M23=TRUE),'StB-D1 Besondere Lstg'!J23,IF(AND(Projektgrundlagen!$I$22,'HB-D1 Besondere Lstg Land'!M23=TRUE),'HB-D1 Besondere Lstg Land'!H23+'HB-D1 Besondere Lstg Land'!J23,IF(AND(Projektgrundlagen!$I$23,'HB-D2 Besondere Lstg Bund'!M23=TRUE),'HB-D2 Besondere Lstg Bund'!H23+'HB-D2 Besondere Lstg Bund'!J23,"")))</f>
        <v/>
      </c>
      <c r="F68" s="1192" t="str">
        <f>IF(AND(Projektgrundlagen!$I$21,'StB-D1 Besondere Lstg'!M23=TRUE),'StB-D1 Besondere Lstg'!K23,IF(AND(Projektgrundlagen!$I$22,'HB-D1 Besondere Lstg Land'!M23=TRUE),'HB-D1 Besondere Lstg Land'!K23,IF(AND(Projektgrundlagen!$I$23,'HB-D2 Besondere Lstg Bund'!M23=TRUE),'HB-D2 Besondere Lstg Bund'!K23,"")))</f>
        <v/>
      </c>
      <c r="G68" s="1200"/>
      <c r="H68" s="1201"/>
    </row>
    <row r="69" spans="2:8" ht="14.25">
      <c r="B69" t="str">
        <f>IF(AND(Projektgrundlagen!$I$21,'StB-D1 Besondere Lstg'!M24=TRUE),'StB-D1 Besondere Lstg'!C24&amp;" "&amp;'StB-D1 Besondere Lstg'!F24&amp;" "&amp;'StB-D1 Besondere Lstg'!F25,IF(AND(Projektgrundlagen!$I$22,'HB-D1 Besondere Lstg Land'!M24=TRUE),'HB-D1 Besondere Lstg Land'!C24&amp;" "&amp;'HB-D1 Besondere Lstg Land'!F24&amp;" "&amp;'HB-D1 Besondere Lstg Land'!F25,IF(AND(Projektgrundlagen!$I$23,'HB-D2 Besondere Lstg Bund'!M24=TRUE),'HB-D2 Besondere Lstg Bund'!C24&amp;" "&amp;'HB-D2 Besondere Lstg Bund'!F24&amp;" "&amp;'HB-D2 Besondere Lstg Bund'!F25,"")))</f>
        <v/>
      </c>
      <c r="C69" s="1192" t="str">
        <f>IF(AND(Projektgrundlagen!$I$21,'StB-D1 Besondere Lstg'!M24=TRUE),'StB-D1 Besondere Lstg'!H24,"")</f>
        <v/>
      </c>
      <c r="D69" s="1192" t="str">
        <f>IF(AND(Projektgrundlagen!$I$21,'StB-D1 Besondere Lstg'!M24=TRUE),'StB-D1 Besondere Lstg'!I24,IF(AND(Projektgrundlagen!$I$22,'HB-D1 Besondere Lstg Land'!M24=TRUE),(IF('HB-D1 Besondere Lstg Land'!H24&gt;0,"v.H.","pauschal")),IF(AND(Projektgrundlagen!$I$23,'HB-D2 Besondere Lstg Bund'!M24=TRUE),(IF('HB-D2 Besondere Lstg Bund'!H24&gt;0,"v.H.","pauschal")),"")))</f>
        <v/>
      </c>
      <c r="E69" s="1192" t="str">
        <f>IF(AND(Projektgrundlagen!$I$21,'StB-D1 Besondere Lstg'!M24=TRUE),'StB-D1 Besondere Lstg'!J24,IF(AND(Projektgrundlagen!$I$22,'HB-D1 Besondere Lstg Land'!M24=TRUE),'HB-D1 Besondere Lstg Land'!H24+'HB-D1 Besondere Lstg Land'!J24,IF(AND(Projektgrundlagen!$I$23,'HB-D2 Besondere Lstg Bund'!M24=TRUE),'HB-D2 Besondere Lstg Bund'!H24+'HB-D2 Besondere Lstg Bund'!J24,"")))</f>
        <v/>
      </c>
      <c r="F69" s="1192" t="str">
        <f>IF(AND(Projektgrundlagen!$I$21,'StB-D1 Besondere Lstg'!M24=TRUE),'StB-D1 Besondere Lstg'!K24,IF(AND(Projektgrundlagen!$I$22,'HB-D1 Besondere Lstg Land'!M24=TRUE),'HB-D1 Besondere Lstg Land'!K24,IF(AND(Projektgrundlagen!$I$23,'HB-D2 Besondere Lstg Bund'!M24=TRUE),'HB-D2 Besondere Lstg Bund'!K24,"")))</f>
        <v/>
      </c>
      <c r="G69" s="1200"/>
      <c r="H69" s="1201"/>
    </row>
    <row r="70" spans="2:8" ht="14.25">
      <c r="B70" t="str">
        <f>IF(AND(Projektgrundlagen!$I$21,'StB-D1 Besondere Lstg'!M25=TRUE),'StB-D1 Besondere Lstg'!C25&amp;" "&amp;'StB-D1 Besondere Lstg'!F25&amp;" "&amp;'StB-D1 Besondere Lstg'!F26,IF(AND(Projektgrundlagen!$I$22,'HB-D1 Besondere Lstg Land'!M25=TRUE),'HB-D1 Besondere Lstg Land'!C25&amp;" "&amp;'HB-D1 Besondere Lstg Land'!F25&amp;" "&amp;'HB-D1 Besondere Lstg Land'!F26,IF(AND(Projektgrundlagen!$I$23,'HB-D2 Besondere Lstg Bund'!M25=TRUE),'HB-D2 Besondere Lstg Bund'!C25&amp;" "&amp;'HB-D2 Besondere Lstg Bund'!F25&amp;" "&amp;'HB-D2 Besondere Lstg Bund'!F26,"")))</f>
        <v/>
      </c>
      <c r="C70" s="1192" t="str">
        <f>IF(AND(Projektgrundlagen!$I$21,'StB-D1 Besondere Lstg'!M25=TRUE),'StB-D1 Besondere Lstg'!H25,"")</f>
        <v/>
      </c>
      <c r="D70" s="1192" t="str">
        <f>IF(AND(Projektgrundlagen!$I$21,'StB-D1 Besondere Lstg'!M25=TRUE),'StB-D1 Besondere Lstg'!I25,IF(AND(Projektgrundlagen!$I$22,'HB-D1 Besondere Lstg Land'!M25=TRUE),(IF('HB-D1 Besondere Lstg Land'!H25&gt;0,"v.H.","pauschal")),IF(AND(Projektgrundlagen!$I$23,'HB-D2 Besondere Lstg Bund'!M25=TRUE),(IF('HB-D2 Besondere Lstg Bund'!H25&gt;0,"v.H.","pauschal")),"")))</f>
        <v/>
      </c>
      <c r="E70" s="1192" t="str">
        <f>IF(AND(Projektgrundlagen!$I$21,'StB-D1 Besondere Lstg'!M25=TRUE),'StB-D1 Besondere Lstg'!J25,IF(AND(Projektgrundlagen!$I$22,'HB-D1 Besondere Lstg Land'!M25=TRUE),'HB-D1 Besondere Lstg Land'!H25+'HB-D1 Besondere Lstg Land'!J25,IF(AND(Projektgrundlagen!$I$23,'HB-D2 Besondere Lstg Bund'!M25=TRUE),'HB-D2 Besondere Lstg Bund'!H25+'HB-D2 Besondere Lstg Bund'!J25,"")))</f>
        <v/>
      </c>
      <c r="F70" s="1192" t="str">
        <f>IF(AND(Projektgrundlagen!$I$21,'StB-D1 Besondere Lstg'!M25=TRUE),'StB-D1 Besondere Lstg'!K25,IF(AND(Projektgrundlagen!$I$22,'HB-D1 Besondere Lstg Land'!M25=TRUE),'HB-D1 Besondere Lstg Land'!K25,IF(AND(Projektgrundlagen!$I$23,'HB-D2 Besondere Lstg Bund'!M25=TRUE),'HB-D2 Besondere Lstg Bund'!K25,"")))</f>
        <v/>
      </c>
      <c r="G70" s="1200"/>
      <c r="H70" s="1201"/>
    </row>
    <row r="71" spans="2:8" ht="14.25">
      <c r="B71" t="str">
        <f>IF(AND(Projektgrundlagen!$I$21,'StB-D1 Besondere Lstg'!M26=TRUE),'StB-D1 Besondere Lstg'!C26&amp;" "&amp;'StB-D1 Besondere Lstg'!F26&amp;" "&amp;'StB-D1 Besondere Lstg'!F27,IF(AND(Projektgrundlagen!$I$22,'HB-D1 Besondere Lstg Land'!M26=TRUE),'HB-D1 Besondere Lstg Land'!C26&amp;" "&amp;'HB-D1 Besondere Lstg Land'!F26&amp;" "&amp;'HB-D1 Besondere Lstg Land'!F27,IF(AND(Projektgrundlagen!$I$23,'HB-D2 Besondere Lstg Bund'!M26=TRUE),'HB-D2 Besondere Lstg Bund'!C26&amp;" "&amp;'HB-D2 Besondere Lstg Bund'!F26&amp;" "&amp;'HB-D2 Besondere Lstg Bund'!F27,"")))</f>
        <v/>
      </c>
      <c r="C71" s="1192" t="str">
        <f>IF(AND(Projektgrundlagen!$I$21,'StB-D1 Besondere Lstg'!M26=TRUE),'StB-D1 Besondere Lstg'!H26,"")</f>
        <v/>
      </c>
      <c r="D71" s="1192" t="str">
        <f>IF(AND(Projektgrundlagen!$I$21,'StB-D1 Besondere Lstg'!M26=TRUE),'StB-D1 Besondere Lstg'!I26,IF(AND(Projektgrundlagen!$I$22,'HB-D1 Besondere Lstg Land'!M26=TRUE),(IF('HB-D1 Besondere Lstg Land'!H26&gt;0,"v.H.","pauschal")),IF(AND(Projektgrundlagen!$I$23,'HB-D2 Besondere Lstg Bund'!M26=TRUE),(IF('HB-D2 Besondere Lstg Bund'!H26&gt;0,"v.H.","pauschal")),"")))</f>
        <v/>
      </c>
      <c r="E71" s="1192" t="str">
        <f>IF(AND(Projektgrundlagen!$I$21,'StB-D1 Besondere Lstg'!M26=TRUE),'StB-D1 Besondere Lstg'!J26,IF(AND(Projektgrundlagen!$I$22,'HB-D1 Besondere Lstg Land'!M26=TRUE),'HB-D1 Besondere Lstg Land'!H26+'HB-D1 Besondere Lstg Land'!J26,IF(AND(Projektgrundlagen!$I$23,'HB-D2 Besondere Lstg Bund'!M26=TRUE),'HB-D2 Besondere Lstg Bund'!H26+'HB-D2 Besondere Lstg Bund'!J26,"")))</f>
        <v/>
      </c>
      <c r="F71" s="1192" t="str">
        <f>IF(AND(Projektgrundlagen!$I$21,'StB-D1 Besondere Lstg'!M26=TRUE),'StB-D1 Besondere Lstg'!K26,IF(AND(Projektgrundlagen!$I$22,'HB-D1 Besondere Lstg Land'!M26=TRUE),'HB-D1 Besondere Lstg Land'!K26,IF(AND(Projektgrundlagen!$I$23,'HB-D2 Besondere Lstg Bund'!M26=TRUE),'HB-D2 Besondere Lstg Bund'!K26,"")))</f>
        <v/>
      </c>
      <c r="G71" s="1200"/>
      <c r="H71" s="1201"/>
    </row>
    <row r="72" spans="2:8" ht="14.25">
      <c r="B72" t="str">
        <f>IF(AND(Projektgrundlagen!$I$21,'StB-D1 Besondere Lstg'!M27=TRUE),'StB-D1 Besondere Lstg'!C27&amp;" "&amp;'StB-D1 Besondere Lstg'!F27&amp;" "&amp;'StB-D1 Besondere Lstg'!F28,IF(AND(Projektgrundlagen!$I$22,'HB-D1 Besondere Lstg Land'!M27=TRUE),'HB-D1 Besondere Lstg Land'!C27&amp;" "&amp;'HB-D1 Besondere Lstg Land'!F27&amp;" "&amp;'HB-D1 Besondere Lstg Land'!F28,IF(AND(Projektgrundlagen!$I$23,'HB-D2 Besondere Lstg Bund'!M27=TRUE),'HB-D2 Besondere Lstg Bund'!C27&amp;" "&amp;'HB-D2 Besondere Lstg Bund'!F27&amp;" "&amp;'HB-D2 Besondere Lstg Bund'!F28,"")))</f>
        <v/>
      </c>
      <c r="C72" s="1192" t="str">
        <f>IF(AND(Projektgrundlagen!$I$21,'StB-D1 Besondere Lstg'!M27=TRUE),'StB-D1 Besondere Lstg'!H27,"")</f>
        <v/>
      </c>
      <c r="D72" s="1192" t="str">
        <f>IF(AND(Projektgrundlagen!$I$21,'StB-D1 Besondere Lstg'!M27=TRUE),'StB-D1 Besondere Lstg'!I27,IF(AND(Projektgrundlagen!$I$22,'HB-D1 Besondere Lstg Land'!M27=TRUE),(IF('HB-D1 Besondere Lstg Land'!H27&gt;0,"v.H.","pauschal")),IF(AND(Projektgrundlagen!$I$23,'HB-D2 Besondere Lstg Bund'!M27=TRUE),(IF('HB-D2 Besondere Lstg Bund'!H27&gt;0,"v.H.","pauschal")),"")))</f>
        <v/>
      </c>
      <c r="E72" s="1192" t="str">
        <f>IF(AND(Projektgrundlagen!$I$21,'StB-D1 Besondere Lstg'!M27=TRUE),'StB-D1 Besondere Lstg'!J27,IF(AND(Projektgrundlagen!$I$22,'HB-D1 Besondere Lstg Land'!M27=TRUE),'HB-D1 Besondere Lstg Land'!H27+'HB-D1 Besondere Lstg Land'!J27,IF(AND(Projektgrundlagen!$I$23,'HB-D2 Besondere Lstg Bund'!M27=TRUE),'HB-D2 Besondere Lstg Bund'!H27+'HB-D2 Besondere Lstg Bund'!J27,"")))</f>
        <v/>
      </c>
      <c r="F72" s="1192" t="str">
        <f>IF(AND(Projektgrundlagen!$I$21,'StB-D1 Besondere Lstg'!M27=TRUE),'StB-D1 Besondere Lstg'!K27,IF(AND(Projektgrundlagen!$I$22,'HB-D1 Besondere Lstg Land'!M27=TRUE),'HB-D1 Besondere Lstg Land'!K27,IF(AND(Projektgrundlagen!$I$23,'HB-D2 Besondere Lstg Bund'!M27=TRUE),'HB-D2 Besondere Lstg Bund'!K27,"")))</f>
        <v/>
      </c>
      <c r="G72" s="1200"/>
      <c r="H72" s="1201"/>
    </row>
    <row r="73" spans="2:8" ht="14.25">
      <c r="B73" t="str">
        <f>IF(AND(Projektgrundlagen!$I$21,'StB-D1 Besondere Lstg'!M28=TRUE),'StB-D1 Besondere Lstg'!C28&amp;" "&amp;'StB-D1 Besondere Lstg'!F28&amp;" "&amp;'StB-D1 Besondere Lstg'!F29,IF(AND(Projektgrundlagen!$I$22,'HB-D1 Besondere Lstg Land'!M28=TRUE),'HB-D1 Besondere Lstg Land'!C28&amp;" "&amp;'HB-D1 Besondere Lstg Land'!F28&amp;" "&amp;'HB-D1 Besondere Lstg Land'!F29,IF(AND(Projektgrundlagen!$I$23,'HB-D2 Besondere Lstg Bund'!M28=TRUE),'HB-D2 Besondere Lstg Bund'!C28&amp;" "&amp;'HB-D2 Besondere Lstg Bund'!F28&amp;" "&amp;'HB-D2 Besondere Lstg Bund'!F29,"")))</f>
        <v>2.02 Aufstellen eines Lastenplans, zum Beispiel als Grundlage für die Baugrundbeurteilung und Gründungsberatung</v>
      </c>
      <c r="C73" s="1192">
        <f>IF(AND(Projektgrundlagen!$I$21,'StB-D1 Besondere Lstg'!M28=TRUE),'StB-D1 Besondere Lstg'!H28,"")</f>
        <v>1</v>
      </c>
      <c r="D73" s="1192" t="str">
        <f>IF(AND(Projektgrundlagen!$I$21,'StB-D1 Besondere Lstg'!M28=TRUE),'StB-D1 Besondere Lstg'!I28,IF(AND(Projektgrundlagen!$I$22,'HB-D1 Besondere Lstg Land'!M28=TRUE),(IF('HB-D1 Besondere Lstg Land'!H28&gt;0,"v.H.","pauschal")),IF(AND(Projektgrundlagen!$I$23,'HB-D2 Besondere Lstg Bund'!M28=TRUE),(IF('HB-D2 Besondere Lstg Bund'!H28&gt;0,"v.H.","pauschal")),"")))</f>
        <v>psch</v>
      </c>
      <c r="E73" s="1192">
        <f>IF(AND(Projektgrundlagen!$I$21,'StB-D1 Besondere Lstg'!M28=TRUE),'StB-D1 Besondere Lstg'!J28,IF(AND(Projektgrundlagen!$I$22,'HB-D1 Besondere Lstg Land'!M28=TRUE),'HB-D1 Besondere Lstg Land'!H28+'HB-D1 Besondere Lstg Land'!J28,IF(AND(Projektgrundlagen!$I$23,'HB-D2 Besondere Lstg Bund'!M28=TRUE),'HB-D2 Besondere Lstg Bund'!H28+'HB-D2 Besondere Lstg Bund'!J28,"")))</f>
        <v>0</v>
      </c>
      <c r="F73" s="1192">
        <f>IF(AND(Projektgrundlagen!$I$21,'StB-D1 Besondere Lstg'!M28=TRUE),'StB-D1 Besondere Lstg'!K28,IF(AND(Projektgrundlagen!$I$22,'HB-D1 Besondere Lstg Land'!M28=TRUE),'HB-D1 Besondere Lstg Land'!K28,IF(AND(Projektgrundlagen!$I$23,'HB-D2 Besondere Lstg Bund'!M28=TRUE),'HB-D2 Besondere Lstg Bund'!K28,"")))</f>
        <v>0</v>
      </c>
      <c r="G73" s="1200"/>
      <c r="H73" s="1201"/>
    </row>
    <row r="74" spans="2:8" ht="14.25">
      <c r="B74" t="str">
        <f>IF(AND(Projektgrundlagen!$I$21,'StB-D1 Besondere Lstg'!M29=TRUE),'StB-D1 Besondere Lstg'!C29&amp;" "&amp;'StB-D1 Besondere Lstg'!F29&amp;" "&amp;'StB-D1 Besondere Lstg'!F30,IF(AND(Projektgrundlagen!$I$22,'HB-D1 Besondere Lstg Land'!M29=TRUE),'HB-D1 Besondere Lstg Land'!C29&amp;" "&amp;'HB-D1 Besondere Lstg Land'!F29&amp;" "&amp;'HB-D1 Besondere Lstg Land'!F30,IF(AND(Projektgrundlagen!$I$23,'HB-D2 Besondere Lstg Bund'!M29=TRUE),'HB-D2 Besondere Lstg Bund'!C29&amp;" "&amp;'HB-D2 Besondere Lstg Bund'!F29&amp;" "&amp;'HB-D2 Besondere Lstg Bund'!F30,"")))</f>
        <v/>
      </c>
      <c r="C74" s="1192" t="str">
        <f>IF(AND(Projektgrundlagen!$I$21,'StB-D1 Besondere Lstg'!M29=TRUE),'StB-D1 Besondere Lstg'!H29,"")</f>
        <v/>
      </c>
      <c r="D74" s="1192" t="str">
        <f>IF(AND(Projektgrundlagen!$I$21,'StB-D1 Besondere Lstg'!M29=TRUE),'StB-D1 Besondere Lstg'!I29,IF(AND(Projektgrundlagen!$I$22,'HB-D1 Besondere Lstg Land'!M29=TRUE),(IF('HB-D1 Besondere Lstg Land'!H29&gt;0,"v.H.","pauschal")),IF(AND(Projektgrundlagen!$I$23,'HB-D2 Besondere Lstg Bund'!M29=TRUE),(IF('HB-D2 Besondere Lstg Bund'!H29&gt;0,"v.H.","pauschal")),"")))</f>
        <v/>
      </c>
      <c r="E74" s="1192" t="str">
        <f>IF(AND(Projektgrundlagen!$I$21,'StB-D1 Besondere Lstg'!M29=TRUE),'StB-D1 Besondere Lstg'!J29,IF(AND(Projektgrundlagen!$I$22,'HB-D1 Besondere Lstg Land'!M29=TRUE),'HB-D1 Besondere Lstg Land'!H29+'HB-D1 Besondere Lstg Land'!J29,IF(AND(Projektgrundlagen!$I$23,'HB-D2 Besondere Lstg Bund'!M29=TRUE),'HB-D2 Besondere Lstg Bund'!H29+'HB-D2 Besondere Lstg Bund'!J29,"")))</f>
        <v/>
      </c>
      <c r="F74" s="1192" t="str">
        <f>IF(AND(Projektgrundlagen!$I$21,'StB-D1 Besondere Lstg'!M29=TRUE),'StB-D1 Besondere Lstg'!K29,IF(AND(Projektgrundlagen!$I$22,'HB-D1 Besondere Lstg Land'!M29=TRUE),'HB-D1 Besondere Lstg Land'!K29,IF(AND(Projektgrundlagen!$I$23,'HB-D2 Besondere Lstg Bund'!M29=TRUE),'HB-D2 Besondere Lstg Bund'!K29,"")))</f>
        <v/>
      </c>
      <c r="G74" s="1200"/>
      <c r="H74" s="1201"/>
    </row>
    <row r="75" spans="2:8" ht="14.25">
      <c r="B75" t="str">
        <f>IF(AND(Projektgrundlagen!$I$21,'StB-D1 Besondere Lstg'!M30=TRUE),'StB-D1 Besondere Lstg'!C30&amp;" "&amp;'StB-D1 Besondere Lstg'!F30&amp;" "&amp;'StB-D1 Besondere Lstg'!F31,IF(AND(Projektgrundlagen!$I$22,'HB-D1 Besondere Lstg Land'!M30=TRUE),'HB-D1 Besondere Lstg Land'!C30&amp;" "&amp;'HB-D1 Besondere Lstg Land'!F30&amp;" "&amp;'HB-D1 Besondere Lstg Land'!F31,IF(AND(Projektgrundlagen!$I$23,'HB-D2 Besondere Lstg Bund'!M30=TRUE),'HB-D2 Besondere Lstg Bund'!C30&amp;" "&amp;'HB-D2 Besondere Lstg Bund'!F30&amp;" "&amp;'HB-D2 Besondere Lstg Bund'!F31,"")))</f>
        <v/>
      </c>
      <c r="C75" s="1192" t="str">
        <f>IF(AND(Projektgrundlagen!$I$21,'StB-D1 Besondere Lstg'!M30=TRUE),'StB-D1 Besondere Lstg'!H30,"")</f>
        <v/>
      </c>
      <c r="D75" s="1192" t="str">
        <f>IF(AND(Projektgrundlagen!$I$21,'StB-D1 Besondere Lstg'!M30=TRUE),'StB-D1 Besondere Lstg'!I30,IF(AND(Projektgrundlagen!$I$22,'HB-D1 Besondere Lstg Land'!M30=TRUE),(IF('HB-D1 Besondere Lstg Land'!H30&gt;0,"v.H.","pauschal")),IF(AND(Projektgrundlagen!$I$23,'HB-D2 Besondere Lstg Bund'!M30=TRUE),(IF('HB-D2 Besondere Lstg Bund'!H30&gt;0,"v.H.","pauschal")),"")))</f>
        <v/>
      </c>
      <c r="E75" s="1192" t="str">
        <f>IF(AND(Projektgrundlagen!$I$21,'StB-D1 Besondere Lstg'!M30=TRUE),'StB-D1 Besondere Lstg'!J30,IF(AND(Projektgrundlagen!$I$22,'HB-D1 Besondere Lstg Land'!M30=TRUE),'HB-D1 Besondere Lstg Land'!H30+'HB-D1 Besondere Lstg Land'!J30,IF(AND(Projektgrundlagen!$I$23,'HB-D2 Besondere Lstg Bund'!M30=TRUE),'HB-D2 Besondere Lstg Bund'!H30+'HB-D2 Besondere Lstg Bund'!J30,"")))</f>
        <v/>
      </c>
      <c r="F75" s="1192" t="str">
        <f>IF(AND(Projektgrundlagen!$I$21,'StB-D1 Besondere Lstg'!M30=TRUE),'StB-D1 Besondere Lstg'!K30,IF(AND(Projektgrundlagen!$I$22,'HB-D1 Besondere Lstg Land'!M30=TRUE),'HB-D1 Besondere Lstg Land'!K30,IF(AND(Projektgrundlagen!$I$23,'HB-D2 Besondere Lstg Bund'!M30=TRUE),'HB-D2 Besondere Lstg Bund'!K30,"")))</f>
        <v/>
      </c>
      <c r="G75" s="1200"/>
      <c r="H75" s="1201"/>
    </row>
    <row r="76" spans="2:8" ht="14.25">
      <c r="B76" t="str">
        <f>IF(AND(Projektgrundlagen!$I$21,'StB-D1 Besondere Lstg'!M31=TRUE),'StB-D1 Besondere Lstg'!C31&amp;" "&amp;'StB-D1 Besondere Lstg'!F31&amp;" "&amp;'StB-D1 Besondere Lstg'!F32,IF(AND(Projektgrundlagen!$I$22,'HB-D1 Besondere Lstg Land'!M31=TRUE),'HB-D1 Besondere Lstg Land'!C31&amp;" "&amp;'HB-D1 Besondere Lstg Land'!F31&amp;" "&amp;'HB-D1 Besondere Lstg Land'!F32,IF(AND(Projektgrundlagen!$I$23,'HB-D2 Besondere Lstg Bund'!M31=TRUE),'HB-D2 Besondere Lstg Bund'!C31&amp;" "&amp;'HB-D2 Besondere Lstg Bund'!F31&amp;" "&amp;'HB-D2 Besondere Lstg Bund'!F32,"")))</f>
        <v/>
      </c>
      <c r="C76" s="1192" t="str">
        <f>IF(AND(Projektgrundlagen!$I$21,'StB-D1 Besondere Lstg'!M31=TRUE),'StB-D1 Besondere Lstg'!H31,"")</f>
        <v/>
      </c>
      <c r="D76" s="1192" t="str">
        <f>IF(AND(Projektgrundlagen!$I$21,'StB-D1 Besondere Lstg'!M31=TRUE),'StB-D1 Besondere Lstg'!I31,IF(AND(Projektgrundlagen!$I$22,'HB-D1 Besondere Lstg Land'!M31=TRUE),(IF('HB-D1 Besondere Lstg Land'!H31&gt;0,"v.H.","pauschal")),IF(AND(Projektgrundlagen!$I$23,'HB-D2 Besondere Lstg Bund'!M31=TRUE),(IF('HB-D2 Besondere Lstg Bund'!H31&gt;0,"v.H.","pauschal")),"")))</f>
        <v/>
      </c>
      <c r="E76" s="1192" t="str">
        <f>IF(AND(Projektgrundlagen!$I$21,'StB-D1 Besondere Lstg'!M31=TRUE),'StB-D1 Besondere Lstg'!J31,IF(AND(Projektgrundlagen!$I$22,'HB-D1 Besondere Lstg Land'!M31=TRUE),'HB-D1 Besondere Lstg Land'!H31+'HB-D1 Besondere Lstg Land'!J31,IF(AND(Projektgrundlagen!$I$23,'HB-D2 Besondere Lstg Bund'!M31=TRUE),'HB-D2 Besondere Lstg Bund'!H31+'HB-D2 Besondere Lstg Bund'!J31,"")))</f>
        <v/>
      </c>
      <c r="F76" s="1192" t="str">
        <f>IF(AND(Projektgrundlagen!$I$21,'StB-D1 Besondere Lstg'!M31=TRUE),'StB-D1 Besondere Lstg'!K31,IF(AND(Projektgrundlagen!$I$22,'HB-D1 Besondere Lstg Land'!M31=TRUE),'HB-D1 Besondere Lstg Land'!K31,IF(AND(Projektgrundlagen!$I$23,'HB-D2 Besondere Lstg Bund'!M31=TRUE),'HB-D2 Besondere Lstg Bund'!K31,"")))</f>
        <v/>
      </c>
      <c r="G76" s="1200"/>
      <c r="H76" s="1201"/>
    </row>
    <row r="77" spans="2:8" ht="14.25">
      <c r="B77" t="str">
        <f>IF(AND(Projektgrundlagen!$I$21,'StB-D1 Besondere Lstg'!M32=TRUE),'StB-D1 Besondere Lstg'!C32&amp;" "&amp;'StB-D1 Besondere Lstg'!F32&amp;" "&amp;'StB-D1 Besondere Lstg'!F33,IF(AND(Projektgrundlagen!$I$22,'HB-D1 Besondere Lstg Land'!M32=TRUE),'HB-D1 Besondere Lstg Land'!C32&amp;" "&amp;'HB-D1 Besondere Lstg Land'!F32&amp;" "&amp;'HB-D1 Besondere Lstg Land'!F33,IF(AND(Projektgrundlagen!$I$23,'HB-D2 Besondere Lstg Bund'!M32=TRUE),'HB-D2 Besondere Lstg Bund'!C32&amp;" "&amp;'HB-D2 Besondere Lstg Bund'!F32&amp;" "&amp;'HB-D2 Besondere Lstg Bund'!F33,"")))</f>
        <v/>
      </c>
      <c r="C77" s="1192" t="str">
        <f>IF(AND(Projektgrundlagen!$I$21,'StB-D1 Besondere Lstg'!M32=TRUE),'StB-D1 Besondere Lstg'!H32,"")</f>
        <v/>
      </c>
      <c r="D77" s="1192" t="str">
        <f>IF(AND(Projektgrundlagen!$I$21,'StB-D1 Besondere Lstg'!M32=TRUE),'StB-D1 Besondere Lstg'!I32,IF(AND(Projektgrundlagen!$I$22,'HB-D1 Besondere Lstg Land'!M32=TRUE),(IF('HB-D1 Besondere Lstg Land'!H32&gt;0,"v.H.","pauschal")),IF(AND(Projektgrundlagen!$I$23,'HB-D2 Besondere Lstg Bund'!M32=TRUE),(IF('HB-D2 Besondere Lstg Bund'!H32&gt;0,"v.H.","pauschal")),"")))</f>
        <v/>
      </c>
      <c r="E77" s="1192" t="str">
        <f>IF(AND(Projektgrundlagen!$I$21,'StB-D1 Besondere Lstg'!M32=TRUE),'StB-D1 Besondere Lstg'!J32,IF(AND(Projektgrundlagen!$I$22,'HB-D1 Besondere Lstg Land'!M32=TRUE),'HB-D1 Besondere Lstg Land'!H32+'HB-D1 Besondere Lstg Land'!J32,IF(AND(Projektgrundlagen!$I$23,'HB-D2 Besondere Lstg Bund'!M32=TRUE),'HB-D2 Besondere Lstg Bund'!H32+'HB-D2 Besondere Lstg Bund'!J32,"")))</f>
        <v/>
      </c>
      <c r="F77" s="1192" t="str">
        <f>IF(AND(Projektgrundlagen!$I$21,'StB-D1 Besondere Lstg'!M32=TRUE),'StB-D1 Besondere Lstg'!K32,IF(AND(Projektgrundlagen!$I$22,'HB-D1 Besondere Lstg Land'!M32=TRUE),'HB-D1 Besondere Lstg Land'!K32,IF(AND(Projektgrundlagen!$I$23,'HB-D2 Besondere Lstg Bund'!M32=TRUE),'HB-D2 Besondere Lstg Bund'!K32,"")))</f>
        <v/>
      </c>
      <c r="G77" s="1200"/>
      <c r="H77" s="1201"/>
    </row>
    <row r="78" spans="2:8" ht="14.25">
      <c r="B78" t="str">
        <f>IF(AND(Projektgrundlagen!$I$21,'StB-D1 Besondere Lstg'!M33=TRUE),'StB-D1 Besondere Lstg'!C33&amp;" "&amp;'StB-D1 Besondere Lstg'!F33&amp;" "&amp;'StB-D1 Besondere Lstg'!F34,IF(AND(Projektgrundlagen!$I$22,'HB-D1 Besondere Lstg Land'!M33=TRUE),'HB-D1 Besondere Lstg Land'!C33&amp;" "&amp;'HB-D1 Besondere Lstg Land'!F33&amp;" "&amp;'HB-D1 Besondere Lstg Land'!F34,IF(AND(Projektgrundlagen!$I$23,'HB-D2 Besondere Lstg Bund'!M33=TRUE),'HB-D2 Besondere Lstg Bund'!C33&amp;" "&amp;'HB-D2 Besondere Lstg Bund'!F33&amp;" "&amp;'HB-D2 Besondere Lstg Bund'!F34,"")))</f>
        <v/>
      </c>
      <c r="C78" s="1192" t="str">
        <f>IF(AND(Projektgrundlagen!$I$21,'StB-D1 Besondere Lstg'!M33=TRUE),'StB-D1 Besondere Lstg'!H33,"")</f>
        <v/>
      </c>
      <c r="D78" s="1192" t="str">
        <f>IF(AND(Projektgrundlagen!$I$21,'StB-D1 Besondere Lstg'!M33=TRUE),'StB-D1 Besondere Lstg'!I33,IF(AND(Projektgrundlagen!$I$22,'HB-D1 Besondere Lstg Land'!M33=TRUE),(IF('HB-D1 Besondere Lstg Land'!H33&gt;0,"v.H.","pauschal")),IF(AND(Projektgrundlagen!$I$23,'HB-D2 Besondere Lstg Bund'!M33=TRUE),(IF('HB-D2 Besondere Lstg Bund'!H33&gt;0,"v.H.","pauschal")),"")))</f>
        <v/>
      </c>
      <c r="E78" s="1192" t="str">
        <f>IF(AND(Projektgrundlagen!$I$21,'StB-D1 Besondere Lstg'!M33=TRUE),'StB-D1 Besondere Lstg'!J33,IF(AND(Projektgrundlagen!$I$22,'HB-D1 Besondere Lstg Land'!M33=TRUE),'HB-D1 Besondere Lstg Land'!H33+'HB-D1 Besondere Lstg Land'!J33,IF(AND(Projektgrundlagen!$I$23,'HB-D2 Besondere Lstg Bund'!M33=TRUE),'HB-D2 Besondere Lstg Bund'!H33+'HB-D2 Besondere Lstg Bund'!J33,"")))</f>
        <v/>
      </c>
      <c r="F78" s="1192" t="str">
        <f>IF(AND(Projektgrundlagen!$I$21,'StB-D1 Besondere Lstg'!M33=TRUE),'StB-D1 Besondere Lstg'!K33,IF(AND(Projektgrundlagen!$I$22,'HB-D1 Besondere Lstg Land'!M33=TRUE),'HB-D1 Besondere Lstg Land'!K33,IF(AND(Projektgrundlagen!$I$23,'HB-D2 Besondere Lstg Bund'!M33=TRUE),'HB-D2 Besondere Lstg Bund'!K33,"")))</f>
        <v/>
      </c>
      <c r="G78" s="1200"/>
      <c r="H78" s="1201"/>
    </row>
    <row r="79" spans="2:8" ht="14.25">
      <c r="B79" t="str">
        <f>IF(AND(Projektgrundlagen!$I$21,'StB-D1 Besondere Lstg'!M34=TRUE),'StB-D1 Besondere Lstg'!C34&amp;" "&amp;'StB-D1 Besondere Lstg'!F34&amp;" "&amp;'StB-D1 Besondere Lstg'!F35,IF(AND(Projektgrundlagen!$I$22,'HB-D1 Besondere Lstg Land'!M34=TRUE),'HB-D1 Besondere Lstg Land'!C34&amp;" "&amp;'HB-D1 Besondere Lstg Land'!F34&amp;" "&amp;'HB-D1 Besondere Lstg Land'!F35,IF(AND(Projektgrundlagen!$I$23,'HB-D2 Besondere Lstg Bund'!M34=TRUE),'HB-D2 Besondere Lstg Bund'!C34&amp;" "&amp;'HB-D2 Besondere Lstg Bund'!F34&amp;" "&amp;'HB-D2 Besondere Lstg Bund'!F35,"")))</f>
        <v/>
      </c>
      <c r="C79" s="1192" t="str">
        <f>IF(AND(Projektgrundlagen!$I$21,'StB-D1 Besondere Lstg'!M34=TRUE),'StB-D1 Besondere Lstg'!H34,"")</f>
        <v/>
      </c>
      <c r="D79" s="1192" t="str">
        <f>IF(AND(Projektgrundlagen!$I$21,'StB-D1 Besondere Lstg'!M34=TRUE),'StB-D1 Besondere Lstg'!I34,IF(AND(Projektgrundlagen!$I$22,'HB-D1 Besondere Lstg Land'!M34=TRUE),(IF('HB-D1 Besondere Lstg Land'!H34&gt;0,"v.H.","pauschal")),IF(AND(Projektgrundlagen!$I$23,'HB-D2 Besondere Lstg Bund'!M34=TRUE),(IF('HB-D2 Besondere Lstg Bund'!H34&gt;0,"v.H.","pauschal")),"")))</f>
        <v/>
      </c>
      <c r="E79" s="1192" t="str">
        <f>IF(AND(Projektgrundlagen!$I$21,'StB-D1 Besondere Lstg'!M34=TRUE),'StB-D1 Besondere Lstg'!J34,IF(AND(Projektgrundlagen!$I$22,'HB-D1 Besondere Lstg Land'!M34=TRUE),'HB-D1 Besondere Lstg Land'!H34+'HB-D1 Besondere Lstg Land'!J34,IF(AND(Projektgrundlagen!$I$23,'HB-D2 Besondere Lstg Bund'!M34=TRUE),'HB-D2 Besondere Lstg Bund'!H34+'HB-D2 Besondere Lstg Bund'!J34,"")))</f>
        <v/>
      </c>
      <c r="F79" s="1192" t="str">
        <f>IF(AND(Projektgrundlagen!$I$21,'StB-D1 Besondere Lstg'!M34=TRUE),'StB-D1 Besondere Lstg'!K34,IF(AND(Projektgrundlagen!$I$22,'HB-D1 Besondere Lstg Land'!M34=TRUE),'HB-D1 Besondere Lstg Land'!K34,IF(AND(Projektgrundlagen!$I$23,'HB-D2 Besondere Lstg Bund'!M34=TRUE),'HB-D2 Besondere Lstg Bund'!K34,"")))</f>
        <v/>
      </c>
      <c r="G79" s="1200"/>
      <c r="H79" s="1201"/>
    </row>
    <row r="80" spans="2:8" ht="14.25">
      <c r="B80" t="str">
        <f>IF(AND(Projektgrundlagen!$I$21,'StB-D1 Besondere Lstg'!M35=TRUE),'StB-D1 Besondere Lstg'!C35&amp;" "&amp;'StB-D1 Besondere Lstg'!F35&amp;" "&amp;'StB-D1 Besondere Lstg'!F36,IF(AND(Projektgrundlagen!$I$22,'HB-D1 Besondere Lstg Land'!M35=TRUE),'HB-D1 Besondere Lstg Land'!C35&amp;" "&amp;'HB-D1 Besondere Lstg Land'!F35&amp;" "&amp;'HB-D1 Besondere Lstg Land'!F36,IF(AND(Projektgrundlagen!$I$23,'HB-D2 Besondere Lstg Bund'!M35=TRUE),'HB-D2 Besondere Lstg Bund'!C35&amp;" "&amp;'HB-D2 Besondere Lstg Bund'!F35&amp;" "&amp;'HB-D2 Besondere Lstg Bund'!F36,"")))</f>
        <v/>
      </c>
      <c r="C80" s="1192" t="str">
        <f>IF(AND(Projektgrundlagen!$I$21,'StB-D1 Besondere Lstg'!M35=TRUE),'StB-D1 Besondere Lstg'!H35,"")</f>
        <v/>
      </c>
      <c r="D80" s="1192" t="str">
        <f>IF(AND(Projektgrundlagen!$I$21,'StB-D1 Besondere Lstg'!M35=TRUE),'StB-D1 Besondere Lstg'!I35,IF(AND(Projektgrundlagen!$I$22,'HB-D1 Besondere Lstg Land'!M35=TRUE),(IF('HB-D1 Besondere Lstg Land'!H35&gt;0,"v.H.","pauschal")),IF(AND(Projektgrundlagen!$I$23,'HB-D2 Besondere Lstg Bund'!M35=TRUE),(IF('HB-D2 Besondere Lstg Bund'!H35&gt;0,"v.H.","pauschal")),"")))</f>
        <v/>
      </c>
      <c r="E80" s="1192" t="str">
        <f>IF(AND(Projektgrundlagen!$I$21,'StB-D1 Besondere Lstg'!M35=TRUE),'StB-D1 Besondere Lstg'!J35,IF(AND(Projektgrundlagen!$I$22,'HB-D1 Besondere Lstg Land'!M35=TRUE),'HB-D1 Besondere Lstg Land'!H35+'HB-D1 Besondere Lstg Land'!J35,IF(AND(Projektgrundlagen!$I$23,'HB-D2 Besondere Lstg Bund'!M35=TRUE),'HB-D2 Besondere Lstg Bund'!H35+'HB-D2 Besondere Lstg Bund'!J35,"")))</f>
        <v/>
      </c>
      <c r="F80" s="1192" t="str">
        <f>IF(AND(Projektgrundlagen!$I$21,'StB-D1 Besondere Lstg'!M35=TRUE),'StB-D1 Besondere Lstg'!K35,IF(AND(Projektgrundlagen!$I$22,'HB-D1 Besondere Lstg Land'!M35=TRUE),'HB-D1 Besondere Lstg Land'!K35,IF(AND(Projektgrundlagen!$I$23,'HB-D2 Besondere Lstg Bund'!M35=TRUE),'HB-D2 Besondere Lstg Bund'!K35,"")))</f>
        <v/>
      </c>
      <c r="G80" s="1200"/>
      <c r="H80" s="1201"/>
    </row>
    <row r="81" spans="2:8" ht="14.25">
      <c r="B81" t="str">
        <f>IF(AND(Projektgrundlagen!$I$21,'StB-D1 Besondere Lstg'!M36=TRUE),'StB-D1 Besondere Lstg'!C36&amp;" "&amp;'StB-D1 Besondere Lstg'!F36&amp;" "&amp;'StB-D1 Besondere Lstg'!F37,IF(AND(Projektgrundlagen!$I$22,'HB-D1 Besondere Lstg Land'!M36=TRUE),'HB-D1 Besondere Lstg Land'!C36&amp;" "&amp;'HB-D1 Besondere Lstg Land'!F36&amp;" "&amp;'HB-D1 Besondere Lstg Land'!F37,IF(AND(Projektgrundlagen!$I$23,'HB-D2 Besondere Lstg Bund'!M36=TRUE),'HB-D2 Besondere Lstg Bund'!C36&amp;" "&amp;'HB-D2 Besondere Lstg Bund'!F36&amp;" "&amp;'HB-D2 Besondere Lstg Bund'!F37,"")))</f>
        <v/>
      </c>
      <c r="C81" s="1192" t="str">
        <f>IF(AND(Projektgrundlagen!$I$21,'StB-D1 Besondere Lstg'!M36=TRUE),'StB-D1 Besondere Lstg'!H36,"")</f>
        <v/>
      </c>
      <c r="D81" s="1192" t="str">
        <f>IF(AND(Projektgrundlagen!$I$21,'StB-D1 Besondere Lstg'!M36=TRUE),'StB-D1 Besondere Lstg'!I36,IF(AND(Projektgrundlagen!$I$22,'HB-D1 Besondere Lstg Land'!M36=TRUE),(IF('HB-D1 Besondere Lstg Land'!H36&gt;0,"v.H.","pauschal")),IF(AND(Projektgrundlagen!$I$23,'HB-D2 Besondere Lstg Bund'!M36=TRUE),(IF('HB-D2 Besondere Lstg Bund'!H36&gt;0,"v.H.","pauschal")),"")))</f>
        <v/>
      </c>
      <c r="E81" s="1192" t="str">
        <f>IF(AND(Projektgrundlagen!$I$21,'StB-D1 Besondere Lstg'!M36=TRUE),'StB-D1 Besondere Lstg'!J36,IF(AND(Projektgrundlagen!$I$22,'HB-D1 Besondere Lstg Land'!M36=TRUE),'HB-D1 Besondere Lstg Land'!H36+'HB-D1 Besondere Lstg Land'!J36,IF(AND(Projektgrundlagen!$I$23,'HB-D2 Besondere Lstg Bund'!M36=TRUE),'HB-D2 Besondere Lstg Bund'!H36+'HB-D2 Besondere Lstg Bund'!J36,"")))</f>
        <v/>
      </c>
      <c r="F81" s="1192" t="str">
        <f>IF(AND(Projektgrundlagen!$I$21,'StB-D1 Besondere Lstg'!M36=TRUE),'StB-D1 Besondere Lstg'!K36,IF(AND(Projektgrundlagen!$I$22,'HB-D1 Besondere Lstg Land'!M36=TRUE),'HB-D1 Besondere Lstg Land'!K36,IF(AND(Projektgrundlagen!$I$23,'HB-D2 Besondere Lstg Bund'!M36=TRUE),'HB-D2 Besondere Lstg Bund'!K36,"")))</f>
        <v/>
      </c>
      <c r="G81" s="1200"/>
      <c r="H81" s="1201"/>
    </row>
    <row r="82" spans="2:8" ht="14.25">
      <c r="B82" t="str">
        <f>IF(AND(Projektgrundlagen!$I$21,'StB-D1 Besondere Lstg'!M37=TRUE),'StB-D1 Besondere Lstg'!C37&amp;" "&amp;'StB-D1 Besondere Lstg'!F37&amp;" "&amp;'StB-D1 Besondere Lstg'!F38,IF(AND(Projektgrundlagen!$I$22,'HB-D1 Besondere Lstg Land'!M37=TRUE),'HB-D1 Besondere Lstg Land'!C37&amp;" "&amp;'HB-D1 Besondere Lstg Land'!F37&amp;" "&amp;'HB-D1 Besondere Lstg Land'!F38,IF(AND(Projektgrundlagen!$I$23,'HB-D2 Besondere Lstg Bund'!M37=TRUE),'HB-D2 Besondere Lstg Bund'!C37&amp;" "&amp;'HB-D2 Besondere Lstg Bund'!F37&amp;" "&amp;'HB-D2 Besondere Lstg Bund'!F38,"")))</f>
        <v/>
      </c>
      <c r="C82" s="1192" t="str">
        <f>IF(AND(Projektgrundlagen!$I$21,'StB-D1 Besondere Lstg'!M37=TRUE),'StB-D1 Besondere Lstg'!H37,"")</f>
        <v/>
      </c>
      <c r="D82" s="1192" t="str">
        <f>IF(AND(Projektgrundlagen!$I$21,'StB-D1 Besondere Lstg'!M37=TRUE),'StB-D1 Besondere Lstg'!I37,IF(AND(Projektgrundlagen!$I$22,'HB-D1 Besondere Lstg Land'!M37=TRUE),(IF('HB-D1 Besondere Lstg Land'!H37&gt;0,"v.H.","pauschal")),IF(AND(Projektgrundlagen!$I$23,'HB-D2 Besondere Lstg Bund'!M37=TRUE),(IF('HB-D2 Besondere Lstg Bund'!H37&gt;0,"v.H.","pauschal")),"")))</f>
        <v/>
      </c>
      <c r="E82" s="1192" t="str">
        <f>IF(AND(Projektgrundlagen!$I$21,'StB-D1 Besondere Lstg'!M37=TRUE),'StB-D1 Besondere Lstg'!J37,IF(AND(Projektgrundlagen!$I$22,'HB-D1 Besondere Lstg Land'!M37=TRUE),'HB-D1 Besondere Lstg Land'!H37+'HB-D1 Besondere Lstg Land'!J37,IF(AND(Projektgrundlagen!$I$23,'HB-D2 Besondere Lstg Bund'!M37=TRUE),'HB-D2 Besondere Lstg Bund'!H37+'HB-D2 Besondere Lstg Bund'!J37,"")))</f>
        <v/>
      </c>
      <c r="F82" s="1192" t="str">
        <f>IF(AND(Projektgrundlagen!$I$21,'StB-D1 Besondere Lstg'!M37=TRUE),'StB-D1 Besondere Lstg'!K37,IF(AND(Projektgrundlagen!$I$22,'HB-D1 Besondere Lstg Land'!M37=TRUE),'HB-D1 Besondere Lstg Land'!K37,IF(AND(Projektgrundlagen!$I$23,'HB-D2 Besondere Lstg Bund'!M37=TRUE),'HB-D2 Besondere Lstg Bund'!K37,"")))</f>
        <v/>
      </c>
      <c r="G82" s="1200"/>
      <c r="H82" s="1201"/>
    </row>
    <row r="83" spans="2:8" ht="14.25">
      <c r="B83" t="str">
        <f>IF(AND(Projektgrundlagen!$I$21,'StB-D1 Besondere Lstg'!M38=TRUE),'StB-D1 Besondere Lstg'!C38&amp;" "&amp;'StB-D1 Besondere Lstg'!F38&amp;" "&amp;'StB-D1 Besondere Lstg'!F39,IF(AND(Projektgrundlagen!$I$22,'HB-D1 Besondere Lstg Land'!M38=TRUE),'HB-D1 Besondere Lstg Land'!C38&amp;" "&amp;'HB-D1 Besondere Lstg Land'!F38&amp;" "&amp;'HB-D1 Besondere Lstg Land'!F39,IF(AND(Projektgrundlagen!$I$23,'HB-D2 Besondere Lstg Bund'!M38=TRUE),'HB-D2 Besondere Lstg Bund'!C38&amp;" "&amp;'HB-D2 Besondere Lstg Bund'!F38&amp;" "&amp;'HB-D2 Besondere Lstg Bund'!F39,"")))</f>
        <v/>
      </c>
      <c r="C83" s="1192" t="str">
        <f>IF(AND(Projektgrundlagen!$I$21,'StB-D1 Besondere Lstg'!M38=TRUE),'StB-D1 Besondere Lstg'!H38,"")</f>
        <v/>
      </c>
      <c r="D83" s="1192" t="str">
        <f>IF(AND(Projektgrundlagen!$I$21,'StB-D1 Besondere Lstg'!M38=TRUE),'StB-D1 Besondere Lstg'!I38,IF(AND(Projektgrundlagen!$I$22,'HB-D1 Besondere Lstg Land'!M38=TRUE),(IF('HB-D1 Besondere Lstg Land'!H38&gt;0,"v.H.","pauschal")),IF(AND(Projektgrundlagen!$I$23,'HB-D2 Besondere Lstg Bund'!M38=TRUE),(IF('HB-D2 Besondere Lstg Bund'!H38&gt;0,"v.H.","pauschal")),"")))</f>
        <v/>
      </c>
      <c r="E83" s="1192" t="str">
        <f>IF(AND(Projektgrundlagen!$I$21,'StB-D1 Besondere Lstg'!M38=TRUE),'StB-D1 Besondere Lstg'!J38,IF(AND(Projektgrundlagen!$I$22,'HB-D1 Besondere Lstg Land'!M38=TRUE),'HB-D1 Besondere Lstg Land'!H38+'HB-D1 Besondere Lstg Land'!J38,IF(AND(Projektgrundlagen!$I$23,'HB-D2 Besondere Lstg Bund'!M38=TRUE),'HB-D2 Besondere Lstg Bund'!H38+'HB-D2 Besondere Lstg Bund'!J38,"")))</f>
        <v/>
      </c>
      <c r="F83" s="1192" t="str">
        <f>IF(AND(Projektgrundlagen!$I$21,'StB-D1 Besondere Lstg'!M38=TRUE),'StB-D1 Besondere Lstg'!K38,IF(AND(Projektgrundlagen!$I$22,'HB-D1 Besondere Lstg Land'!M38=TRUE),'HB-D1 Besondere Lstg Land'!K38,IF(AND(Projektgrundlagen!$I$23,'HB-D2 Besondere Lstg Bund'!M38=TRUE),'HB-D2 Besondere Lstg Bund'!K38,"")))</f>
        <v/>
      </c>
      <c r="G83" s="1200"/>
      <c r="H83" s="1201"/>
    </row>
    <row r="84" spans="2:8" ht="14.25">
      <c r="B84" t="str">
        <f>IF(AND(Projektgrundlagen!$I$21,'StB-D1 Besondere Lstg'!M39=TRUE),'StB-D1 Besondere Lstg'!C39&amp;" "&amp;'StB-D1 Besondere Lstg'!F39&amp;" "&amp;'StB-D1 Besondere Lstg'!F40,IF(AND(Projektgrundlagen!$I$22,'HB-D1 Besondere Lstg Land'!M39=TRUE),'HB-D1 Besondere Lstg Land'!C39&amp;" "&amp;'HB-D1 Besondere Lstg Land'!F39&amp;" "&amp;'HB-D1 Besondere Lstg Land'!F40,IF(AND(Projektgrundlagen!$I$23,'HB-D2 Besondere Lstg Bund'!M39=TRUE),'HB-D2 Besondere Lstg Bund'!C39&amp;" "&amp;'HB-D2 Besondere Lstg Bund'!F39&amp;" "&amp;'HB-D2 Besondere Lstg Bund'!F40,"")))</f>
        <v/>
      </c>
      <c r="C84" s="1192" t="str">
        <f>IF(AND(Projektgrundlagen!$I$21,'StB-D1 Besondere Lstg'!M39=TRUE),'StB-D1 Besondere Lstg'!H39,"")</f>
        <v/>
      </c>
      <c r="D84" s="1192" t="str">
        <f>IF(AND(Projektgrundlagen!$I$21,'StB-D1 Besondere Lstg'!M39=TRUE),'StB-D1 Besondere Lstg'!I39,IF(AND(Projektgrundlagen!$I$22,'HB-D1 Besondere Lstg Land'!M39=TRUE),(IF('HB-D1 Besondere Lstg Land'!H39&gt;0,"v.H.","pauschal")),IF(AND(Projektgrundlagen!$I$23,'HB-D2 Besondere Lstg Bund'!M39=TRUE),(IF('HB-D2 Besondere Lstg Bund'!H39&gt;0,"v.H.","pauschal")),"")))</f>
        <v/>
      </c>
      <c r="E84" s="1192" t="str">
        <f>IF(AND(Projektgrundlagen!$I$21,'StB-D1 Besondere Lstg'!M39=TRUE),'StB-D1 Besondere Lstg'!J39,IF(AND(Projektgrundlagen!$I$22,'HB-D1 Besondere Lstg Land'!M39=TRUE),'HB-D1 Besondere Lstg Land'!H39+'HB-D1 Besondere Lstg Land'!J39,IF(AND(Projektgrundlagen!$I$23,'HB-D2 Besondere Lstg Bund'!M39=TRUE),'HB-D2 Besondere Lstg Bund'!H39+'HB-D2 Besondere Lstg Bund'!J39,"")))</f>
        <v/>
      </c>
      <c r="F84" s="1192" t="str">
        <f>IF(AND(Projektgrundlagen!$I$21,'StB-D1 Besondere Lstg'!M39=TRUE),'StB-D1 Besondere Lstg'!K39,IF(AND(Projektgrundlagen!$I$22,'HB-D1 Besondere Lstg Land'!M39=TRUE),'HB-D1 Besondere Lstg Land'!K39,IF(AND(Projektgrundlagen!$I$23,'HB-D2 Besondere Lstg Bund'!M39=TRUE),'HB-D2 Besondere Lstg Bund'!K39,"")))</f>
        <v/>
      </c>
      <c r="G84" s="1200"/>
      <c r="H84" s="1201"/>
    </row>
    <row r="85" spans="2:8" ht="14.25">
      <c r="B85" t="str">
        <f>IF(AND(Projektgrundlagen!$I$21,'StB-D1 Besondere Lstg'!M40=TRUE),'StB-D1 Besondere Lstg'!C40&amp;" "&amp;'StB-D1 Besondere Lstg'!F40&amp;" "&amp;'StB-D1 Besondere Lstg'!F41,IF(AND(Projektgrundlagen!$I$22,'HB-D1 Besondere Lstg Land'!M40=TRUE),'HB-D1 Besondere Lstg Land'!C40&amp;" "&amp;'HB-D1 Besondere Lstg Land'!F40&amp;" "&amp;'HB-D1 Besondere Lstg Land'!F41,IF(AND(Projektgrundlagen!$I$23,'HB-D2 Besondere Lstg Bund'!M40=TRUE),'HB-D2 Besondere Lstg Bund'!C40&amp;" "&amp;'HB-D2 Besondere Lstg Bund'!F40&amp;" "&amp;'HB-D2 Besondere Lstg Bund'!F41,"")))</f>
        <v/>
      </c>
      <c r="C85" s="1192" t="str">
        <f>IF(AND(Projektgrundlagen!$I$21,'StB-D1 Besondere Lstg'!M40=TRUE),'StB-D1 Besondere Lstg'!H40,"")</f>
        <v/>
      </c>
      <c r="D85" s="1192" t="str">
        <f>IF(AND(Projektgrundlagen!$I$21,'StB-D1 Besondere Lstg'!M40=TRUE),'StB-D1 Besondere Lstg'!I40,IF(AND(Projektgrundlagen!$I$22,'HB-D1 Besondere Lstg Land'!M40=TRUE),(IF('HB-D1 Besondere Lstg Land'!H40&gt;0,"v.H.","pauschal")),IF(AND(Projektgrundlagen!$I$23,'HB-D2 Besondere Lstg Bund'!M40=TRUE),(IF('HB-D2 Besondere Lstg Bund'!H40&gt;0,"v.H.","pauschal")),"")))</f>
        <v/>
      </c>
      <c r="E85" s="1192" t="str">
        <f>IF(AND(Projektgrundlagen!$I$21,'StB-D1 Besondere Lstg'!M40=TRUE),'StB-D1 Besondere Lstg'!J40,IF(AND(Projektgrundlagen!$I$22,'HB-D1 Besondere Lstg Land'!M40=TRUE),'HB-D1 Besondere Lstg Land'!H40+'HB-D1 Besondere Lstg Land'!J40,IF(AND(Projektgrundlagen!$I$23,'HB-D2 Besondere Lstg Bund'!M40=TRUE),'HB-D2 Besondere Lstg Bund'!H40+'HB-D2 Besondere Lstg Bund'!J40,"")))</f>
        <v/>
      </c>
      <c r="F85" s="1192" t="str">
        <f>IF(AND(Projektgrundlagen!$I$21,'StB-D1 Besondere Lstg'!M40=TRUE),'StB-D1 Besondere Lstg'!K40,IF(AND(Projektgrundlagen!$I$22,'HB-D1 Besondere Lstg Land'!M40=TRUE),'HB-D1 Besondere Lstg Land'!K40,IF(AND(Projektgrundlagen!$I$23,'HB-D2 Besondere Lstg Bund'!M40=TRUE),'HB-D2 Besondere Lstg Bund'!K40,"")))</f>
        <v/>
      </c>
      <c r="G85" s="1200"/>
      <c r="H85" s="1201"/>
    </row>
    <row r="86" spans="2:8" ht="14.25">
      <c r="B86" t="str">
        <f>IF(AND(Projektgrundlagen!$I$21,'StB-D1 Besondere Lstg'!M41=TRUE),'StB-D1 Besondere Lstg'!C41&amp;" "&amp;'StB-D1 Besondere Lstg'!F41&amp;" "&amp;'StB-D1 Besondere Lstg'!F42,IF(AND(Projektgrundlagen!$I$22,'HB-D1 Besondere Lstg Land'!M41=TRUE),'HB-D1 Besondere Lstg Land'!C41&amp;" "&amp;'HB-D1 Besondere Lstg Land'!F41&amp;" "&amp;'HB-D1 Besondere Lstg Land'!F42,IF(AND(Projektgrundlagen!$I$23,'HB-D2 Besondere Lstg Bund'!M41=TRUE),'HB-D2 Besondere Lstg Bund'!C41&amp;" "&amp;'HB-D2 Besondere Lstg Bund'!F41&amp;" "&amp;'HB-D2 Besondere Lstg Bund'!F42,"")))</f>
        <v/>
      </c>
      <c r="C86" s="1192" t="str">
        <f>IF(AND(Projektgrundlagen!$I$21,'StB-D1 Besondere Lstg'!M41=TRUE),'StB-D1 Besondere Lstg'!H41,"")</f>
        <v/>
      </c>
      <c r="D86" s="1192" t="str">
        <f>IF(AND(Projektgrundlagen!$I$21,'StB-D1 Besondere Lstg'!M41=TRUE),'StB-D1 Besondere Lstg'!I41,IF(AND(Projektgrundlagen!$I$22,'HB-D1 Besondere Lstg Land'!M41=TRUE),(IF('HB-D1 Besondere Lstg Land'!H41&gt;0,"v.H.","pauschal")),IF(AND(Projektgrundlagen!$I$23,'HB-D2 Besondere Lstg Bund'!M41=TRUE),(IF('HB-D2 Besondere Lstg Bund'!H41&gt;0,"v.H.","pauschal")),"")))</f>
        <v/>
      </c>
      <c r="E86" s="1192" t="str">
        <f>IF(AND(Projektgrundlagen!$I$21,'StB-D1 Besondere Lstg'!M41=TRUE),'StB-D1 Besondere Lstg'!J41,IF(AND(Projektgrundlagen!$I$22,'HB-D1 Besondere Lstg Land'!M41=TRUE),'HB-D1 Besondere Lstg Land'!H41+'HB-D1 Besondere Lstg Land'!J41,IF(AND(Projektgrundlagen!$I$23,'HB-D2 Besondere Lstg Bund'!M41=TRUE),'HB-D2 Besondere Lstg Bund'!H41+'HB-D2 Besondere Lstg Bund'!J41,"")))</f>
        <v/>
      </c>
      <c r="F86" s="1192" t="str">
        <f>IF(AND(Projektgrundlagen!$I$21,'StB-D1 Besondere Lstg'!M41=TRUE),'StB-D1 Besondere Lstg'!K41,IF(AND(Projektgrundlagen!$I$22,'HB-D1 Besondere Lstg Land'!M41=TRUE),'HB-D1 Besondere Lstg Land'!K41,IF(AND(Projektgrundlagen!$I$23,'HB-D2 Besondere Lstg Bund'!M41=TRUE),'HB-D2 Besondere Lstg Bund'!K41,"")))</f>
        <v/>
      </c>
      <c r="G86" s="1200"/>
      <c r="H86" s="1201"/>
    </row>
    <row r="87" spans="2:8" ht="14.25">
      <c r="B87" t="str">
        <f>IF(AND(Projektgrundlagen!$I$21,'StB-D1 Besondere Lstg'!M42=TRUE),'StB-D1 Besondere Lstg'!C42&amp;" "&amp;'StB-D1 Besondere Lstg'!F42&amp;" "&amp;'StB-D1 Besondere Lstg'!F43,IF(AND(Projektgrundlagen!$I$22,'HB-D1 Besondere Lstg Land'!M42=TRUE),'HB-D1 Besondere Lstg Land'!C42&amp;" "&amp;'HB-D1 Besondere Lstg Land'!F42&amp;" "&amp;'HB-D1 Besondere Lstg Land'!F43,IF(AND(Projektgrundlagen!$I$23,'HB-D2 Besondere Lstg Bund'!M42=TRUE),'HB-D2 Besondere Lstg Bund'!C42&amp;" "&amp;'HB-D2 Besondere Lstg Bund'!F42&amp;" "&amp;'HB-D2 Besondere Lstg Bund'!F43,"")))</f>
        <v/>
      </c>
      <c r="C87" s="1192" t="str">
        <f>IF(AND(Projektgrundlagen!$I$21,'StB-D1 Besondere Lstg'!M42=TRUE),'StB-D1 Besondere Lstg'!H42,"")</f>
        <v/>
      </c>
      <c r="D87" s="1192" t="str">
        <f>IF(AND(Projektgrundlagen!$I$21,'StB-D1 Besondere Lstg'!M42=TRUE),'StB-D1 Besondere Lstg'!I42,IF(AND(Projektgrundlagen!$I$22,'HB-D1 Besondere Lstg Land'!M42=TRUE),(IF('HB-D1 Besondere Lstg Land'!H42&gt;0,"v.H.","pauschal")),IF(AND(Projektgrundlagen!$I$23,'HB-D2 Besondere Lstg Bund'!M42=TRUE),(IF('HB-D2 Besondere Lstg Bund'!H42&gt;0,"v.H.","pauschal")),"")))</f>
        <v/>
      </c>
      <c r="E87" s="1192" t="str">
        <f>IF(AND(Projektgrundlagen!$I$21,'StB-D1 Besondere Lstg'!M42=TRUE),'StB-D1 Besondere Lstg'!J42,IF(AND(Projektgrundlagen!$I$22,'HB-D1 Besondere Lstg Land'!M42=TRUE),'HB-D1 Besondere Lstg Land'!H42+'HB-D1 Besondere Lstg Land'!J42,IF(AND(Projektgrundlagen!$I$23,'HB-D2 Besondere Lstg Bund'!M42=TRUE),'HB-D2 Besondere Lstg Bund'!H42+'HB-D2 Besondere Lstg Bund'!J42,"")))</f>
        <v/>
      </c>
      <c r="F87" s="1192" t="str">
        <f>IF(AND(Projektgrundlagen!$I$21,'StB-D1 Besondere Lstg'!M42=TRUE),'StB-D1 Besondere Lstg'!K42,IF(AND(Projektgrundlagen!$I$22,'HB-D1 Besondere Lstg Land'!M42=TRUE),'HB-D1 Besondere Lstg Land'!K42,IF(AND(Projektgrundlagen!$I$23,'HB-D2 Besondere Lstg Bund'!M42=TRUE),'HB-D2 Besondere Lstg Bund'!K42,"")))</f>
        <v/>
      </c>
      <c r="G87" s="1200"/>
      <c r="H87" s="1201"/>
    </row>
    <row r="88" spans="2:8" ht="14.25">
      <c r="B88" t="str">
        <f>IF(AND(Projektgrundlagen!$I$21,'StB-D1 Besondere Lstg'!M43=TRUE),'StB-D1 Besondere Lstg'!C43&amp;" "&amp;'StB-D1 Besondere Lstg'!F43&amp;" "&amp;'StB-D1 Besondere Lstg'!F44,IF(AND(Projektgrundlagen!$I$22,'HB-D1 Besondere Lstg Land'!M43=TRUE),'HB-D1 Besondere Lstg Land'!C43&amp;" "&amp;'HB-D1 Besondere Lstg Land'!F43&amp;" "&amp;'HB-D1 Besondere Lstg Land'!F44,IF(AND(Projektgrundlagen!$I$23,'HB-D2 Besondere Lstg Bund'!M43=TRUE),'HB-D2 Besondere Lstg Bund'!C43&amp;" "&amp;'HB-D2 Besondere Lstg Bund'!F43&amp;" "&amp;'HB-D2 Besondere Lstg Bund'!F44,"")))</f>
        <v/>
      </c>
      <c r="C88" s="1192" t="str">
        <f>IF(AND(Projektgrundlagen!$I$21,'StB-D1 Besondere Lstg'!M43=TRUE),'StB-D1 Besondere Lstg'!H43,"")</f>
        <v/>
      </c>
      <c r="D88" s="1192" t="str">
        <f>IF(AND(Projektgrundlagen!$I$21,'StB-D1 Besondere Lstg'!M43=TRUE),'StB-D1 Besondere Lstg'!I43,IF(AND(Projektgrundlagen!$I$22,'HB-D1 Besondere Lstg Land'!M43=TRUE),(IF('HB-D1 Besondere Lstg Land'!H43&gt;0,"v.H.","pauschal")),IF(AND(Projektgrundlagen!$I$23,'HB-D2 Besondere Lstg Bund'!M43=TRUE),(IF('HB-D2 Besondere Lstg Bund'!H43&gt;0,"v.H.","pauschal")),"")))</f>
        <v/>
      </c>
      <c r="E88" s="1192" t="str">
        <f>IF(AND(Projektgrundlagen!$I$21,'StB-D1 Besondere Lstg'!M43=TRUE),'StB-D1 Besondere Lstg'!J43,IF(AND(Projektgrundlagen!$I$22,'HB-D1 Besondere Lstg Land'!M43=TRUE),'HB-D1 Besondere Lstg Land'!H43+'HB-D1 Besondere Lstg Land'!J43,IF(AND(Projektgrundlagen!$I$23,'HB-D2 Besondere Lstg Bund'!M43=TRUE),'HB-D2 Besondere Lstg Bund'!H43+'HB-D2 Besondere Lstg Bund'!J43,"")))</f>
        <v/>
      </c>
      <c r="F88" s="1192" t="str">
        <f>IF(AND(Projektgrundlagen!$I$21,'StB-D1 Besondere Lstg'!M43=TRUE),'StB-D1 Besondere Lstg'!K43,IF(AND(Projektgrundlagen!$I$22,'HB-D1 Besondere Lstg Land'!M43=TRUE),'HB-D1 Besondere Lstg Land'!K43,IF(AND(Projektgrundlagen!$I$23,'HB-D2 Besondere Lstg Bund'!M43=TRUE),'HB-D2 Besondere Lstg Bund'!K43,"")))</f>
        <v/>
      </c>
      <c r="G88" s="1200"/>
      <c r="H88" s="1201"/>
    </row>
    <row r="89" spans="2:8" ht="14.25">
      <c r="B89" t="str">
        <f>IF(AND(Projektgrundlagen!$I$21,'StB-D1 Besondere Lstg'!M44=TRUE),'StB-D1 Besondere Lstg'!C44&amp;" "&amp;'StB-D1 Besondere Lstg'!F44&amp;" "&amp;'StB-D1 Besondere Lstg'!F45,IF(AND(Projektgrundlagen!$I$22,'HB-D1 Besondere Lstg Land'!M44=TRUE),'HB-D1 Besondere Lstg Land'!C44&amp;" "&amp;'HB-D1 Besondere Lstg Land'!F44&amp;" "&amp;'HB-D1 Besondere Lstg Land'!F45,IF(AND(Projektgrundlagen!$I$23,'HB-D2 Besondere Lstg Bund'!M44=TRUE),'HB-D2 Besondere Lstg Bund'!C44&amp;" "&amp;'HB-D2 Besondere Lstg Bund'!F44&amp;" "&amp;'HB-D2 Besondere Lstg Bund'!F45,"")))</f>
        <v/>
      </c>
      <c r="C89" s="1192" t="str">
        <f>IF(AND(Projektgrundlagen!$I$21,'StB-D1 Besondere Lstg'!M44=TRUE),'StB-D1 Besondere Lstg'!H44,"")</f>
        <v/>
      </c>
      <c r="D89" s="1192" t="str">
        <f>IF(AND(Projektgrundlagen!$I$21,'StB-D1 Besondere Lstg'!M44=TRUE),'StB-D1 Besondere Lstg'!I44,IF(AND(Projektgrundlagen!$I$22,'HB-D1 Besondere Lstg Land'!M44=TRUE),(IF('HB-D1 Besondere Lstg Land'!H44&gt;0,"v.H.","pauschal")),IF(AND(Projektgrundlagen!$I$23,'HB-D2 Besondere Lstg Bund'!M44=TRUE),(IF('HB-D2 Besondere Lstg Bund'!H44&gt;0,"v.H.","pauschal")),"")))</f>
        <v/>
      </c>
      <c r="E89" s="1192" t="str">
        <f>IF(AND(Projektgrundlagen!$I$21,'StB-D1 Besondere Lstg'!M44=TRUE),'StB-D1 Besondere Lstg'!J44,IF(AND(Projektgrundlagen!$I$22,'HB-D1 Besondere Lstg Land'!M44=TRUE),'HB-D1 Besondere Lstg Land'!H44+'HB-D1 Besondere Lstg Land'!J44,IF(AND(Projektgrundlagen!$I$23,'HB-D2 Besondere Lstg Bund'!M44=TRUE),'HB-D2 Besondere Lstg Bund'!H44+'HB-D2 Besondere Lstg Bund'!J44,"")))</f>
        <v/>
      </c>
      <c r="F89" s="1192" t="str">
        <f>IF(AND(Projektgrundlagen!$I$21,'StB-D1 Besondere Lstg'!M44=TRUE),'StB-D1 Besondere Lstg'!K44,IF(AND(Projektgrundlagen!$I$22,'HB-D1 Besondere Lstg Land'!M44=TRUE),'HB-D1 Besondere Lstg Land'!K44,IF(AND(Projektgrundlagen!$I$23,'HB-D2 Besondere Lstg Bund'!M44=TRUE),'HB-D2 Besondere Lstg Bund'!K44,"")))</f>
        <v/>
      </c>
      <c r="G89" s="1200"/>
      <c r="H89" s="1201"/>
    </row>
    <row r="90" spans="2:8" ht="14.25">
      <c r="B90" t="str">
        <f>IF(AND(Projektgrundlagen!$I$21,'StB-D1 Besondere Lstg'!M45=TRUE),'StB-D1 Besondere Lstg'!C45&amp;" "&amp;'StB-D1 Besondere Lstg'!F45&amp;" "&amp;'StB-D1 Besondere Lstg'!F46,IF(AND(Projektgrundlagen!$I$22,'HB-D1 Besondere Lstg Land'!M45=TRUE),'HB-D1 Besondere Lstg Land'!C45&amp;" "&amp;'HB-D1 Besondere Lstg Land'!F45&amp;" "&amp;'HB-D1 Besondere Lstg Land'!F46,IF(AND(Projektgrundlagen!$I$23,'HB-D2 Besondere Lstg Bund'!M45=TRUE),'HB-D2 Besondere Lstg Bund'!C45&amp;" "&amp;'HB-D2 Besondere Lstg Bund'!F45&amp;" "&amp;'HB-D2 Besondere Lstg Bund'!F46,"")))</f>
        <v/>
      </c>
      <c r="C90" s="1192" t="str">
        <f>IF(AND(Projektgrundlagen!$I$21,'StB-D1 Besondere Lstg'!M45=TRUE),'StB-D1 Besondere Lstg'!H45,"")</f>
        <v/>
      </c>
      <c r="D90" s="1192" t="str">
        <f>IF(AND(Projektgrundlagen!$I$21,'StB-D1 Besondere Lstg'!M45=TRUE),'StB-D1 Besondere Lstg'!I45,IF(AND(Projektgrundlagen!$I$22,'HB-D1 Besondere Lstg Land'!M45=TRUE),(IF('HB-D1 Besondere Lstg Land'!H45&gt;0,"v.H.","pauschal")),IF(AND(Projektgrundlagen!$I$23,'HB-D2 Besondere Lstg Bund'!M45=TRUE),(IF('HB-D2 Besondere Lstg Bund'!H45&gt;0,"v.H.","pauschal")),"")))</f>
        <v/>
      </c>
      <c r="E90" s="1192" t="str">
        <f>IF(AND(Projektgrundlagen!$I$21,'StB-D1 Besondere Lstg'!M45=TRUE),'StB-D1 Besondere Lstg'!J45,IF(AND(Projektgrundlagen!$I$22,'HB-D1 Besondere Lstg Land'!M45=TRUE),'HB-D1 Besondere Lstg Land'!H45+'HB-D1 Besondere Lstg Land'!J45,IF(AND(Projektgrundlagen!$I$23,'HB-D2 Besondere Lstg Bund'!M45=TRUE),'HB-D2 Besondere Lstg Bund'!H45+'HB-D2 Besondere Lstg Bund'!J45,"")))</f>
        <v/>
      </c>
      <c r="F90" s="1192" t="str">
        <f>IF(AND(Projektgrundlagen!$I$21,'StB-D1 Besondere Lstg'!M45=TRUE),'StB-D1 Besondere Lstg'!K45,IF(AND(Projektgrundlagen!$I$22,'HB-D1 Besondere Lstg Land'!M45=TRUE),'HB-D1 Besondere Lstg Land'!K45,IF(AND(Projektgrundlagen!$I$23,'HB-D2 Besondere Lstg Bund'!M45=TRUE),'HB-D2 Besondere Lstg Bund'!K45,"")))</f>
        <v/>
      </c>
      <c r="G90" s="1200"/>
      <c r="H90" s="1201"/>
    </row>
    <row r="91" spans="2:8" ht="14.25">
      <c r="B91" t="str">
        <f>IF(AND(Projektgrundlagen!$I$21,'StB-D1 Besondere Lstg'!M46=TRUE),'StB-D1 Besondere Lstg'!C46&amp;" "&amp;'StB-D1 Besondere Lstg'!F46&amp;" "&amp;'StB-D1 Besondere Lstg'!F47,IF(AND(Projektgrundlagen!$I$22,'HB-D1 Besondere Lstg Land'!M46=TRUE),'HB-D1 Besondere Lstg Land'!C46&amp;" "&amp;'HB-D1 Besondere Lstg Land'!F46&amp;" "&amp;'HB-D1 Besondere Lstg Land'!F47,IF(AND(Projektgrundlagen!$I$23,'HB-D2 Besondere Lstg Bund'!M46=TRUE),'HB-D2 Besondere Lstg Bund'!C46&amp;" "&amp;'HB-D2 Besondere Lstg Bund'!F46&amp;" "&amp;'HB-D2 Besondere Lstg Bund'!F47,"")))</f>
        <v/>
      </c>
      <c r="C91" s="1192" t="str">
        <f>IF(AND(Projektgrundlagen!$I$21,'StB-D1 Besondere Lstg'!M46=TRUE),'StB-D1 Besondere Lstg'!H46,"")</f>
        <v/>
      </c>
      <c r="D91" s="1192" t="str">
        <f>IF(AND(Projektgrundlagen!$I$21,'StB-D1 Besondere Lstg'!M46=TRUE),'StB-D1 Besondere Lstg'!I46,IF(AND(Projektgrundlagen!$I$22,'HB-D1 Besondere Lstg Land'!M46=TRUE),(IF('HB-D1 Besondere Lstg Land'!H46&gt;0,"v.H.","pauschal")),IF(AND(Projektgrundlagen!$I$23,'HB-D2 Besondere Lstg Bund'!M46=TRUE),(IF('HB-D2 Besondere Lstg Bund'!H46&gt;0,"v.H.","pauschal")),"")))</f>
        <v/>
      </c>
      <c r="E91" s="1192" t="str">
        <f>IF(AND(Projektgrundlagen!$I$21,'StB-D1 Besondere Lstg'!M46=TRUE),'StB-D1 Besondere Lstg'!J46,IF(AND(Projektgrundlagen!$I$22,'HB-D1 Besondere Lstg Land'!M46=TRUE),'HB-D1 Besondere Lstg Land'!H46+'HB-D1 Besondere Lstg Land'!J46,IF(AND(Projektgrundlagen!$I$23,'HB-D2 Besondere Lstg Bund'!M46=TRUE),'HB-D2 Besondere Lstg Bund'!H46+'HB-D2 Besondere Lstg Bund'!J46,"")))</f>
        <v/>
      </c>
      <c r="F91" s="1192" t="str">
        <f>IF(AND(Projektgrundlagen!$I$21,'StB-D1 Besondere Lstg'!M46=TRUE),'StB-D1 Besondere Lstg'!K46,IF(AND(Projektgrundlagen!$I$22,'HB-D1 Besondere Lstg Land'!M46=TRUE),'HB-D1 Besondere Lstg Land'!K46,IF(AND(Projektgrundlagen!$I$23,'HB-D2 Besondere Lstg Bund'!M46=TRUE),'HB-D2 Besondere Lstg Bund'!K46,"")))</f>
        <v/>
      </c>
      <c r="G91" s="1200"/>
      <c r="H91" s="1201"/>
    </row>
    <row r="92" spans="2:8" ht="14.25">
      <c r="B92" t="str">
        <f>IF(AND(Projektgrundlagen!$I$21,'StB-D1 Besondere Lstg'!M47=TRUE),'StB-D1 Besondere Lstg'!C47&amp;" "&amp;'StB-D1 Besondere Lstg'!F47&amp;" "&amp;'StB-D1 Besondere Lstg'!F48,IF(AND(Projektgrundlagen!$I$22,'HB-D1 Besondere Lstg Land'!M47=TRUE),'HB-D1 Besondere Lstg Land'!C47&amp;" "&amp;'HB-D1 Besondere Lstg Land'!F47&amp;" "&amp;'HB-D1 Besondere Lstg Land'!F48,IF(AND(Projektgrundlagen!$I$23,'HB-D2 Besondere Lstg Bund'!M47=TRUE),'HB-D2 Besondere Lstg Bund'!C47&amp;" "&amp;'HB-D2 Besondere Lstg Bund'!F47&amp;" "&amp;'HB-D2 Besondere Lstg Bund'!F48,"")))</f>
        <v/>
      </c>
      <c r="C92" s="1192" t="str">
        <f>IF(AND(Projektgrundlagen!$I$21,'StB-D1 Besondere Lstg'!M47=TRUE),'StB-D1 Besondere Lstg'!H47,"")</f>
        <v/>
      </c>
      <c r="D92" s="1192" t="str">
        <f>IF(AND(Projektgrundlagen!$I$21,'StB-D1 Besondere Lstg'!M47=TRUE),'StB-D1 Besondere Lstg'!I47,IF(AND(Projektgrundlagen!$I$22,'HB-D1 Besondere Lstg Land'!M47=TRUE),(IF('HB-D1 Besondere Lstg Land'!H47&gt;0,"v.H.","pauschal")),IF(AND(Projektgrundlagen!$I$23,'HB-D2 Besondere Lstg Bund'!M47=TRUE),(IF('HB-D2 Besondere Lstg Bund'!H47&gt;0,"v.H.","pauschal")),"")))</f>
        <v/>
      </c>
      <c r="E92" s="1192" t="str">
        <f>IF(AND(Projektgrundlagen!$I$21,'StB-D1 Besondere Lstg'!M47=TRUE),'StB-D1 Besondere Lstg'!J47,IF(AND(Projektgrundlagen!$I$22,'HB-D1 Besondere Lstg Land'!M47=TRUE),'HB-D1 Besondere Lstg Land'!H47+'HB-D1 Besondere Lstg Land'!J47,IF(AND(Projektgrundlagen!$I$23,'HB-D2 Besondere Lstg Bund'!M47=TRUE),'HB-D2 Besondere Lstg Bund'!H47+'HB-D2 Besondere Lstg Bund'!J47,"")))</f>
        <v/>
      </c>
      <c r="F92" s="1192" t="str">
        <f>IF(AND(Projektgrundlagen!$I$21,'StB-D1 Besondere Lstg'!M47=TRUE),'StB-D1 Besondere Lstg'!K47,IF(AND(Projektgrundlagen!$I$22,'HB-D1 Besondere Lstg Land'!M47=TRUE),'HB-D1 Besondere Lstg Land'!K47,IF(AND(Projektgrundlagen!$I$23,'HB-D2 Besondere Lstg Bund'!M47=TRUE),'HB-D2 Besondere Lstg Bund'!K47,"")))</f>
        <v/>
      </c>
      <c r="G92" s="1200"/>
      <c r="H92" s="1201"/>
    </row>
    <row r="93" spans="2:8" ht="14.25">
      <c r="B93" t="str">
        <f>IF(AND(Projektgrundlagen!$I$21,'StB-D1 Besondere Lstg'!M48=TRUE),'StB-D1 Besondere Lstg'!C48&amp;" "&amp;'StB-D1 Besondere Lstg'!F48&amp;" "&amp;'StB-D1 Besondere Lstg'!F49,IF(AND(Projektgrundlagen!$I$22,'HB-D1 Besondere Lstg Land'!M48=TRUE),'HB-D1 Besondere Lstg Land'!C48&amp;" "&amp;'HB-D1 Besondere Lstg Land'!F48&amp;" "&amp;'HB-D1 Besondere Lstg Land'!F49,IF(AND(Projektgrundlagen!$I$23,'HB-D2 Besondere Lstg Bund'!M48=TRUE),'HB-D2 Besondere Lstg Bund'!C48&amp;" "&amp;'HB-D2 Besondere Lstg Bund'!F48&amp;" "&amp;'HB-D2 Besondere Lstg Bund'!F49,"")))</f>
        <v/>
      </c>
      <c r="C93" s="1192" t="str">
        <f>IF(AND(Projektgrundlagen!$I$21,'StB-D1 Besondere Lstg'!M48=TRUE),'StB-D1 Besondere Lstg'!H48,"")</f>
        <v/>
      </c>
      <c r="D93" s="1192" t="str">
        <f>IF(AND(Projektgrundlagen!$I$21,'StB-D1 Besondere Lstg'!M48=TRUE),'StB-D1 Besondere Lstg'!I48,IF(AND(Projektgrundlagen!$I$22,'HB-D1 Besondere Lstg Land'!M48=TRUE),(IF('HB-D1 Besondere Lstg Land'!H48&gt;0,"v.H.","pauschal")),IF(AND(Projektgrundlagen!$I$23,'HB-D2 Besondere Lstg Bund'!M48=TRUE),(IF('HB-D2 Besondere Lstg Bund'!H48&gt;0,"v.H.","pauschal")),"")))</f>
        <v/>
      </c>
      <c r="E93" s="1192" t="str">
        <f>IF(AND(Projektgrundlagen!$I$21,'StB-D1 Besondere Lstg'!M48=TRUE),'StB-D1 Besondere Lstg'!J48,IF(AND(Projektgrundlagen!$I$22,'HB-D1 Besondere Lstg Land'!M48=TRUE),'HB-D1 Besondere Lstg Land'!H48+'HB-D1 Besondere Lstg Land'!J48,IF(AND(Projektgrundlagen!$I$23,'HB-D2 Besondere Lstg Bund'!M48=TRUE),'HB-D2 Besondere Lstg Bund'!H48+'HB-D2 Besondere Lstg Bund'!J48,"")))</f>
        <v/>
      </c>
      <c r="F93" s="1192" t="str">
        <f>IF(AND(Projektgrundlagen!$I$21,'StB-D1 Besondere Lstg'!M48=TRUE),'StB-D1 Besondere Lstg'!K48,IF(AND(Projektgrundlagen!$I$22,'HB-D1 Besondere Lstg Land'!M48=TRUE),'HB-D1 Besondere Lstg Land'!K48,IF(AND(Projektgrundlagen!$I$23,'HB-D2 Besondere Lstg Bund'!M48=TRUE),'HB-D2 Besondere Lstg Bund'!K48,"")))</f>
        <v/>
      </c>
      <c r="G93" s="1200"/>
      <c r="H93" s="1201"/>
    </row>
    <row r="94" spans="2:8" ht="14.25">
      <c r="B94" t="str">
        <f>IF(AND(Projektgrundlagen!$I$21,'StB-D1 Besondere Lstg'!M49=TRUE),'StB-D1 Besondere Lstg'!C49&amp;" "&amp;'StB-D1 Besondere Lstg'!F49&amp;" "&amp;'StB-D1 Besondere Lstg'!F50,IF(AND(Projektgrundlagen!$I$22,'HB-D1 Besondere Lstg Land'!M49=TRUE),'HB-D1 Besondere Lstg Land'!C49&amp;" "&amp;'HB-D1 Besondere Lstg Land'!F49&amp;" "&amp;'HB-D1 Besondere Lstg Land'!F50,IF(AND(Projektgrundlagen!$I$23,'HB-D2 Besondere Lstg Bund'!M49=TRUE),'HB-D2 Besondere Lstg Bund'!C49&amp;" "&amp;'HB-D2 Besondere Lstg Bund'!F49&amp;" "&amp;'HB-D2 Besondere Lstg Bund'!F50,"")))</f>
        <v/>
      </c>
      <c r="C94" s="1192" t="str">
        <f>IF(AND(Projektgrundlagen!$I$21,'StB-D1 Besondere Lstg'!M49=TRUE),'StB-D1 Besondere Lstg'!H49,"")</f>
        <v/>
      </c>
      <c r="D94" s="1192" t="str">
        <f>IF(AND(Projektgrundlagen!$I$21,'StB-D1 Besondere Lstg'!M49=TRUE),'StB-D1 Besondere Lstg'!I49,IF(AND(Projektgrundlagen!$I$22,'HB-D1 Besondere Lstg Land'!M49=TRUE),(IF('HB-D1 Besondere Lstg Land'!H49&gt;0,"v.H.","pauschal")),IF(AND(Projektgrundlagen!$I$23,'HB-D2 Besondere Lstg Bund'!M49=TRUE),(IF('HB-D2 Besondere Lstg Bund'!H49&gt;0,"v.H.","pauschal")),"")))</f>
        <v/>
      </c>
      <c r="E94" s="1192" t="str">
        <f>IF(AND(Projektgrundlagen!$I$21,'StB-D1 Besondere Lstg'!M49=TRUE),'StB-D1 Besondere Lstg'!J49,IF(AND(Projektgrundlagen!$I$22,'HB-D1 Besondere Lstg Land'!M49=TRUE),'HB-D1 Besondere Lstg Land'!H49+'HB-D1 Besondere Lstg Land'!J49,IF(AND(Projektgrundlagen!$I$23,'HB-D2 Besondere Lstg Bund'!M49=TRUE),'HB-D2 Besondere Lstg Bund'!H49+'HB-D2 Besondere Lstg Bund'!J49,"")))</f>
        <v/>
      </c>
      <c r="F94" s="1192" t="str">
        <f>IF(AND(Projektgrundlagen!$I$21,'StB-D1 Besondere Lstg'!M49=TRUE),'StB-D1 Besondere Lstg'!K49,IF(AND(Projektgrundlagen!$I$22,'HB-D1 Besondere Lstg Land'!M49=TRUE),'HB-D1 Besondere Lstg Land'!K49,IF(AND(Projektgrundlagen!$I$23,'HB-D2 Besondere Lstg Bund'!M49=TRUE),'HB-D2 Besondere Lstg Bund'!K49,"")))</f>
        <v/>
      </c>
      <c r="G94" s="1200"/>
      <c r="H94" s="1201"/>
    </row>
    <row r="95" spans="2:8" ht="14.25">
      <c r="B95" t="str">
        <f>IF(AND(Projektgrundlagen!$I$21,'StB-D1 Besondere Lstg'!M50=TRUE),'StB-D1 Besondere Lstg'!C50&amp;" "&amp;'StB-D1 Besondere Lstg'!F50&amp;" "&amp;'StB-D1 Besondere Lstg'!F51,IF(AND(Projektgrundlagen!$I$22,'HB-D1 Besondere Lstg Land'!M50=TRUE),'HB-D1 Besondere Lstg Land'!C50&amp;" "&amp;'HB-D1 Besondere Lstg Land'!F50&amp;" "&amp;'HB-D1 Besondere Lstg Land'!F51,IF(AND(Projektgrundlagen!$I$23,'HB-D2 Besondere Lstg Bund'!M50=TRUE),'HB-D2 Besondere Lstg Bund'!C50&amp;" "&amp;'HB-D2 Besondere Lstg Bund'!F50&amp;" "&amp;'HB-D2 Besondere Lstg Bund'!F51,"")))</f>
        <v/>
      </c>
      <c r="C95" s="1192" t="str">
        <f>IF(AND(Projektgrundlagen!$I$21,'StB-D1 Besondere Lstg'!M50=TRUE),'StB-D1 Besondere Lstg'!H50,"")</f>
        <v/>
      </c>
      <c r="D95" s="1192" t="str">
        <f>IF(AND(Projektgrundlagen!$I$21,'StB-D1 Besondere Lstg'!M50=TRUE),'StB-D1 Besondere Lstg'!I50,IF(AND(Projektgrundlagen!$I$22,'HB-D1 Besondere Lstg Land'!M50=TRUE),(IF('HB-D1 Besondere Lstg Land'!H50&gt;0,"v.H.","pauschal")),IF(AND(Projektgrundlagen!$I$23,'HB-D2 Besondere Lstg Bund'!M50=TRUE),(IF('HB-D2 Besondere Lstg Bund'!H50&gt;0,"v.H.","pauschal")),"")))</f>
        <v/>
      </c>
      <c r="E95" s="1192" t="str">
        <f>IF(AND(Projektgrundlagen!$I$21,'StB-D1 Besondere Lstg'!M50=TRUE),'StB-D1 Besondere Lstg'!J50,IF(AND(Projektgrundlagen!$I$22,'HB-D1 Besondere Lstg Land'!M50=TRUE),'HB-D1 Besondere Lstg Land'!H50+'HB-D1 Besondere Lstg Land'!J50,IF(AND(Projektgrundlagen!$I$23,'HB-D2 Besondere Lstg Bund'!M50=TRUE),'HB-D2 Besondere Lstg Bund'!H50+'HB-D2 Besondere Lstg Bund'!J50,"")))</f>
        <v/>
      </c>
      <c r="F95" s="1192" t="str">
        <f>IF(AND(Projektgrundlagen!$I$21,'StB-D1 Besondere Lstg'!M50=TRUE),'StB-D1 Besondere Lstg'!K50,IF(AND(Projektgrundlagen!$I$22,'HB-D1 Besondere Lstg Land'!M50=TRUE),'HB-D1 Besondere Lstg Land'!K50,IF(AND(Projektgrundlagen!$I$23,'HB-D2 Besondere Lstg Bund'!M50=TRUE),'HB-D2 Besondere Lstg Bund'!K50,"")))</f>
        <v/>
      </c>
      <c r="G95" s="1200"/>
      <c r="H95" s="1201"/>
    </row>
    <row r="96" spans="2:8" ht="14.25">
      <c r="B96" t="str">
        <f>IF(AND(Projektgrundlagen!$I$21,'StB-D1 Besondere Lstg'!M51=TRUE),'StB-D1 Besondere Lstg'!C51&amp;" "&amp;'StB-D1 Besondere Lstg'!F51&amp;" "&amp;'StB-D1 Besondere Lstg'!F52,IF(AND(Projektgrundlagen!$I$22,'HB-D1 Besondere Lstg Land'!M51=TRUE),'HB-D1 Besondere Lstg Land'!C51&amp;" "&amp;'HB-D1 Besondere Lstg Land'!F51&amp;" "&amp;'HB-D1 Besondere Lstg Land'!F52,IF(AND(Projektgrundlagen!$I$23,'HB-D2 Besondere Lstg Bund'!M51=TRUE),'HB-D2 Besondere Lstg Bund'!C51&amp;" "&amp;'HB-D2 Besondere Lstg Bund'!F51&amp;" "&amp;'HB-D2 Besondere Lstg Bund'!F52,"")))</f>
        <v/>
      </c>
      <c r="C96" s="1192" t="str">
        <f>IF(AND(Projektgrundlagen!$I$21,'StB-D1 Besondere Lstg'!M51=TRUE),'StB-D1 Besondere Lstg'!H51,"")</f>
        <v/>
      </c>
      <c r="D96" s="1192" t="str">
        <f>IF(AND(Projektgrundlagen!$I$21,'StB-D1 Besondere Lstg'!M51=TRUE),'StB-D1 Besondere Lstg'!I51,IF(AND(Projektgrundlagen!$I$22,'HB-D1 Besondere Lstg Land'!M51=TRUE),(IF('HB-D1 Besondere Lstg Land'!H51&gt;0,"v.H.","pauschal")),IF(AND(Projektgrundlagen!$I$23,'HB-D2 Besondere Lstg Bund'!M51=TRUE),(IF('HB-D2 Besondere Lstg Bund'!H51&gt;0,"v.H.","pauschal")),"")))</f>
        <v/>
      </c>
      <c r="E96" s="1192" t="str">
        <f>IF(AND(Projektgrundlagen!$I$21,'StB-D1 Besondere Lstg'!M51=TRUE),'StB-D1 Besondere Lstg'!J51,IF(AND(Projektgrundlagen!$I$22,'HB-D1 Besondere Lstg Land'!M51=TRUE),'HB-D1 Besondere Lstg Land'!H51+'HB-D1 Besondere Lstg Land'!J51,IF(AND(Projektgrundlagen!$I$23,'HB-D2 Besondere Lstg Bund'!M51=TRUE),'HB-D2 Besondere Lstg Bund'!H51+'HB-D2 Besondere Lstg Bund'!J51,"")))</f>
        <v/>
      </c>
      <c r="F96" s="1192" t="str">
        <f>IF(AND(Projektgrundlagen!$I$21,'StB-D1 Besondere Lstg'!M51=TRUE),'StB-D1 Besondere Lstg'!K51,IF(AND(Projektgrundlagen!$I$22,'HB-D1 Besondere Lstg Land'!M51=TRUE),'HB-D1 Besondere Lstg Land'!K51,IF(AND(Projektgrundlagen!$I$23,'HB-D2 Besondere Lstg Bund'!M51=TRUE),'HB-D2 Besondere Lstg Bund'!K51,"")))</f>
        <v/>
      </c>
      <c r="G96" s="1200"/>
      <c r="H96" s="1201"/>
    </row>
    <row r="97" spans="2:8" ht="14.25">
      <c r="B97" t="str">
        <f>IF(AND(Projektgrundlagen!$I$21,'StB-D1 Besondere Lstg'!M52=TRUE),'StB-D1 Besondere Lstg'!C52&amp;" "&amp;'StB-D1 Besondere Lstg'!F52&amp;" "&amp;'StB-D1 Besondere Lstg'!F53,IF(AND(Projektgrundlagen!$I$22,'HB-D1 Besondere Lstg Land'!M52=TRUE),'HB-D1 Besondere Lstg Land'!C52&amp;" "&amp;'HB-D1 Besondere Lstg Land'!F52&amp;" "&amp;'HB-D1 Besondere Lstg Land'!F53,IF(AND(Projektgrundlagen!$I$23,'HB-D2 Besondere Lstg Bund'!M52=TRUE),'HB-D2 Besondere Lstg Bund'!C52&amp;" "&amp;'HB-D2 Besondere Lstg Bund'!F52&amp;" "&amp;'HB-D2 Besondere Lstg Bund'!F53,"")))</f>
        <v/>
      </c>
      <c r="C97" s="1192" t="str">
        <f>IF(AND(Projektgrundlagen!$I$21,'StB-D1 Besondere Lstg'!M52=TRUE),'StB-D1 Besondere Lstg'!H52,"")</f>
        <v/>
      </c>
      <c r="D97" s="1192" t="str">
        <f>IF(AND(Projektgrundlagen!$I$21,'StB-D1 Besondere Lstg'!M52=TRUE),'StB-D1 Besondere Lstg'!I52,IF(AND(Projektgrundlagen!$I$22,'HB-D1 Besondere Lstg Land'!M52=TRUE),(IF('HB-D1 Besondere Lstg Land'!H52&gt;0,"v.H.","pauschal")),IF(AND(Projektgrundlagen!$I$23,'HB-D2 Besondere Lstg Bund'!M52=TRUE),(IF('HB-D2 Besondere Lstg Bund'!H52&gt;0,"v.H.","pauschal")),"")))</f>
        <v/>
      </c>
      <c r="E97" s="1192" t="str">
        <f>IF(AND(Projektgrundlagen!$I$21,'StB-D1 Besondere Lstg'!M52=TRUE),'StB-D1 Besondere Lstg'!J52,IF(AND(Projektgrundlagen!$I$22,'HB-D1 Besondere Lstg Land'!M52=TRUE),'HB-D1 Besondere Lstg Land'!H52+'HB-D1 Besondere Lstg Land'!J52,IF(AND(Projektgrundlagen!$I$23,'HB-D2 Besondere Lstg Bund'!M52=TRUE),'HB-D2 Besondere Lstg Bund'!H52+'HB-D2 Besondere Lstg Bund'!J52,"")))</f>
        <v/>
      </c>
      <c r="F97" s="1192" t="str">
        <f>IF(AND(Projektgrundlagen!$I$21,'StB-D1 Besondere Lstg'!M52=TRUE),'StB-D1 Besondere Lstg'!K52,IF(AND(Projektgrundlagen!$I$22,'HB-D1 Besondere Lstg Land'!M52=TRUE),'HB-D1 Besondere Lstg Land'!K52,IF(AND(Projektgrundlagen!$I$23,'HB-D2 Besondere Lstg Bund'!M52=TRUE),'HB-D2 Besondere Lstg Bund'!K52,"")))</f>
        <v/>
      </c>
      <c r="G97" s="1200"/>
      <c r="H97" s="1201"/>
    </row>
    <row r="98" spans="2:8" ht="14.25">
      <c r="B98" t="str">
        <f>IF(AND(Projektgrundlagen!$I$21,'StB-D1 Besondere Lstg'!M53=TRUE),'StB-D1 Besondere Lstg'!C53&amp;" "&amp;'StB-D1 Besondere Lstg'!F53&amp;" "&amp;'StB-D1 Besondere Lstg'!F54,IF(AND(Projektgrundlagen!$I$22,'HB-D1 Besondere Lstg Land'!M53=TRUE),'HB-D1 Besondere Lstg Land'!C53&amp;" "&amp;'HB-D1 Besondere Lstg Land'!F53&amp;" "&amp;'HB-D1 Besondere Lstg Land'!F54,IF(AND(Projektgrundlagen!$I$23,'HB-D2 Besondere Lstg Bund'!M53=TRUE),'HB-D2 Besondere Lstg Bund'!C53&amp;" "&amp;'HB-D2 Besondere Lstg Bund'!F53&amp;" "&amp;'HB-D2 Besondere Lstg Bund'!F54,"")))</f>
        <v/>
      </c>
      <c r="C98" s="1192" t="str">
        <f>IF(AND(Projektgrundlagen!$I$21,'StB-D1 Besondere Lstg'!M53=TRUE),'StB-D1 Besondere Lstg'!H53,"")</f>
        <v/>
      </c>
      <c r="D98" s="1192" t="str">
        <f>IF(AND(Projektgrundlagen!$I$21,'StB-D1 Besondere Lstg'!M53=TRUE),'StB-D1 Besondere Lstg'!I53,IF(AND(Projektgrundlagen!$I$22,'HB-D1 Besondere Lstg Land'!M53=TRUE),(IF('HB-D1 Besondere Lstg Land'!H53&gt;0,"v.H.","pauschal")),IF(AND(Projektgrundlagen!$I$23,'HB-D2 Besondere Lstg Bund'!M53=TRUE),(IF('HB-D2 Besondere Lstg Bund'!H53&gt;0,"v.H.","pauschal")),"")))</f>
        <v/>
      </c>
      <c r="E98" s="1192" t="str">
        <f>IF(AND(Projektgrundlagen!$I$21,'StB-D1 Besondere Lstg'!M53=TRUE),'StB-D1 Besondere Lstg'!J53,IF(AND(Projektgrundlagen!$I$22,'HB-D1 Besondere Lstg Land'!M53=TRUE),'HB-D1 Besondere Lstg Land'!H53+'HB-D1 Besondere Lstg Land'!J53,IF(AND(Projektgrundlagen!$I$23,'HB-D2 Besondere Lstg Bund'!M53=TRUE),'HB-D2 Besondere Lstg Bund'!H53+'HB-D2 Besondere Lstg Bund'!J53,"")))</f>
        <v/>
      </c>
      <c r="F98" s="1192" t="str">
        <f>IF(AND(Projektgrundlagen!$I$21,'StB-D1 Besondere Lstg'!M53=TRUE),'StB-D1 Besondere Lstg'!K53,IF(AND(Projektgrundlagen!$I$22,'HB-D1 Besondere Lstg Land'!M53=TRUE),'HB-D1 Besondere Lstg Land'!K53,IF(AND(Projektgrundlagen!$I$23,'HB-D2 Besondere Lstg Bund'!M53=TRUE),'HB-D2 Besondere Lstg Bund'!K53,"")))</f>
        <v/>
      </c>
      <c r="G98" s="1200"/>
      <c r="H98" s="1201"/>
    </row>
    <row r="99" spans="2:8" ht="14.25">
      <c r="B99" t="str">
        <f>IF(AND(Projektgrundlagen!$I$21,'StB-D1 Besondere Lstg'!M54=TRUE),'StB-D1 Besondere Lstg'!C54&amp;" "&amp;'StB-D1 Besondere Lstg'!F54&amp;" "&amp;'StB-D1 Besondere Lstg'!F55,IF(AND(Projektgrundlagen!$I$22,'HB-D1 Besondere Lstg Land'!M54=TRUE),'HB-D1 Besondere Lstg Land'!C54&amp;" "&amp;'HB-D1 Besondere Lstg Land'!F54&amp;" "&amp;'HB-D1 Besondere Lstg Land'!F55,IF(AND(Projektgrundlagen!$I$23,'HB-D2 Besondere Lstg Bund'!M54=TRUE),'HB-D2 Besondere Lstg Bund'!C54&amp;" "&amp;'HB-D2 Besondere Lstg Bund'!F54&amp;" "&amp;'HB-D2 Besondere Lstg Bund'!F55,"")))</f>
        <v/>
      </c>
      <c r="C99" s="1192" t="str">
        <f>IF(AND(Projektgrundlagen!$I$21,'StB-D1 Besondere Lstg'!M54=TRUE),'StB-D1 Besondere Lstg'!H54,"")</f>
        <v/>
      </c>
      <c r="D99" s="1192" t="str">
        <f>IF(AND(Projektgrundlagen!$I$21,'StB-D1 Besondere Lstg'!M54=TRUE),'StB-D1 Besondere Lstg'!I54,IF(AND(Projektgrundlagen!$I$22,'HB-D1 Besondere Lstg Land'!M54=TRUE),(IF('HB-D1 Besondere Lstg Land'!H54&gt;0,"v.H.","pauschal")),IF(AND(Projektgrundlagen!$I$23,'HB-D2 Besondere Lstg Bund'!M54=TRUE),(IF('HB-D2 Besondere Lstg Bund'!H54&gt;0,"v.H.","pauschal")),"")))</f>
        <v/>
      </c>
      <c r="E99" s="1192" t="str">
        <f>IF(AND(Projektgrundlagen!$I$21,'StB-D1 Besondere Lstg'!M54=TRUE),'StB-D1 Besondere Lstg'!J54,IF(AND(Projektgrundlagen!$I$22,'HB-D1 Besondere Lstg Land'!M54=TRUE),'HB-D1 Besondere Lstg Land'!H54+'HB-D1 Besondere Lstg Land'!J54,IF(AND(Projektgrundlagen!$I$23,'HB-D2 Besondere Lstg Bund'!M54=TRUE),'HB-D2 Besondere Lstg Bund'!H54+'HB-D2 Besondere Lstg Bund'!J54,"")))</f>
        <v/>
      </c>
      <c r="F99" s="1192" t="str">
        <f>IF(AND(Projektgrundlagen!$I$21,'StB-D1 Besondere Lstg'!M54=TRUE),'StB-D1 Besondere Lstg'!K54,IF(AND(Projektgrundlagen!$I$22,'HB-D1 Besondere Lstg Land'!M54=TRUE),'HB-D1 Besondere Lstg Land'!K54,IF(AND(Projektgrundlagen!$I$23,'HB-D2 Besondere Lstg Bund'!M54=TRUE),'HB-D2 Besondere Lstg Bund'!K54,"")))</f>
        <v/>
      </c>
      <c r="G99" s="1200"/>
      <c r="H99" s="1201"/>
    </row>
    <row r="100" spans="2:8" ht="14.25">
      <c r="B100" t="str">
        <f>IF(AND(Projektgrundlagen!$I$21,'StB-D1 Besondere Lstg'!M55=TRUE),'StB-D1 Besondere Lstg'!C55&amp;" "&amp;'StB-D1 Besondere Lstg'!F55&amp;" "&amp;'StB-D1 Besondere Lstg'!F56,IF(AND(Projektgrundlagen!$I$22,'HB-D1 Besondere Lstg Land'!M55=TRUE),'HB-D1 Besondere Lstg Land'!C55&amp;" "&amp;'HB-D1 Besondere Lstg Land'!F55&amp;" "&amp;'HB-D1 Besondere Lstg Land'!F56,IF(AND(Projektgrundlagen!$I$23,'HB-D2 Besondere Lstg Bund'!M55=TRUE),'HB-D2 Besondere Lstg Bund'!C55&amp;" "&amp;'HB-D2 Besondere Lstg Bund'!F55&amp;" "&amp;'HB-D2 Besondere Lstg Bund'!F56,"")))</f>
        <v/>
      </c>
      <c r="C100" s="1192" t="str">
        <f>IF(AND(Projektgrundlagen!$I$21,'StB-D1 Besondere Lstg'!M55=TRUE),'StB-D1 Besondere Lstg'!H55,"")</f>
        <v/>
      </c>
      <c r="D100" s="1192" t="str">
        <f>IF(AND(Projektgrundlagen!$I$21,'StB-D1 Besondere Lstg'!M55=TRUE),'StB-D1 Besondere Lstg'!I55,IF(AND(Projektgrundlagen!$I$22,'HB-D1 Besondere Lstg Land'!M55=TRUE),(IF('HB-D1 Besondere Lstg Land'!H55&gt;0,"v.H.","pauschal")),IF(AND(Projektgrundlagen!$I$23,'HB-D2 Besondere Lstg Bund'!M55=TRUE),(IF('HB-D2 Besondere Lstg Bund'!H55&gt;0,"v.H.","pauschal")),"")))</f>
        <v/>
      </c>
      <c r="E100" s="1192" t="str">
        <f>IF(AND(Projektgrundlagen!$I$21,'StB-D1 Besondere Lstg'!M55=TRUE),'StB-D1 Besondere Lstg'!J55,IF(AND(Projektgrundlagen!$I$22,'HB-D1 Besondere Lstg Land'!M55=TRUE),'HB-D1 Besondere Lstg Land'!H55+'HB-D1 Besondere Lstg Land'!J55,IF(AND(Projektgrundlagen!$I$23,'HB-D2 Besondere Lstg Bund'!M55=TRUE),'HB-D2 Besondere Lstg Bund'!H55+'HB-D2 Besondere Lstg Bund'!J55,"")))</f>
        <v/>
      </c>
      <c r="F100" s="1192" t="str">
        <f>IF(AND(Projektgrundlagen!$I$21,'StB-D1 Besondere Lstg'!M55=TRUE),'StB-D1 Besondere Lstg'!K55,IF(AND(Projektgrundlagen!$I$22,'HB-D1 Besondere Lstg Land'!M55=TRUE),'HB-D1 Besondere Lstg Land'!K55,IF(AND(Projektgrundlagen!$I$23,'HB-D2 Besondere Lstg Bund'!M55=TRUE),'HB-D2 Besondere Lstg Bund'!K55,"")))</f>
        <v/>
      </c>
      <c r="G100" s="1200"/>
      <c r="H100" s="1201"/>
    </row>
    <row r="101" spans="2:8" ht="14.25">
      <c r="B101" t="str">
        <f>IF(AND(Projektgrundlagen!$I$21,'StB-D1 Besondere Lstg'!M56=TRUE),'StB-D1 Besondere Lstg'!C56&amp;" "&amp;'StB-D1 Besondere Lstg'!F56&amp;" "&amp;'StB-D1 Besondere Lstg'!F57,IF(AND(Projektgrundlagen!$I$22,'HB-D1 Besondere Lstg Land'!M56=TRUE),'HB-D1 Besondere Lstg Land'!C56&amp;" "&amp;'HB-D1 Besondere Lstg Land'!F56&amp;" "&amp;'HB-D1 Besondere Lstg Land'!F57,IF(AND(Projektgrundlagen!$I$23,'HB-D2 Besondere Lstg Bund'!M56=TRUE),'HB-D2 Besondere Lstg Bund'!C56&amp;" "&amp;'HB-D2 Besondere Lstg Bund'!F56&amp;" "&amp;'HB-D2 Besondere Lstg Bund'!F57,"")))</f>
        <v/>
      </c>
      <c r="C101" s="1192" t="str">
        <f>IF(AND(Projektgrundlagen!$I$21,'StB-D1 Besondere Lstg'!M56=TRUE),'StB-D1 Besondere Lstg'!H56,"")</f>
        <v/>
      </c>
      <c r="D101" s="1192" t="str">
        <f>IF(AND(Projektgrundlagen!$I$21,'StB-D1 Besondere Lstg'!M56=TRUE),'StB-D1 Besondere Lstg'!I56,IF(AND(Projektgrundlagen!$I$22,'HB-D1 Besondere Lstg Land'!M56=TRUE),(IF('HB-D1 Besondere Lstg Land'!H56&gt;0,"v.H.","pauschal")),IF(AND(Projektgrundlagen!$I$23,'HB-D2 Besondere Lstg Bund'!M56=TRUE),(IF('HB-D2 Besondere Lstg Bund'!H56&gt;0,"v.H.","pauschal")),"")))</f>
        <v/>
      </c>
      <c r="E101" s="1192" t="str">
        <f>IF(AND(Projektgrundlagen!$I$21,'StB-D1 Besondere Lstg'!M56=TRUE),'StB-D1 Besondere Lstg'!J56,IF(AND(Projektgrundlagen!$I$22,'HB-D1 Besondere Lstg Land'!M56=TRUE),'HB-D1 Besondere Lstg Land'!H56+'HB-D1 Besondere Lstg Land'!J56,IF(AND(Projektgrundlagen!$I$23,'HB-D2 Besondere Lstg Bund'!M56=TRUE),'HB-D2 Besondere Lstg Bund'!H56+'HB-D2 Besondere Lstg Bund'!J56,"")))</f>
        <v/>
      </c>
      <c r="F101" s="1192" t="str">
        <f>IF(AND(Projektgrundlagen!$I$21,'StB-D1 Besondere Lstg'!M56=TRUE),'StB-D1 Besondere Lstg'!K56,IF(AND(Projektgrundlagen!$I$22,'HB-D1 Besondere Lstg Land'!M56=TRUE),'HB-D1 Besondere Lstg Land'!K56,IF(AND(Projektgrundlagen!$I$23,'HB-D2 Besondere Lstg Bund'!M56=TRUE),'HB-D2 Besondere Lstg Bund'!K56,"")))</f>
        <v/>
      </c>
      <c r="G101" s="1200"/>
      <c r="H101" s="1201"/>
    </row>
    <row r="102" spans="2:8" ht="14.25">
      <c r="B102" t="str">
        <f>IF(AND(Projektgrundlagen!$I$21,'StB-D1 Besondere Lstg'!M57=TRUE),'StB-D1 Besondere Lstg'!C57&amp;" "&amp;'StB-D1 Besondere Lstg'!F57&amp;" "&amp;'StB-D1 Besondere Lstg'!F58,IF(AND(Projektgrundlagen!$I$22,'HB-D1 Besondere Lstg Land'!M57=TRUE),'HB-D1 Besondere Lstg Land'!C57&amp;" "&amp;'HB-D1 Besondere Lstg Land'!F57&amp;" "&amp;'HB-D1 Besondere Lstg Land'!F58,IF(AND(Projektgrundlagen!$I$23,'HB-D2 Besondere Lstg Bund'!M57=TRUE),'HB-D2 Besondere Lstg Bund'!C57&amp;" "&amp;'HB-D2 Besondere Lstg Bund'!F57&amp;" "&amp;'HB-D2 Besondere Lstg Bund'!F58,"")))</f>
        <v xml:space="preserve">3.06 Aktualisierung des Lastenplans der Ziff. 2.02 </v>
      </c>
      <c r="C102" s="1192">
        <f>IF(AND(Projektgrundlagen!$I$21,'StB-D1 Besondere Lstg'!M57=TRUE),'StB-D1 Besondere Lstg'!H57,"")</f>
        <v>1</v>
      </c>
      <c r="D102" s="1192" t="str">
        <f>IF(AND(Projektgrundlagen!$I$21,'StB-D1 Besondere Lstg'!M57=TRUE),'StB-D1 Besondere Lstg'!I57,IF(AND(Projektgrundlagen!$I$22,'HB-D1 Besondere Lstg Land'!M57=TRUE),(IF('HB-D1 Besondere Lstg Land'!H57&gt;0,"v.H.","pauschal")),IF(AND(Projektgrundlagen!$I$23,'HB-D2 Besondere Lstg Bund'!M57=TRUE),(IF('HB-D2 Besondere Lstg Bund'!H57&gt;0,"v.H.","pauschal")),"")))</f>
        <v>psch</v>
      </c>
      <c r="E102" s="1192">
        <f>IF(AND(Projektgrundlagen!$I$21,'StB-D1 Besondere Lstg'!M57=TRUE),'StB-D1 Besondere Lstg'!J57,IF(AND(Projektgrundlagen!$I$22,'HB-D1 Besondere Lstg Land'!M57=TRUE),'HB-D1 Besondere Lstg Land'!H57+'HB-D1 Besondere Lstg Land'!J57,IF(AND(Projektgrundlagen!$I$23,'HB-D2 Besondere Lstg Bund'!M57=TRUE),'HB-D2 Besondere Lstg Bund'!H57+'HB-D2 Besondere Lstg Bund'!J57,"")))</f>
        <v>0</v>
      </c>
      <c r="F102" s="1192">
        <f>IF(AND(Projektgrundlagen!$I$21,'StB-D1 Besondere Lstg'!M57=TRUE),'StB-D1 Besondere Lstg'!K57,IF(AND(Projektgrundlagen!$I$22,'HB-D1 Besondere Lstg Land'!M57=TRUE),'HB-D1 Besondere Lstg Land'!K57,IF(AND(Projektgrundlagen!$I$23,'HB-D2 Besondere Lstg Bund'!M57=TRUE),'HB-D2 Besondere Lstg Bund'!K57,"")))</f>
        <v>0</v>
      </c>
      <c r="G102" s="1200"/>
      <c r="H102" s="1201"/>
    </row>
    <row r="103" spans="2:8" ht="14.25">
      <c r="B103" t="str">
        <f>IF(AND(Projektgrundlagen!$I$21,'StB-D1 Besondere Lstg'!M58=TRUE),'StB-D1 Besondere Lstg'!C58&amp;" "&amp;'StB-D1 Besondere Lstg'!F58&amp;" "&amp;'StB-D1 Besondere Lstg'!F59,IF(AND(Projektgrundlagen!$I$22,'HB-D1 Besondere Lstg Land'!M58=TRUE),'HB-D1 Besondere Lstg Land'!C58&amp;" "&amp;'HB-D1 Besondere Lstg Land'!F58&amp;" "&amp;'HB-D1 Besondere Lstg Land'!F59,IF(AND(Projektgrundlagen!$I$23,'HB-D2 Besondere Lstg Bund'!M58=TRUE),'HB-D2 Besondere Lstg Bund'!C58&amp;" "&amp;'HB-D2 Besondere Lstg Bund'!F58&amp;" "&amp;'HB-D2 Besondere Lstg Bund'!F59,"")))</f>
        <v/>
      </c>
      <c r="C103" s="1192" t="str">
        <f>IF(AND(Projektgrundlagen!$I$21,'StB-D1 Besondere Lstg'!M58=TRUE),'StB-D1 Besondere Lstg'!H58,"")</f>
        <v/>
      </c>
      <c r="D103" s="1192" t="str">
        <f>IF(AND(Projektgrundlagen!$I$21,'StB-D1 Besondere Lstg'!M58=TRUE),'StB-D1 Besondere Lstg'!I58,IF(AND(Projektgrundlagen!$I$22,'HB-D1 Besondere Lstg Land'!M58=TRUE),(IF('HB-D1 Besondere Lstg Land'!H58&gt;0,"v.H.","pauschal")),IF(AND(Projektgrundlagen!$I$23,'HB-D2 Besondere Lstg Bund'!M58=TRUE),(IF('HB-D2 Besondere Lstg Bund'!H58&gt;0,"v.H.","pauschal")),"")))</f>
        <v/>
      </c>
      <c r="E103" s="1192" t="str">
        <f>IF(AND(Projektgrundlagen!$I$21,'StB-D1 Besondere Lstg'!M58=TRUE),'StB-D1 Besondere Lstg'!J58,IF(AND(Projektgrundlagen!$I$22,'HB-D1 Besondere Lstg Land'!M58=TRUE),'HB-D1 Besondere Lstg Land'!H58+'HB-D1 Besondere Lstg Land'!J58,IF(AND(Projektgrundlagen!$I$23,'HB-D2 Besondere Lstg Bund'!M58=TRUE),'HB-D2 Besondere Lstg Bund'!H58+'HB-D2 Besondere Lstg Bund'!J58,"")))</f>
        <v/>
      </c>
      <c r="F103" s="1192" t="str">
        <f>IF(AND(Projektgrundlagen!$I$21,'StB-D1 Besondere Lstg'!M58=TRUE),'StB-D1 Besondere Lstg'!K58,IF(AND(Projektgrundlagen!$I$22,'HB-D1 Besondere Lstg Land'!M58=TRUE),'HB-D1 Besondere Lstg Land'!K58,IF(AND(Projektgrundlagen!$I$23,'HB-D2 Besondere Lstg Bund'!M58=TRUE),'HB-D2 Besondere Lstg Bund'!K58,"")))</f>
        <v/>
      </c>
      <c r="G103" s="1200"/>
      <c r="H103" s="1201"/>
    </row>
    <row r="104" spans="2:8" ht="14.25">
      <c r="B104" t="str">
        <f>IF(AND(Projektgrundlagen!$I$21,'StB-D1 Besondere Lstg'!M59=TRUE),'StB-D1 Besondere Lstg'!C59&amp;" "&amp;'StB-D1 Besondere Lstg'!F59&amp;" "&amp;'StB-D1 Besondere Lstg'!F60,IF(AND(Projektgrundlagen!$I$22,'HB-D1 Besondere Lstg Land'!M59=TRUE),'HB-D1 Besondere Lstg Land'!C59&amp;" "&amp;'HB-D1 Besondere Lstg Land'!F59&amp;" "&amp;'HB-D1 Besondere Lstg Land'!F60,IF(AND(Projektgrundlagen!$I$23,'HB-D2 Besondere Lstg Bund'!M59=TRUE),'HB-D2 Besondere Lstg Bund'!C59&amp;" "&amp;'HB-D2 Besondere Lstg Bund'!F59&amp;" "&amp;'HB-D2 Besondere Lstg Bund'!F60,"")))</f>
        <v/>
      </c>
      <c r="C104" s="1192" t="str">
        <f>IF(AND(Projektgrundlagen!$I$21,'StB-D1 Besondere Lstg'!M59=TRUE),'StB-D1 Besondere Lstg'!H59,"")</f>
        <v/>
      </c>
      <c r="D104" s="1192" t="str">
        <f>IF(AND(Projektgrundlagen!$I$21,'StB-D1 Besondere Lstg'!M59=TRUE),'StB-D1 Besondere Lstg'!I59,IF(AND(Projektgrundlagen!$I$22,'HB-D1 Besondere Lstg Land'!M59=TRUE),(IF('HB-D1 Besondere Lstg Land'!H59&gt;0,"v.H.","pauschal")),IF(AND(Projektgrundlagen!$I$23,'HB-D2 Besondere Lstg Bund'!M59=TRUE),(IF('HB-D2 Besondere Lstg Bund'!H59&gt;0,"v.H.","pauschal")),"")))</f>
        <v/>
      </c>
      <c r="E104" s="1192" t="str">
        <f>IF(AND(Projektgrundlagen!$I$21,'StB-D1 Besondere Lstg'!M59=TRUE),'StB-D1 Besondere Lstg'!J59,IF(AND(Projektgrundlagen!$I$22,'HB-D1 Besondere Lstg Land'!M59=TRUE),'HB-D1 Besondere Lstg Land'!H59+'HB-D1 Besondere Lstg Land'!J59,IF(AND(Projektgrundlagen!$I$23,'HB-D2 Besondere Lstg Bund'!M59=TRUE),'HB-D2 Besondere Lstg Bund'!H59+'HB-D2 Besondere Lstg Bund'!J59,"")))</f>
        <v/>
      </c>
      <c r="F104" s="1192" t="str">
        <f>IF(AND(Projektgrundlagen!$I$21,'StB-D1 Besondere Lstg'!M59=TRUE),'StB-D1 Besondere Lstg'!K59,IF(AND(Projektgrundlagen!$I$22,'HB-D1 Besondere Lstg Land'!M59=TRUE),'HB-D1 Besondere Lstg Land'!K59,IF(AND(Projektgrundlagen!$I$23,'HB-D2 Besondere Lstg Bund'!M59=TRUE),'HB-D2 Besondere Lstg Bund'!K59,"")))</f>
        <v/>
      </c>
      <c r="G104" s="1200"/>
      <c r="H104" s="1201"/>
    </row>
    <row r="105" spans="2:8" ht="14.25">
      <c r="B105" t="str">
        <f>IF(AND(Projektgrundlagen!$I$21,'StB-D1 Besondere Lstg'!M60=TRUE),'StB-D1 Besondere Lstg'!C60&amp;" "&amp;'StB-D1 Besondere Lstg'!F60&amp;" "&amp;'StB-D1 Besondere Lstg'!F61,IF(AND(Projektgrundlagen!$I$22,'HB-D1 Besondere Lstg Land'!M60=TRUE),'HB-D1 Besondere Lstg Land'!C60&amp;" "&amp;'HB-D1 Besondere Lstg Land'!F60&amp;" "&amp;'HB-D1 Besondere Lstg Land'!F61,IF(AND(Projektgrundlagen!$I$23,'HB-D2 Besondere Lstg Bund'!M60=TRUE),'HB-D2 Besondere Lstg Bund'!C60&amp;" "&amp;'HB-D2 Besondere Lstg Bund'!F60&amp;" "&amp;'HB-D2 Besondere Lstg Bund'!F61,"")))</f>
        <v/>
      </c>
      <c r="C105" s="1192" t="str">
        <f>IF(AND(Projektgrundlagen!$I$21,'StB-D1 Besondere Lstg'!M60=TRUE),'StB-D1 Besondere Lstg'!H60,"")</f>
        <v/>
      </c>
      <c r="D105" s="1192" t="str">
        <f>IF(AND(Projektgrundlagen!$I$21,'StB-D1 Besondere Lstg'!M60=TRUE),'StB-D1 Besondere Lstg'!I60,IF(AND(Projektgrundlagen!$I$22,'HB-D1 Besondere Lstg Land'!M60=TRUE),(IF('HB-D1 Besondere Lstg Land'!H60&gt;0,"v.H.","pauschal")),IF(AND(Projektgrundlagen!$I$23,'HB-D2 Besondere Lstg Bund'!M60=TRUE),(IF('HB-D2 Besondere Lstg Bund'!H60&gt;0,"v.H.","pauschal")),"")))</f>
        <v/>
      </c>
      <c r="E105" s="1192" t="str">
        <f>IF(AND(Projektgrundlagen!$I$21,'StB-D1 Besondere Lstg'!M60=TRUE),'StB-D1 Besondere Lstg'!J60,IF(AND(Projektgrundlagen!$I$22,'HB-D1 Besondere Lstg Land'!M60=TRUE),'HB-D1 Besondere Lstg Land'!H60+'HB-D1 Besondere Lstg Land'!J60,IF(AND(Projektgrundlagen!$I$23,'HB-D2 Besondere Lstg Bund'!M60=TRUE),'HB-D2 Besondere Lstg Bund'!H60+'HB-D2 Besondere Lstg Bund'!J60,"")))</f>
        <v/>
      </c>
      <c r="F105" s="1192" t="str">
        <f>IF(AND(Projektgrundlagen!$I$21,'StB-D1 Besondere Lstg'!M60=TRUE),'StB-D1 Besondere Lstg'!K60,IF(AND(Projektgrundlagen!$I$22,'HB-D1 Besondere Lstg Land'!M60=TRUE),'HB-D1 Besondere Lstg Land'!K60,IF(AND(Projektgrundlagen!$I$23,'HB-D2 Besondere Lstg Bund'!M60=TRUE),'HB-D2 Besondere Lstg Bund'!K60,"")))</f>
        <v/>
      </c>
      <c r="G105" s="1200"/>
      <c r="H105" s="1201"/>
    </row>
    <row r="106" spans="2:8" ht="14.25">
      <c r="B106" t="str">
        <f>IF(AND(Projektgrundlagen!$I$21,'StB-D1 Besondere Lstg'!M61=TRUE),'StB-D1 Besondere Lstg'!C61&amp;" "&amp;'StB-D1 Besondere Lstg'!F61&amp;" "&amp;'StB-D1 Besondere Lstg'!F62,IF(AND(Projektgrundlagen!$I$22,'HB-D1 Besondere Lstg Land'!M61=TRUE),'HB-D1 Besondere Lstg Land'!C61&amp;" "&amp;'HB-D1 Besondere Lstg Land'!F61&amp;" "&amp;'HB-D1 Besondere Lstg Land'!F62,IF(AND(Projektgrundlagen!$I$23,'HB-D2 Besondere Lstg Bund'!M61=TRUE),'HB-D2 Besondere Lstg Bund'!C61&amp;" "&amp;'HB-D2 Besondere Lstg Bund'!F61&amp;" "&amp;'HB-D2 Besondere Lstg Bund'!F62,"")))</f>
        <v/>
      </c>
      <c r="C106" s="1192" t="str">
        <f>IF(AND(Projektgrundlagen!$I$21,'StB-D1 Besondere Lstg'!M61=TRUE),'StB-D1 Besondere Lstg'!H61,"")</f>
        <v/>
      </c>
      <c r="D106" s="1192" t="str">
        <f>IF(AND(Projektgrundlagen!$I$21,'StB-D1 Besondere Lstg'!M61=TRUE),'StB-D1 Besondere Lstg'!I61,IF(AND(Projektgrundlagen!$I$22,'HB-D1 Besondere Lstg Land'!M61=TRUE),(IF('HB-D1 Besondere Lstg Land'!H61&gt;0,"v.H.","pauschal")),IF(AND(Projektgrundlagen!$I$23,'HB-D2 Besondere Lstg Bund'!M61=TRUE),(IF('HB-D2 Besondere Lstg Bund'!H61&gt;0,"v.H.","pauschal")),"")))</f>
        <v/>
      </c>
      <c r="E106" s="1192" t="str">
        <f>IF(AND(Projektgrundlagen!$I$21,'StB-D1 Besondere Lstg'!M61=TRUE),'StB-D1 Besondere Lstg'!J61,IF(AND(Projektgrundlagen!$I$22,'HB-D1 Besondere Lstg Land'!M61=TRUE),'HB-D1 Besondere Lstg Land'!H61+'HB-D1 Besondere Lstg Land'!J61,IF(AND(Projektgrundlagen!$I$23,'HB-D2 Besondere Lstg Bund'!M61=TRUE),'HB-D2 Besondere Lstg Bund'!H61+'HB-D2 Besondere Lstg Bund'!J61,"")))</f>
        <v/>
      </c>
      <c r="F106" s="1192" t="str">
        <f>IF(AND(Projektgrundlagen!$I$21,'StB-D1 Besondere Lstg'!M61=TRUE),'StB-D1 Besondere Lstg'!K61,IF(AND(Projektgrundlagen!$I$22,'HB-D1 Besondere Lstg Land'!M61=TRUE),'HB-D1 Besondere Lstg Land'!K61,IF(AND(Projektgrundlagen!$I$23,'HB-D2 Besondere Lstg Bund'!M61=TRUE),'HB-D2 Besondere Lstg Bund'!K61,"")))</f>
        <v/>
      </c>
      <c r="G106" s="1200"/>
      <c r="H106" s="1201"/>
    </row>
    <row r="107" spans="2:8" ht="14.25">
      <c r="B107" t="str">
        <f>IF(AND(Projektgrundlagen!$I$21,'StB-D1 Besondere Lstg'!M62=TRUE),'StB-D1 Besondere Lstg'!C62&amp;" "&amp;'StB-D1 Besondere Lstg'!F62&amp;" "&amp;'StB-D1 Besondere Lstg'!F63,IF(AND(Projektgrundlagen!$I$22,'HB-D1 Besondere Lstg Land'!M62=TRUE),'HB-D1 Besondere Lstg Land'!C62&amp;" "&amp;'HB-D1 Besondere Lstg Land'!F62&amp;" "&amp;'HB-D1 Besondere Lstg Land'!F63,IF(AND(Projektgrundlagen!$I$23,'HB-D2 Besondere Lstg Bund'!M62=TRUE),'HB-D2 Besondere Lstg Bund'!C62&amp;" "&amp;'HB-D2 Besondere Lstg Bund'!F62&amp;" "&amp;'HB-D2 Besondere Lstg Bund'!F63,"")))</f>
        <v/>
      </c>
      <c r="C107" s="1192" t="str">
        <f>IF(AND(Projektgrundlagen!$I$21,'StB-D1 Besondere Lstg'!M62=TRUE),'StB-D1 Besondere Lstg'!H62,"")</f>
        <v/>
      </c>
      <c r="D107" s="1192" t="str">
        <f>IF(AND(Projektgrundlagen!$I$21,'StB-D1 Besondere Lstg'!M62=TRUE),'StB-D1 Besondere Lstg'!I62,IF(AND(Projektgrundlagen!$I$22,'HB-D1 Besondere Lstg Land'!M62=TRUE),(IF('HB-D1 Besondere Lstg Land'!H62&gt;0,"v.H.","pauschal")),IF(AND(Projektgrundlagen!$I$23,'HB-D2 Besondere Lstg Bund'!M62=TRUE),(IF('HB-D2 Besondere Lstg Bund'!H62&gt;0,"v.H.","pauschal")),"")))</f>
        <v/>
      </c>
      <c r="E107" s="1192" t="str">
        <f>IF(AND(Projektgrundlagen!$I$21,'StB-D1 Besondere Lstg'!M62=TRUE),'StB-D1 Besondere Lstg'!J62,IF(AND(Projektgrundlagen!$I$22,'HB-D1 Besondere Lstg Land'!M62=TRUE),'HB-D1 Besondere Lstg Land'!H62+'HB-D1 Besondere Lstg Land'!J62,IF(AND(Projektgrundlagen!$I$23,'HB-D2 Besondere Lstg Bund'!M62=TRUE),'HB-D2 Besondere Lstg Bund'!H62+'HB-D2 Besondere Lstg Bund'!J62,"")))</f>
        <v/>
      </c>
      <c r="F107" s="1192" t="str">
        <f>IF(AND(Projektgrundlagen!$I$21,'StB-D1 Besondere Lstg'!M62=TRUE),'StB-D1 Besondere Lstg'!K62,IF(AND(Projektgrundlagen!$I$22,'HB-D1 Besondere Lstg Land'!M62=TRUE),'HB-D1 Besondere Lstg Land'!K62,IF(AND(Projektgrundlagen!$I$23,'HB-D2 Besondere Lstg Bund'!M62=TRUE),'HB-D2 Besondere Lstg Bund'!K62,"")))</f>
        <v/>
      </c>
      <c r="G107" s="1200"/>
      <c r="H107" s="1201"/>
    </row>
    <row r="108" spans="2:8" ht="14.25">
      <c r="B108" t="str">
        <f>IF(AND(Projektgrundlagen!$I$21,'StB-D1 Besondere Lstg'!M63=TRUE),'StB-D1 Besondere Lstg'!C63&amp;" "&amp;'StB-D1 Besondere Lstg'!F63&amp;" "&amp;'StB-D1 Besondere Lstg'!F64,IF(AND(Projektgrundlagen!$I$22,'HB-D1 Besondere Lstg Land'!M63=TRUE),'HB-D1 Besondere Lstg Land'!C63&amp;" "&amp;'HB-D1 Besondere Lstg Land'!F63&amp;" "&amp;'HB-D1 Besondere Lstg Land'!F64,IF(AND(Projektgrundlagen!$I$23,'HB-D2 Besondere Lstg Bund'!M63=TRUE),'HB-D2 Besondere Lstg Bund'!C63&amp;" "&amp;'HB-D2 Besondere Lstg Bund'!F63&amp;" "&amp;'HB-D2 Besondere Lstg Bund'!F64,"")))</f>
        <v/>
      </c>
      <c r="C108" s="1192" t="str">
        <f>IF(AND(Projektgrundlagen!$I$21,'StB-D1 Besondere Lstg'!M63=TRUE),'StB-D1 Besondere Lstg'!H63,"")</f>
        <v/>
      </c>
      <c r="D108" s="1192" t="str">
        <f>IF(AND(Projektgrundlagen!$I$21,'StB-D1 Besondere Lstg'!M63=TRUE),'StB-D1 Besondere Lstg'!I63,IF(AND(Projektgrundlagen!$I$22,'HB-D1 Besondere Lstg Land'!M63=TRUE),(IF('HB-D1 Besondere Lstg Land'!H63&gt;0,"v.H.","pauschal")),IF(AND(Projektgrundlagen!$I$23,'HB-D2 Besondere Lstg Bund'!M63=TRUE),(IF('HB-D2 Besondere Lstg Bund'!H63&gt;0,"v.H.","pauschal")),"")))</f>
        <v/>
      </c>
      <c r="E108" s="1192" t="str">
        <f>IF(AND(Projektgrundlagen!$I$21,'StB-D1 Besondere Lstg'!M63=TRUE),'StB-D1 Besondere Lstg'!J63,IF(AND(Projektgrundlagen!$I$22,'HB-D1 Besondere Lstg Land'!M63=TRUE),'HB-D1 Besondere Lstg Land'!H63+'HB-D1 Besondere Lstg Land'!J63,IF(AND(Projektgrundlagen!$I$23,'HB-D2 Besondere Lstg Bund'!M63=TRUE),'HB-D2 Besondere Lstg Bund'!H63+'HB-D2 Besondere Lstg Bund'!J63,"")))</f>
        <v/>
      </c>
      <c r="F108" s="1192" t="str">
        <f>IF(AND(Projektgrundlagen!$I$21,'StB-D1 Besondere Lstg'!M63=TRUE),'StB-D1 Besondere Lstg'!K63,IF(AND(Projektgrundlagen!$I$22,'HB-D1 Besondere Lstg Land'!M63=TRUE),'HB-D1 Besondere Lstg Land'!K63,IF(AND(Projektgrundlagen!$I$23,'HB-D2 Besondere Lstg Bund'!M63=TRUE),'HB-D2 Besondere Lstg Bund'!K63,"")))</f>
        <v/>
      </c>
      <c r="G108" s="1200"/>
      <c r="H108" s="1201"/>
    </row>
    <row r="109" spans="2:8" ht="14.25">
      <c r="B109" t="str">
        <f>IF(AND(Projektgrundlagen!$I$21,'StB-D1 Besondere Lstg'!M64=TRUE),'StB-D1 Besondere Lstg'!C64&amp;" "&amp;'StB-D1 Besondere Lstg'!F64&amp;" "&amp;'StB-D1 Besondere Lstg'!F65,IF(AND(Projektgrundlagen!$I$22,'HB-D1 Besondere Lstg Land'!M64=TRUE),'HB-D1 Besondere Lstg Land'!C64&amp;" "&amp;'HB-D1 Besondere Lstg Land'!F64&amp;" "&amp;'HB-D1 Besondere Lstg Land'!F65,IF(AND(Projektgrundlagen!$I$23,'HB-D2 Besondere Lstg Bund'!M64=TRUE),'HB-D2 Besondere Lstg Bund'!C64&amp;" "&amp;'HB-D2 Besondere Lstg Bund'!F64&amp;" "&amp;'HB-D2 Besondere Lstg Bund'!F65,"")))</f>
        <v/>
      </c>
      <c r="C109" s="1192" t="str">
        <f>IF(AND(Projektgrundlagen!$I$21,'StB-D1 Besondere Lstg'!M64=TRUE),'StB-D1 Besondere Lstg'!H64,"")</f>
        <v/>
      </c>
      <c r="D109" s="1192" t="str">
        <f>IF(AND(Projektgrundlagen!$I$21,'StB-D1 Besondere Lstg'!M64=TRUE),'StB-D1 Besondere Lstg'!I64,IF(AND(Projektgrundlagen!$I$22,'HB-D1 Besondere Lstg Land'!M64=TRUE),(IF('HB-D1 Besondere Lstg Land'!H64&gt;0,"v.H.","pauschal")),IF(AND(Projektgrundlagen!$I$23,'HB-D2 Besondere Lstg Bund'!M64=TRUE),(IF('HB-D2 Besondere Lstg Bund'!H64&gt;0,"v.H.","pauschal")),"")))</f>
        <v/>
      </c>
      <c r="E109" s="1192" t="str">
        <f>IF(AND(Projektgrundlagen!$I$21,'StB-D1 Besondere Lstg'!M64=TRUE),'StB-D1 Besondere Lstg'!J64,IF(AND(Projektgrundlagen!$I$22,'HB-D1 Besondere Lstg Land'!M64=TRUE),'HB-D1 Besondere Lstg Land'!H64+'HB-D1 Besondere Lstg Land'!J64,IF(AND(Projektgrundlagen!$I$23,'HB-D2 Besondere Lstg Bund'!M64=TRUE),'HB-D2 Besondere Lstg Bund'!H64+'HB-D2 Besondere Lstg Bund'!J64,"")))</f>
        <v/>
      </c>
      <c r="F109" s="1192" t="str">
        <f>IF(AND(Projektgrundlagen!$I$21,'StB-D1 Besondere Lstg'!M64=TRUE),'StB-D1 Besondere Lstg'!K64,IF(AND(Projektgrundlagen!$I$22,'HB-D1 Besondere Lstg Land'!M64=TRUE),'HB-D1 Besondere Lstg Land'!K64,IF(AND(Projektgrundlagen!$I$23,'HB-D2 Besondere Lstg Bund'!M64=TRUE),'HB-D2 Besondere Lstg Bund'!K64,"")))</f>
        <v/>
      </c>
      <c r="G109" s="1200"/>
      <c r="H109" s="1201"/>
    </row>
    <row r="110" spans="2:8" ht="14.25">
      <c r="B110" t="str">
        <f>IF(AND(Projektgrundlagen!$I$21,'StB-D1 Besondere Lstg'!M65=TRUE),'StB-D1 Besondere Lstg'!C65&amp;" "&amp;'StB-D1 Besondere Lstg'!F65&amp;" "&amp;'StB-D1 Besondere Lstg'!F66,IF(AND(Projektgrundlagen!$I$22,'HB-D1 Besondere Lstg Land'!M65=TRUE),'HB-D1 Besondere Lstg Land'!C65&amp;" "&amp;'HB-D1 Besondere Lstg Land'!F65&amp;" "&amp;'HB-D1 Besondere Lstg Land'!F66,IF(AND(Projektgrundlagen!$I$23,'HB-D2 Besondere Lstg Bund'!M65=TRUE),'HB-D2 Besondere Lstg Bund'!C65&amp;" "&amp;'HB-D2 Besondere Lstg Bund'!F65&amp;" "&amp;'HB-D2 Besondere Lstg Bund'!F66,"")))</f>
        <v/>
      </c>
      <c r="C110" s="1192" t="str">
        <f>IF(AND(Projektgrundlagen!$I$21,'StB-D1 Besondere Lstg'!M65=TRUE),'StB-D1 Besondere Lstg'!H65,"")</f>
        <v/>
      </c>
      <c r="D110" s="1192" t="str">
        <f>IF(AND(Projektgrundlagen!$I$21,'StB-D1 Besondere Lstg'!M65=TRUE),'StB-D1 Besondere Lstg'!I65,IF(AND(Projektgrundlagen!$I$22,'HB-D1 Besondere Lstg Land'!M65=TRUE),(IF('HB-D1 Besondere Lstg Land'!H65&gt;0,"v.H.","pauschal")),IF(AND(Projektgrundlagen!$I$23,'HB-D2 Besondere Lstg Bund'!M65=TRUE),(IF('HB-D2 Besondere Lstg Bund'!H65&gt;0,"v.H.","pauschal")),"")))</f>
        <v/>
      </c>
      <c r="E110" s="1192" t="str">
        <f>IF(AND(Projektgrundlagen!$I$21,'StB-D1 Besondere Lstg'!M65=TRUE),'StB-D1 Besondere Lstg'!J65,IF(AND(Projektgrundlagen!$I$22,'HB-D1 Besondere Lstg Land'!M65=TRUE),'HB-D1 Besondere Lstg Land'!H65+'HB-D1 Besondere Lstg Land'!J65,IF(AND(Projektgrundlagen!$I$23,'HB-D2 Besondere Lstg Bund'!M65=TRUE),'HB-D2 Besondere Lstg Bund'!H65+'HB-D2 Besondere Lstg Bund'!J65,"")))</f>
        <v/>
      </c>
      <c r="F110" s="1192" t="str">
        <f>IF(AND(Projektgrundlagen!$I$21,'StB-D1 Besondere Lstg'!M65=TRUE),'StB-D1 Besondere Lstg'!K65,IF(AND(Projektgrundlagen!$I$22,'HB-D1 Besondere Lstg Land'!M65=TRUE),'HB-D1 Besondere Lstg Land'!K65,IF(AND(Projektgrundlagen!$I$23,'HB-D2 Besondere Lstg Bund'!M65=TRUE),'HB-D2 Besondere Lstg Bund'!K65,"")))</f>
        <v/>
      </c>
      <c r="G110" s="1200"/>
      <c r="H110" s="1201"/>
    </row>
    <row r="111" spans="2:8" ht="14.25">
      <c r="B111" t="str">
        <f>IF(AND(Projektgrundlagen!$I$21,'StB-D1 Besondere Lstg'!M66=TRUE),'StB-D1 Besondere Lstg'!C66&amp;" "&amp;'StB-D1 Besondere Lstg'!F66&amp;" "&amp;'StB-D1 Besondere Lstg'!F67,IF(AND(Projektgrundlagen!$I$22,'HB-D1 Besondere Lstg Land'!M66=TRUE),'HB-D1 Besondere Lstg Land'!C66&amp;" "&amp;'HB-D1 Besondere Lstg Land'!F66&amp;" "&amp;'HB-D1 Besondere Lstg Land'!F67,IF(AND(Projektgrundlagen!$I$23,'HB-D2 Besondere Lstg Bund'!M66=TRUE),'HB-D2 Besondere Lstg Bund'!C66&amp;" "&amp;'HB-D2 Besondere Lstg Bund'!F66&amp;" "&amp;'HB-D2 Besondere Lstg Bund'!F67,"")))</f>
        <v/>
      </c>
      <c r="C111" s="1192" t="str">
        <f>IF(AND(Projektgrundlagen!$I$21,'StB-D1 Besondere Lstg'!M66=TRUE),'StB-D1 Besondere Lstg'!H66,"")</f>
        <v/>
      </c>
      <c r="D111" s="1192" t="str">
        <f>IF(AND(Projektgrundlagen!$I$21,'StB-D1 Besondere Lstg'!M66=TRUE),'StB-D1 Besondere Lstg'!I66,IF(AND(Projektgrundlagen!$I$22,'HB-D1 Besondere Lstg Land'!M66=TRUE),(IF('HB-D1 Besondere Lstg Land'!H66&gt;0,"v.H.","pauschal")),IF(AND(Projektgrundlagen!$I$23,'HB-D2 Besondere Lstg Bund'!M66=TRUE),(IF('HB-D2 Besondere Lstg Bund'!H66&gt;0,"v.H.","pauschal")),"")))</f>
        <v/>
      </c>
      <c r="E111" s="1192" t="str">
        <f>IF(AND(Projektgrundlagen!$I$21,'StB-D1 Besondere Lstg'!M66=TRUE),'StB-D1 Besondere Lstg'!J66,IF(AND(Projektgrundlagen!$I$22,'HB-D1 Besondere Lstg Land'!M66=TRUE),'HB-D1 Besondere Lstg Land'!H66+'HB-D1 Besondere Lstg Land'!J66,IF(AND(Projektgrundlagen!$I$23,'HB-D2 Besondere Lstg Bund'!M66=TRUE),'HB-D2 Besondere Lstg Bund'!H66+'HB-D2 Besondere Lstg Bund'!J66,"")))</f>
        <v/>
      </c>
      <c r="F111" s="1192" t="str">
        <f>IF(AND(Projektgrundlagen!$I$21,'StB-D1 Besondere Lstg'!M66=TRUE),'StB-D1 Besondere Lstg'!K66,IF(AND(Projektgrundlagen!$I$22,'HB-D1 Besondere Lstg Land'!M66=TRUE),'HB-D1 Besondere Lstg Land'!K66,IF(AND(Projektgrundlagen!$I$23,'HB-D2 Besondere Lstg Bund'!M66=TRUE),'HB-D2 Besondere Lstg Bund'!K66,"")))</f>
        <v/>
      </c>
      <c r="G111" s="1200"/>
      <c r="H111" s="1201"/>
    </row>
    <row r="112" spans="2:8" ht="14.25">
      <c r="B112" t="str">
        <f>IF(AND(Projektgrundlagen!$I$21,'StB-D1 Besondere Lstg'!M67=TRUE),'StB-D1 Besondere Lstg'!C67&amp;" "&amp;'StB-D1 Besondere Lstg'!F67&amp;" "&amp;'StB-D1 Besondere Lstg'!F68,IF(AND(Projektgrundlagen!$I$22,'HB-D1 Besondere Lstg Land'!M67=TRUE),'HB-D1 Besondere Lstg Land'!C67&amp;" "&amp;'HB-D1 Besondere Lstg Land'!F67&amp;" "&amp;'HB-D1 Besondere Lstg Land'!F68,IF(AND(Projektgrundlagen!$I$23,'HB-D2 Besondere Lstg Bund'!M67=TRUE),'HB-D2 Besondere Lstg Bund'!C67&amp;" "&amp;'HB-D2 Besondere Lstg Bund'!F67&amp;" "&amp;'HB-D2 Besondere Lstg Bund'!F68,"")))</f>
        <v/>
      </c>
      <c r="C112" s="1192" t="str">
        <f>IF(AND(Projektgrundlagen!$I$21,'StB-D1 Besondere Lstg'!M67=TRUE),'StB-D1 Besondere Lstg'!H67,"")</f>
        <v/>
      </c>
      <c r="D112" s="1192" t="str">
        <f>IF(AND(Projektgrundlagen!$I$21,'StB-D1 Besondere Lstg'!M67=TRUE),'StB-D1 Besondere Lstg'!I67,IF(AND(Projektgrundlagen!$I$22,'HB-D1 Besondere Lstg Land'!M67=TRUE),(IF('HB-D1 Besondere Lstg Land'!H67&gt;0,"v.H.","pauschal")),IF(AND(Projektgrundlagen!$I$23,'HB-D2 Besondere Lstg Bund'!M67=TRUE),(IF('HB-D2 Besondere Lstg Bund'!H67&gt;0,"v.H.","pauschal")),"")))</f>
        <v/>
      </c>
      <c r="E112" s="1192" t="str">
        <f>IF(AND(Projektgrundlagen!$I$21,'StB-D1 Besondere Lstg'!M67=TRUE),'StB-D1 Besondere Lstg'!J67,IF(AND(Projektgrundlagen!$I$22,'HB-D1 Besondere Lstg Land'!M67=TRUE),'HB-D1 Besondere Lstg Land'!H67+'HB-D1 Besondere Lstg Land'!J67,IF(AND(Projektgrundlagen!$I$23,'HB-D2 Besondere Lstg Bund'!M67=TRUE),'HB-D2 Besondere Lstg Bund'!H67+'HB-D2 Besondere Lstg Bund'!J67,"")))</f>
        <v/>
      </c>
      <c r="F112" s="1192" t="str">
        <f>IF(AND(Projektgrundlagen!$I$21,'StB-D1 Besondere Lstg'!M67=TRUE),'StB-D1 Besondere Lstg'!K67,IF(AND(Projektgrundlagen!$I$22,'HB-D1 Besondere Lstg Land'!M67=TRUE),'HB-D1 Besondere Lstg Land'!K67,IF(AND(Projektgrundlagen!$I$23,'HB-D2 Besondere Lstg Bund'!M67=TRUE),'HB-D2 Besondere Lstg Bund'!K67,"")))</f>
        <v/>
      </c>
      <c r="G112" s="1200"/>
      <c r="H112" s="1201"/>
    </row>
    <row r="113" spans="2:8" ht="14.25">
      <c r="B113" t="str">
        <f>IF(AND(Projektgrundlagen!$I$21,'StB-D1 Besondere Lstg'!M68=TRUE),'StB-D1 Besondere Lstg'!C68&amp;" "&amp;'StB-D1 Besondere Lstg'!F68&amp;" "&amp;'StB-D1 Besondere Lstg'!F69,IF(AND(Projektgrundlagen!$I$22,'HB-D1 Besondere Lstg Land'!M68=TRUE),'HB-D1 Besondere Lstg Land'!C68&amp;" "&amp;'HB-D1 Besondere Lstg Land'!F68&amp;" "&amp;'HB-D1 Besondere Lstg Land'!F69,IF(AND(Projektgrundlagen!$I$23,'HB-D2 Besondere Lstg Bund'!M68=TRUE),'HB-D2 Besondere Lstg Bund'!C68&amp;" "&amp;'HB-D2 Besondere Lstg Bund'!F68&amp;" "&amp;'HB-D2 Besondere Lstg Bund'!F69,"")))</f>
        <v/>
      </c>
      <c r="C113" s="1192" t="str">
        <f>IF(AND(Projektgrundlagen!$I$21,'StB-D1 Besondere Lstg'!M68=TRUE),'StB-D1 Besondere Lstg'!H68,"")</f>
        <v/>
      </c>
      <c r="D113" s="1192" t="str">
        <f>IF(AND(Projektgrundlagen!$I$21,'StB-D1 Besondere Lstg'!M68=TRUE),'StB-D1 Besondere Lstg'!I68,IF(AND(Projektgrundlagen!$I$22,'HB-D1 Besondere Lstg Land'!M68=TRUE),(IF('HB-D1 Besondere Lstg Land'!H68&gt;0,"v.H.","pauschal")),IF(AND(Projektgrundlagen!$I$23,'HB-D2 Besondere Lstg Bund'!M68=TRUE),(IF('HB-D2 Besondere Lstg Bund'!H68&gt;0,"v.H.","pauschal")),"")))</f>
        <v/>
      </c>
      <c r="E113" s="1192" t="str">
        <f>IF(AND(Projektgrundlagen!$I$21,'StB-D1 Besondere Lstg'!M68=TRUE),'StB-D1 Besondere Lstg'!J68,IF(AND(Projektgrundlagen!$I$22,'HB-D1 Besondere Lstg Land'!M68=TRUE),'HB-D1 Besondere Lstg Land'!H68+'HB-D1 Besondere Lstg Land'!J68,IF(AND(Projektgrundlagen!$I$23,'HB-D2 Besondere Lstg Bund'!M68=TRUE),'HB-D2 Besondere Lstg Bund'!H68+'HB-D2 Besondere Lstg Bund'!J68,"")))</f>
        <v/>
      </c>
      <c r="F113" s="1192" t="str">
        <f>IF(AND(Projektgrundlagen!$I$21,'StB-D1 Besondere Lstg'!M68=TRUE),'StB-D1 Besondere Lstg'!K68,IF(AND(Projektgrundlagen!$I$22,'HB-D1 Besondere Lstg Land'!M68=TRUE),'HB-D1 Besondere Lstg Land'!K68,IF(AND(Projektgrundlagen!$I$23,'HB-D2 Besondere Lstg Bund'!M68=TRUE),'HB-D2 Besondere Lstg Bund'!K68,"")))</f>
        <v/>
      </c>
      <c r="G113" s="1200"/>
      <c r="H113" s="1201"/>
    </row>
    <row r="114" spans="2:8" ht="14.25">
      <c r="B114" t="str">
        <f>IF(AND(Projektgrundlagen!$I$21,'StB-D1 Besondere Lstg'!M69=TRUE),'StB-D1 Besondere Lstg'!C69&amp;" "&amp;'StB-D1 Besondere Lstg'!F69&amp;" "&amp;'StB-D1 Besondere Lstg'!F70,IF(AND(Projektgrundlagen!$I$22,'HB-D1 Besondere Lstg Land'!M69=TRUE),'HB-D1 Besondere Lstg Land'!C69&amp;" "&amp;'HB-D1 Besondere Lstg Land'!F69&amp;" "&amp;'HB-D1 Besondere Lstg Land'!F70,IF(AND(Projektgrundlagen!$I$23,'HB-D2 Besondere Lstg Bund'!M69=TRUE),'HB-D2 Besondere Lstg Bund'!C69&amp;" "&amp;'HB-D2 Besondere Lstg Bund'!F69&amp;" "&amp;'HB-D2 Besondere Lstg Bund'!F70,"")))</f>
        <v/>
      </c>
      <c r="C114" s="1192" t="str">
        <f>IF(AND(Projektgrundlagen!$I$21,'StB-D1 Besondere Lstg'!M69=TRUE),'StB-D1 Besondere Lstg'!H69,"")</f>
        <v/>
      </c>
      <c r="D114" s="1192" t="str">
        <f>IF(AND(Projektgrundlagen!$I$21,'StB-D1 Besondere Lstg'!M69=TRUE),'StB-D1 Besondere Lstg'!I69,IF(AND(Projektgrundlagen!$I$22,'HB-D1 Besondere Lstg Land'!M69=TRUE),(IF('HB-D1 Besondere Lstg Land'!H69&gt;0,"v.H.","pauschal")),IF(AND(Projektgrundlagen!$I$23,'HB-D2 Besondere Lstg Bund'!M69=TRUE),(IF('HB-D2 Besondere Lstg Bund'!H69&gt;0,"v.H.","pauschal")),"")))</f>
        <v/>
      </c>
      <c r="E114" s="1192" t="str">
        <f>IF(AND(Projektgrundlagen!$I$21,'StB-D1 Besondere Lstg'!M69=TRUE),'StB-D1 Besondere Lstg'!J69,IF(AND(Projektgrundlagen!$I$22,'HB-D1 Besondere Lstg Land'!M69=TRUE),'HB-D1 Besondere Lstg Land'!H69+'HB-D1 Besondere Lstg Land'!J69,IF(AND(Projektgrundlagen!$I$23,'HB-D2 Besondere Lstg Bund'!M69=TRUE),'HB-D2 Besondere Lstg Bund'!H69+'HB-D2 Besondere Lstg Bund'!J69,"")))</f>
        <v/>
      </c>
      <c r="F114" s="1192" t="str">
        <f>IF(AND(Projektgrundlagen!$I$21,'StB-D1 Besondere Lstg'!M69=TRUE),'StB-D1 Besondere Lstg'!K69,IF(AND(Projektgrundlagen!$I$22,'HB-D1 Besondere Lstg Land'!M69=TRUE),'HB-D1 Besondere Lstg Land'!K69,IF(AND(Projektgrundlagen!$I$23,'HB-D2 Besondere Lstg Bund'!M69=TRUE),'HB-D2 Besondere Lstg Bund'!K69,"")))</f>
        <v/>
      </c>
      <c r="G114" s="1200"/>
      <c r="H114" s="1201"/>
    </row>
    <row r="115" spans="2:8" ht="14.25">
      <c r="B115" t="str">
        <f>IF(AND(Projektgrundlagen!$I$21,'StB-D1 Besondere Lstg'!M70=TRUE),'StB-D1 Besondere Lstg'!C70&amp;" "&amp;'StB-D1 Besondere Lstg'!F70&amp;" "&amp;'StB-D1 Besondere Lstg'!F71,IF(AND(Projektgrundlagen!$I$22,'HB-D1 Besondere Lstg Land'!M70=TRUE),'HB-D1 Besondere Lstg Land'!C70&amp;" "&amp;'HB-D1 Besondere Lstg Land'!F70&amp;" "&amp;'HB-D1 Besondere Lstg Land'!F71,IF(AND(Projektgrundlagen!$I$23,'HB-D2 Besondere Lstg Bund'!M70=TRUE),'HB-D2 Besondere Lstg Bund'!C70&amp;" "&amp;'HB-D2 Besondere Lstg Bund'!F70&amp;" "&amp;'HB-D2 Besondere Lstg Bund'!F71,"")))</f>
        <v/>
      </c>
      <c r="C115" s="1192" t="str">
        <f>IF(AND(Projektgrundlagen!$I$21,'StB-D1 Besondere Lstg'!M70=TRUE),'StB-D1 Besondere Lstg'!H70,"")</f>
        <v/>
      </c>
      <c r="D115" s="1192" t="str">
        <f>IF(AND(Projektgrundlagen!$I$21,'StB-D1 Besondere Lstg'!M70=TRUE),'StB-D1 Besondere Lstg'!I70,IF(AND(Projektgrundlagen!$I$22,'HB-D1 Besondere Lstg Land'!M70=TRUE),(IF('HB-D1 Besondere Lstg Land'!H70&gt;0,"v.H.","pauschal")),IF(AND(Projektgrundlagen!$I$23,'HB-D2 Besondere Lstg Bund'!M70=TRUE),(IF('HB-D2 Besondere Lstg Bund'!H70&gt;0,"v.H.","pauschal")),"")))</f>
        <v/>
      </c>
      <c r="E115" s="1192" t="str">
        <f>IF(AND(Projektgrundlagen!$I$21,'StB-D1 Besondere Lstg'!M70=TRUE),'StB-D1 Besondere Lstg'!J70,IF(AND(Projektgrundlagen!$I$22,'HB-D1 Besondere Lstg Land'!M70=TRUE),'HB-D1 Besondere Lstg Land'!H70+'HB-D1 Besondere Lstg Land'!J70,IF(AND(Projektgrundlagen!$I$23,'HB-D2 Besondere Lstg Bund'!M70=TRUE),'HB-D2 Besondere Lstg Bund'!H70+'HB-D2 Besondere Lstg Bund'!J70,"")))</f>
        <v/>
      </c>
      <c r="F115" s="1192" t="str">
        <f>IF(AND(Projektgrundlagen!$I$21,'StB-D1 Besondere Lstg'!M70=TRUE),'StB-D1 Besondere Lstg'!K70,IF(AND(Projektgrundlagen!$I$22,'HB-D1 Besondere Lstg Land'!M70=TRUE),'HB-D1 Besondere Lstg Land'!K70,IF(AND(Projektgrundlagen!$I$23,'HB-D2 Besondere Lstg Bund'!M70=TRUE),'HB-D2 Besondere Lstg Bund'!K70,"")))</f>
        <v/>
      </c>
      <c r="G115" s="1200"/>
      <c r="H115" s="1201"/>
    </row>
    <row r="116" spans="2:8" ht="14.25">
      <c r="B116" t="str">
        <f>IF(AND(Projektgrundlagen!$I$21,'StB-D1 Besondere Lstg'!M71=TRUE),'StB-D1 Besondere Lstg'!C71&amp;" "&amp;'StB-D1 Besondere Lstg'!F71&amp;" "&amp;'StB-D1 Besondere Lstg'!F72,IF(AND(Projektgrundlagen!$I$22,'HB-D1 Besondere Lstg Land'!M71=TRUE),'HB-D1 Besondere Lstg Land'!C71&amp;" "&amp;'HB-D1 Besondere Lstg Land'!F71&amp;" "&amp;'HB-D1 Besondere Lstg Land'!F72,IF(AND(Projektgrundlagen!$I$23,'HB-D2 Besondere Lstg Bund'!M71=TRUE),'HB-D2 Besondere Lstg Bund'!C71&amp;" "&amp;'HB-D2 Besondere Lstg Bund'!F71&amp;" "&amp;'HB-D2 Besondere Lstg Bund'!F72,"")))</f>
        <v/>
      </c>
      <c r="C116" s="1192" t="str">
        <f>IF(AND(Projektgrundlagen!$I$21,'StB-D1 Besondere Lstg'!M71=TRUE),'StB-D1 Besondere Lstg'!H71,"")</f>
        <v/>
      </c>
      <c r="D116" s="1192" t="str">
        <f>IF(AND(Projektgrundlagen!$I$21,'StB-D1 Besondere Lstg'!M71=TRUE),'StB-D1 Besondere Lstg'!I71,IF(AND(Projektgrundlagen!$I$22,'HB-D1 Besondere Lstg Land'!M71=TRUE),(IF('HB-D1 Besondere Lstg Land'!H71&gt;0,"v.H.","pauschal")),IF(AND(Projektgrundlagen!$I$23,'HB-D2 Besondere Lstg Bund'!M71=TRUE),(IF('HB-D2 Besondere Lstg Bund'!H71&gt;0,"v.H.","pauschal")),"")))</f>
        <v/>
      </c>
      <c r="E116" s="1192" t="str">
        <f>IF(AND(Projektgrundlagen!$I$21,'StB-D1 Besondere Lstg'!M71=TRUE),'StB-D1 Besondere Lstg'!J71,IF(AND(Projektgrundlagen!$I$22,'HB-D1 Besondere Lstg Land'!M71=TRUE),'HB-D1 Besondere Lstg Land'!H71+'HB-D1 Besondere Lstg Land'!J71,IF(AND(Projektgrundlagen!$I$23,'HB-D2 Besondere Lstg Bund'!M71=TRUE),'HB-D2 Besondere Lstg Bund'!H71+'HB-D2 Besondere Lstg Bund'!J71,"")))</f>
        <v/>
      </c>
      <c r="F116" s="1192" t="str">
        <f>IF(AND(Projektgrundlagen!$I$21,'StB-D1 Besondere Lstg'!M71=TRUE),'StB-D1 Besondere Lstg'!K71,IF(AND(Projektgrundlagen!$I$22,'HB-D1 Besondere Lstg Land'!M71=TRUE),'HB-D1 Besondere Lstg Land'!K71,IF(AND(Projektgrundlagen!$I$23,'HB-D2 Besondere Lstg Bund'!M71=TRUE),'HB-D2 Besondere Lstg Bund'!K71,"")))</f>
        <v/>
      </c>
      <c r="G116" s="1200"/>
      <c r="H116" s="1201"/>
    </row>
    <row r="117" spans="2:8" ht="14.25">
      <c r="B117" t="str">
        <f>IF(AND(Projektgrundlagen!$I$21,'StB-D1 Besondere Lstg'!M72=TRUE),'StB-D1 Besondere Lstg'!C72&amp;" "&amp;'StB-D1 Besondere Lstg'!F72&amp;" "&amp;'StB-D1 Besondere Lstg'!F73,IF(AND(Projektgrundlagen!$I$22,'HB-D1 Besondere Lstg Land'!M72=TRUE),'HB-D1 Besondere Lstg Land'!C72&amp;" "&amp;'HB-D1 Besondere Lstg Land'!F72&amp;" "&amp;'HB-D1 Besondere Lstg Land'!F73,IF(AND(Projektgrundlagen!$I$23,'HB-D2 Besondere Lstg Bund'!M72=TRUE),'HB-D2 Besondere Lstg Bund'!C72&amp;" "&amp;'HB-D2 Besondere Lstg Bund'!F72&amp;" "&amp;'HB-D2 Besondere Lstg Bund'!F73,"")))</f>
        <v/>
      </c>
      <c r="C117" s="1192" t="str">
        <f>IF(AND(Projektgrundlagen!$I$21,'StB-D1 Besondere Lstg'!M72=TRUE),'StB-D1 Besondere Lstg'!H72,"")</f>
        <v/>
      </c>
      <c r="D117" s="1192" t="str">
        <f>IF(AND(Projektgrundlagen!$I$21,'StB-D1 Besondere Lstg'!M72=TRUE),'StB-D1 Besondere Lstg'!I72,IF(AND(Projektgrundlagen!$I$22,'HB-D1 Besondere Lstg Land'!M72=TRUE),(IF('HB-D1 Besondere Lstg Land'!H72&gt;0,"v.H.","pauschal")),IF(AND(Projektgrundlagen!$I$23,'HB-D2 Besondere Lstg Bund'!M72=TRUE),(IF('HB-D2 Besondere Lstg Bund'!H72&gt;0,"v.H.","pauschal")),"")))</f>
        <v/>
      </c>
      <c r="E117" s="1192" t="str">
        <f>IF(AND(Projektgrundlagen!$I$21,'StB-D1 Besondere Lstg'!M72=TRUE),'StB-D1 Besondere Lstg'!J72,IF(AND(Projektgrundlagen!$I$22,'HB-D1 Besondere Lstg Land'!M72=TRUE),'HB-D1 Besondere Lstg Land'!H72+'HB-D1 Besondere Lstg Land'!J72,IF(AND(Projektgrundlagen!$I$23,'HB-D2 Besondere Lstg Bund'!M72=TRUE),'HB-D2 Besondere Lstg Bund'!H72+'HB-D2 Besondere Lstg Bund'!J72,"")))</f>
        <v/>
      </c>
      <c r="F117" s="1192" t="str">
        <f>IF(AND(Projektgrundlagen!$I$21,'StB-D1 Besondere Lstg'!M72=TRUE),'StB-D1 Besondere Lstg'!K72,IF(AND(Projektgrundlagen!$I$22,'HB-D1 Besondere Lstg Land'!M72=TRUE),'HB-D1 Besondere Lstg Land'!K72,IF(AND(Projektgrundlagen!$I$23,'HB-D2 Besondere Lstg Bund'!M72=TRUE),'HB-D2 Besondere Lstg Bund'!K72,"")))</f>
        <v/>
      </c>
      <c r="G117" s="1200"/>
      <c r="H117" s="1201"/>
    </row>
    <row r="118" spans="2:8" ht="14.25">
      <c r="B118" t="str">
        <f>IF(AND(Projektgrundlagen!$I$21,'StB-D1 Besondere Lstg'!M73=TRUE),'StB-D1 Besondere Lstg'!C73&amp;" "&amp;'StB-D1 Besondere Lstg'!F73&amp;" "&amp;'StB-D1 Besondere Lstg'!F74,IF(AND(Projektgrundlagen!$I$22,'HB-D1 Besondere Lstg Land'!M73=TRUE),'HB-D1 Besondere Lstg Land'!C73&amp;" "&amp;'HB-D1 Besondere Lstg Land'!F73&amp;" "&amp;'HB-D1 Besondere Lstg Land'!F74,IF(AND(Projektgrundlagen!$I$23,'HB-D2 Besondere Lstg Bund'!M73=TRUE),'HB-D2 Besondere Lstg Bund'!C73&amp;" "&amp;'HB-D2 Besondere Lstg Bund'!F73&amp;" "&amp;'HB-D2 Besondere Lstg Bund'!F74,"")))</f>
        <v/>
      </c>
      <c r="C118" s="1192" t="str">
        <f>IF(AND(Projektgrundlagen!$I$21,'StB-D1 Besondere Lstg'!M73=TRUE),'StB-D1 Besondere Lstg'!H73,"")</f>
        <v/>
      </c>
      <c r="D118" s="1192" t="str">
        <f>IF(AND(Projektgrundlagen!$I$21,'StB-D1 Besondere Lstg'!M73=TRUE),'StB-D1 Besondere Lstg'!I73,IF(AND(Projektgrundlagen!$I$22,'HB-D1 Besondere Lstg Land'!M73=TRUE),(IF('HB-D1 Besondere Lstg Land'!H73&gt;0,"v.H.","pauschal")),IF(AND(Projektgrundlagen!$I$23,'HB-D2 Besondere Lstg Bund'!M73=TRUE),(IF('HB-D2 Besondere Lstg Bund'!H73&gt;0,"v.H.","pauschal")),"")))</f>
        <v/>
      </c>
      <c r="E118" s="1192" t="str">
        <f>IF(AND(Projektgrundlagen!$I$21,'StB-D1 Besondere Lstg'!M73=TRUE),'StB-D1 Besondere Lstg'!J73,IF(AND(Projektgrundlagen!$I$22,'HB-D1 Besondere Lstg Land'!M73=TRUE),'HB-D1 Besondere Lstg Land'!H73+'HB-D1 Besondere Lstg Land'!J73,IF(AND(Projektgrundlagen!$I$23,'HB-D2 Besondere Lstg Bund'!M73=TRUE),'HB-D2 Besondere Lstg Bund'!H73+'HB-D2 Besondere Lstg Bund'!J73,"")))</f>
        <v/>
      </c>
      <c r="F118" s="1192" t="str">
        <f>IF(AND(Projektgrundlagen!$I$21,'StB-D1 Besondere Lstg'!M73=TRUE),'StB-D1 Besondere Lstg'!K73,IF(AND(Projektgrundlagen!$I$22,'HB-D1 Besondere Lstg Land'!M73=TRUE),'HB-D1 Besondere Lstg Land'!K73,IF(AND(Projektgrundlagen!$I$23,'HB-D2 Besondere Lstg Bund'!M73=TRUE),'HB-D2 Besondere Lstg Bund'!K73,"")))</f>
        <v/>
      </c>
      <c r="G118" s="1200"/>
      <c r="H118" s="1201"/>
    </row>
    <row r="119" spans="2:8" ht="14.25">
      <c r="B119" t="str">
        <f>IF(AND(Projektgrundlagen!$I$21,'StB-D1 Besondere Lstg'!M74=TRUE),'StB-D1 Besondere Lstg'!C74&amp;" "&amp;'StB-D1 Besondere Lstg'!F74&amp;" "&amp;'StB-D1 Besondere Lstg'!F75,IF(AND(Projektgrundlagen!$I$22,'HB-D1 Besondere Lstg Land'!M74=TRUE),'HB-D1 Besondere Lstg Land'!C74&amp;" "&amp;'HB-D1 Besondere Lstg Land'!F74&amp;" "&amp;'HB-D1 Besondere Lstg Land'!F75,IF(AND(Projektgrundlagen!$I$23,'HB-D2 Besondere Lstg Bund'!M74=TRUE),'HB-D2 Besondere Lstg Bund'!C74&amp;" "&amp;'HB-D2 Besondere Lstg Bund'!F74&amp;" "&amp;'HB-D2 Besondere Lstg Bund'!F75,"")))</f>
        <v/>
      </c>
      <c r="C119" s="1192" t="str">
        <f>IF(AND(Projektgrundlagen!$I$21,'StB-D1 Besondere Lstg'!M74=TRUE),'StB-D1 Besondere Lstg'!H74,"")</f>
        <v/>
      </c>
      <c r="D119" s="1192" t="str">
        <f>IF(AND(Projektgrundlagen!$I$21,'StB-D1 Besondere Lstg'!M74=TRUE),'StB-D1 Besondere Lstg'!I74,IF(AND(Projektgrundlagen!$I$22,'HB-D1 Besondere Lstg Land'!M74=TRUE),(IF('HB-D1 Besondere Lstg Land'!H74&gt;0,"v.H.","pauschal")),IF(AND(Projektgrundlagen!$I$23,'HB-D2 Besondere Lstg Bund'!M74=TRUE),(IF('HB-D2 Besondere Lstg Bund'!H74&gt;0,"v.H.","pauschal")),"")))</f>
        <v/>
      </c>
      <c r="E119" s="1192" t="str">
        <f>IF(AND(Projektgrundlagen!$I$21,'StB-D1 Besondere Lstg'!M74=TRUE),'StB-D1 Besondere Lstg'!J74,IF(AND(Projektgrundlagen!$I$22,'HB-D1 Besondere Lstg Land'!M74=TRUE),'HB-D1 Besondere Lstg Land'!H74+'HB-D1 Besondere Lstg Land'!J74,IF(AND(Projektgrundlagen!$I$23,'HB-D2 Besondere Lstg Bund'!M74=TRUE),'HB-D2 Besondere Lstg Bund'!H74+'HB-D2 Besondere Lstg Bund'!J74,"")))</f>
        <v/>
      </c>
      <c r="F119" s="1192" t="str">
        <f>IF(AND(Projektgrundlagen!$I$21,'StB-D1 Besondere Lstg'!M74=TRUE),'StB-D1 Besondere Lstg'!K74,IF(AND(Projektgrundlagen!$I$22,'HB-D1 Besondere Lstg Land'!M74=TRUE),'HB-D1 Besondere Lstg Land'!K74,IF(AND(Projektgrundlagen!$I$23,'HB-D2 Besondere Lstg Bund'!M74=TRUE),'HB-D2 Besondere Lstg Bund'!K74,"")))</f>
        <v/>
      </c>
      <c r="G119" s="1200"/>
      <c r="H119" s="1201"/>
    </row>
    <row r="120" spans="2:8" ht="14.25">
      <c r="B120" t="str">
        <f>IF(AND(Projektgrundlagen!$I$21,'StB-D1 Besondere Lstg'!M75=TRUE),'StB-D1 Besondere Lstg'!C75&amp;" "&amp;'StB-D1 Besondere Lstg'!F75&amp;" "&amp;'StB-D1 Besondere Lstg'!F76,IF(AND(Projektgrundlagen!$I$22,'HB-D1 Besondere Lstg Land'!M75=TRUE),'HB-D1 Besondere Lstg Land'!C75&amp;" "&amp;'HB-D1 Besondere Lstg Land'!F75&amp;" "&amp;'HB-D1 Besondere Lstg Land'!F76,IF(AND(Projektgrundlagen!$I$23,'HB-D2 Besondere Lstg Bund'!M75=TRUE),'HB-D2 Besondere Lstg Bund'!C75&amp;" "&amp;'HB-D2 Besondere Lstg Bund'!F75&amp;" "&amp;'HB-D2 Besondere Lstg Bund'!F76,"")))</f>
        <v/>
      </c>
      <c r="C120" s="1192" t="str">
        <f>IF(AND(Projektgrundlagen!$I$21,'StB-D1 Besondere Lstg'!M75=TRUE),'StB-D1 Besondere Lstg'!H75,"")</f>
        <v/>
      </c>
      <c r="D120" s="1192" t="str">
        <f>IF(AND(Projektgrundlagen!$I$21,'StB-D1 Besondere Lstg'!M75=TRUE),'StB-D1 Besondere Lstg'!I75,IF(AND(Projektgrundlagen!$I$22,'HB-D1 Besondere Lstg Land'!M75=TRUE),(IF('HB-D1 Besondere Lstg Land'!H75&gt;0,"v.H.","pauschal")),IF(AND(Projektgrundlagen!$I$23,'HB-D2 Besondere Lstg Bund'!M75=TRUE),(IF('HB-D2 Besondere Lstg Bund'!H75&gt;0,"v.H.","pauschal")),"")))</f>
        <v/>
      </c>
      <c r="E120" s="1192" t="str">
        <f>IF(AND(Projektgrundlagen!$I$21,'StB-D1 Besondere Lstg'!M75=TRUE),'StB-D1 Besondere Lstg'!J75,IF(AND(Projektgrundlagen!$I$22,'HB-D1 Besondere Lstg Land'!M75=TRUE),'HB-D1 Besondere Lstg Land'!H75+'HB-D1 Besondere Lstg Land'!J75,IF(AND(Projektgrundlagen!$I$23,'HB-D2 Besondere Lstg Bund'!M75=TRUE),'HB-D2 Besondere Lstg Bund'!H75+'HB-D2 Besondere Lstg Bund'!J75,"")))</f>
        <v/>
      </c>
      <c r="F120" s="1192" t="str">
        <f>IF(AND(Projektgrundlagen!$I$21,'StB-D1 Besondere Lstg'!M75=TRUE),'StB-D1 Besondere Lstg'!K75,IF(AND(Projektgrundlagen!$I$22,'HB-D1 Besondere Lstg Land'!M75=TRUE),'HB-D1 Besondere Lstg Land'!K75,IF(AND(Projektgrundlagen!$I$23,'HB-D2 Besondere Lstg Bund'!M75=TRUE),'HB-D2 Besondere Lstg Bund'!K75,"")))</f>
        <v/>
      </c>
      <c r="G120" s="1200"/>
      <c r="H120" s="1201"/>
    </row>
    <row r="121" spans="2:8" ht="14.25">
      <c r="B121" t="str">
        <f>IF(AND(Projektgrundlagen!$I$21,'StB-D1 Besondere Lstg'!M76=TRUE),'StB-D1 Besondere Lstg'!C76&amp;" "&amp;'StB-D1 Besondere Lstg'!F76&amp;" "&amp;'StB-D1 Besondere Lstg'!F77,IF(AND(Projektgrundlagen!$I$22,'HB-D1 Besondere Lstg Land'!M76=TRUE),'HB-D1 Besondere Lstg Land'!C76&amp;" "&amp;'HB-D1 Besondere Lstg Land'!F76&amp;" "&amp;'HB-D1 Besondere Lstg Land'!F77,IF(AND(Projektgrundlagen!$I$23,'HB-D2 Besondere Lstg Bund'!M76=TRUE),'HB-D2 Besondere Lstg Bund'!C76&amp;" "&amp;'HB-D2 Besondere Lstg Bund'!F76&amp;" "&amp;'HB-D2 Besondere Lstg Bund'!F77,"")))</f>
        <v/>
      </c>
      <c r="C121" s="1192" t="str">
        <f>IF(AND(Projektgrundlagen!$I$21,'StB-D1 Besondere Lstg'!M76=TRUE),'StB-D1 Besondere Lstg'!H76,"")</f>
        <v/>
      </c>
      <c r="D121" s="1192" t="str">
        <f>IF(AND(Projektgrundlagen!$I$21,'StB-D1 Besondere Lstg'!M76=TRUE),'StB-D1 Besondere Lstg'!I76,IF(AND(Projektgrundlagen!$I$22,'HB-D1 Besondere Lstg Land'!M76=TRUE),(IF('HB-D1 Besondere Lstg Land'!H76&gt;0,"v.H.","pauschal")),IF(AND(Projektgrundlagen!$I$23,'HB-D2 Besondere Lstg Bund'!M76=TRUE),(IF('HB-D2 Besondere Lstg Bund'!H76&gt;0,"v.H.","pauschal")),"")))</f>
        <v/>
      </c>
      <c r="E121" s="1192" t="str">
        <f>IF(AND(Projektgrundlagen!$I$21,'StB-D1 Besondere Lstg'!M76=TRUE),'StB-D1 Besondere Lstg'!J76,IF(AND(Projektgrundlagen!$I$22,'HB-D1 Besondere Lstg Land'!M76=TRUE),'HB-D1 Besondere Lstg Land'!H76+'HB-D1 Besondere Lstg Land'!J76,IF(AND(Projektgrundlagen!$I$23,'HB-D2 Besondere Lstg Bund'!M76=TRUE),'HB-D2 Besondere Lstg Bund'!H76+'HB-D2 Besondere Lstg Bund'!J76,"")))</f>
        <v/>
      </c>
      <c r="F121" s="1192" t="str">
        <f>IF(AND(Projektgrundlagen!$I$21,'StB-D1 Besondere Lstg'!M76=TRUE),'StB-D1 Besondere Lstg'!K76,IF(AND(Projektgrundlagen!$I$22,'HB-D1 Besondere Lstg Land'!M76=TRUE),'HB-D1 Besondere Lstg Land'!K76,IF(AND(Projektgrundlagen!$I$23,'HB-D2 Besondere Lstg Bund'!M76=TRUE),'HB-D2 Besondere Lstg Bund'!K76,"")))</f>
        <v/>
      </c>
      <c r="G121" s="1200"/>
      <c r="H121" s="1201"/>
    </row>
    <row r="122" spans="2:8" ht="14.25">
      <c r="B122" t="str">
        <f>IF(AND(Projektgrundlagen!$I$21,'StB-D1 Besondere Lstg'!M77=TRUE),'StB-D1 Besondere Lstg'!C77&amp;" "&amp;'StB-D1 Besondere Lstg'!F77&amp;" "&amp;'StB-D1 Besondere Lstg'!F78,IF(AND(Projektgrundlagen!$I$22,'HB-D1 Besondere Lstg Land'!M77=TRUE),'HB-D1 Besondere Lstg Land'!C77&amp;" "&amp;'HB-D1 Besondere Lstg Land'!F77&amp;" "&amp;'HB-D1 Besondere Lstg Land'!F78,IF(AND(Projektgrundlagen!$I$23,'HB-D2 Besondere Lstg Bund'!M77=TRUE),'HB-D2 Besondere Lstg Bund'!C77&amp;" "&amp;'HB-D2 Besondere Lstg Bund'!F77&amp;" "&amp;'HB-D2 Besondere Lstg Bund'!F78,"")))</f>
        <v/>
      </c>
      <c r="C122" s="1192" t="str">
        <f>IF(AND(Projektgrundlagen!$I$21,'StB-D1 Besondere Lstg'!M77=TRUE),'StB-D1 Besondere Lstg'!H77,"")</f>
        <v/>
      </c>
      <c r="D122" s="1192" t="str">
        <f>IF(AND(Projektgrundlagen!$I$21,'StB-D1 Besondere Lstg'!M77=TRUE),'StB-D1 Besondere Lstg'!I77,IF(AND(Projektgrundlagen!$I$22,'HB-D1 Besondere Lstg Land'!M77=TRUE),(IF('HB-D1 Besondere Lstg Land'!H77&gt;0,"v.H.","pauschal")),IF(AND(Projektgrundlagen!$I$23,'HB-D2 Besondere Lstg Bund'!M77=TRUE),(IF('HB-D2 Besondere Lstg Bund'!H77&gt;0,"v.H.","pauschal")),"")))</f>
        <v/>
      </c>
      <c r="E122" s="1192" t="str">
        <f>IF(AND(Projektgrundlagen!$I$21,'StB-D1 Besondere Lstg'!M77=TRUE),'StB-D1 Besondere Lstg'!J77,IF(AND(Projektgrundlagen!$I$22,'HB-D1 Besondere Lstg Land'!M77=TRUE),'HB-D1 Besondere Lstg Land'!H77+'HB-D1 Besondere Lstg Land'!J77,IF(AND(Projektgrundlagen!$I$23,'HB-D2 Besondere Lstg Bund'!M77=TRUE),'HB-D2 Besondere Lstg Bund'!H77+'HB-D2 Besondere Lstg Bund'!J77,"")))</f>
        <v/>
      </c>
      <c r="F122" s="1192" t="str">
        <f>IF(AND(Projektgrundlagen!$I$21,'StB-D1 Besondere Lstg'!M77=TRUE),'StB-D1 Besondere Lstg'!K77,IF(AND(Projektgrundlagen!$I$22,'HB-D1 Besondere Lstg Land'!M77=TRUE),'HB-D1 Besondere Lstg Land'!K77,IF(AND(Projektgrundlagen!$I$23,'HB-D2 Besondere Lstg Bund'!M77=TRUE),'HB-D2 Besondere Lstg Bund'!K77,"")))</f>
        <v/>
      </c>
      <c r="G122" s="1200"/>
      <c r="H122" s="1201"/>
    </row>
    <row r="123" spans="2:8" ht="14.25">
      <c r="B123" t="str">
        <f>IF(AND(Projektgrundlagen!$I$21,'StB-D1 Besondere Lstg'!M78=TRUE),'StB-D1 Besondere Lstg'!C78&amp;" "&amp;'StB-D1 Besondere Lstg'!F78&amp;" "&amp;'StB-D1 Besondere Lstg'!F79,IF(AND(Projektgrundlagen!$I$22,'HB-D1 Besondere Lstg Land'!M78=TRUE),'HB-D1 Besondere Lstg Land'!C78&amp;" "&amp;'HB-D1 Besondere Lstg Land'!F78&amp;" "&amp;'HB-D1 Besondere Lstg Land'!F79,IF(AND(Projektgrundlagen!$I$23,'HB-D2 Besondere Lstg Bund'!M78=TRUE),'HB-D2 Besondere Lstg Bund'!C78&amp;" "&amp;'HB-D2 Besondere Lstg Bund'!F78&amp;" "&amp;'HB-D2 Besondere Lstg Bund'!F79,"")))</f>
        <v/>
      </c>
      <c r="C123" s="1192" t="str">
        <f>IF(AND(Projektgrundlagen!$I$21,'StB-D1 Besondere Lstg'!M78=TRUE),'StB-D1 Besondere Lstg'!H78,"")</f>
        <v/>
      </c>
      <c r="D123" s="1192" t="str">
        <f>IF(AND(Projektgrundlagen!$I$21,'StB-D1 Besondere Lstg'!M78=TRUE),'StB-D1 Besondere Lstg'!I78,IF(AND(Projektgrundlagen!$I$22,'HB-D1 Besondere Lstg Land'!M78=TRUE),(IF('HB-D1 Besondere Lstg Land'!H78&gt;0,"v.H.","pauschal")),IF(AND(Projektgrundlagen!$I$23,'HB-D2 Besondere Lstg Bund'!M78=TRUE),(IF('HB-D2 Besondere Lstg Bund'!H78&gt;0,"v.H.","pauschal")),"")))</f>
        <v/>
      </c>
      <c r="E123" s="1192" t="str">
        <f>IF(AND(Projektgrundlagen!$I$21,'StB-D1 Besondere Lstg'!M78=TRUE),'StB-D1 Besondere Lstg'!J78,IF(AND(Projektgrundlagen!$I$22,'HB-D1 Besondere Lstg Land'!M78=TRUE),'HB-D1 Besondere Lstg Land'!H78+'HB-D1 Besondere Lstg Land'!J78,IF(AND(Projektgrundlagen!$I$23,'HB-D2 Besondere Lstg Bund'!M78=TRUE),'HB-D2 Besondere Lstg Bund'!H78+'HB-D2 Besondere Lstg Bund'!J78,"")))</f>
        <v/>
      </c>
      <c r="F123" s="1192" t="str">
        <f>IF(AND(Projektgrundlagen!$I$21,'StB-D1 Besondere Lstg'!M78=TRUE),'StB-D1 Besondere Lstg'!K78,IF(AND(Projektgrundlagen!$I$22,'HB-D1 Besondere Lstg Land'!M78=TRUE),'HB-D1 Besondere Lstg Land'!K78,IF(AND(Projektgrundlagen!$I$23,'HB-D2 Besondere Lstg Bund'!M78=TRUE),'HB-D2 Besondere Lstg Bund'!K78,"")))</f>
        <v/>
      </c>
      <c r="G123" s="1200"/>
      <c r="H123" s="1201"/>
    </row>
    <row r="124" spans="2:8" ht="14.25">
      <c r="B124" t="str">
        <f>IF(AND(Projektgrundlagen!$I$21,'StB-D1 Besondere Lstg'!M79=TRUE),'StB-D1 Besondere Lstg'!C79&amp;" "&amp;'StB-D1 Besondere Lstg'!F79&amp;" "&amp;'StB-D1 Besondere Lstg'!F80,IF(AND(Projektgrundlagen!$I$22,'HB-D1 Besondere Lstg Land'!M79=TRUE),'HB-D1 Besondere Lstg Land'!C79&amp;" "&amp;'HB-D1 Besondere Lstg Land'!F79&amp;" "&amp;'HB-D1 Besondere Lstg Land'!F80,IF(AND(Projektgrundlagen!$I$23,'HB-D2 Besondere Lstg Bund'!M79=TRUE),'HB-D2 Besondere Lstg Bund'!C79&amp;" "&amp;'HB-D2 Besondere Lstg Bund'!F79&amp;" "&amp;'HB-D2 Besondere Lstg Bund'!F80,"")))</f>
        <v/>
      </c>
      <c r="C124" s="1192" t="str">
        <f>IF(AND(Projektgrundlagen!$I$21,'StB-D1 Besondere Lstg'!M79=TRUE),'StB-D1 Besondere Lstg'!H79,"")</f>
        <v/>
      </c>
      <c r="D124" s="1192" t="str">
        <f>IF(AND(Projektgrundlagen!$I$21,'StB-D1 Besondere Lstg'!M79=TRUE),'StB-D1 Besondere Lstg'!I79,IF(AND(Projektgrundlagen!$I$22,'HB-D1 Besondere Lstg Land'!M79=TRUE),(IF('HB-D1 Besondere Lstg Land'!H79&gt;0,"v.H.","pauschal")),IF(AND(Projektgrundlagen!$I$23,'HB-D2 Besondere Lstg Bund'!M79=TRUE),(IF('HB-D2 Besondere Lstg Bund'!H79&gt;0,"v.H.","pauschal")),"")))</f>
        <v/>
      </c>
      <c r="E124" s="1192" t="str">
        <f>IF(AND(Projektgrundlagen!$I$21,'StB-D1 Besondere Lstg'!M79=TRUE),'StB-D1 Besondere Lstg'!J79,IF(AND(Projektgrundlagen!$I$22,'HB-D1 Besondere Lstg Land'!M79=TRUE),'HB-D1 Besondere Lstg Land'!H79+'HB-D1 Besondere Lstg Land'!J79,IF(AND(Projektgrundlagen!$I$23,'HB-D2 Besondere Lstg Bund'!M79=TRUE),'HB-D2 Besondere Lstg Bund'!H79+'HB-D2 Besondere Lstg Bund'!J79,"")))</f>
        <v/>
      </c>
      <c r="F124" s="1192" t="str">
        <f>IF(AND(Projektgrundlagen!$I$21,'StB-D1 Besondere Lstg'!M79=TRUE),'StB-D1 Besondere Lstg'!K79,IF(AND(Projektgrundlagen!$I$22,'HB-D1 Besondere Lstg Land'!M79=TRUE),'HB-D1 Besondere Lstg Land'!K79,IF(AND(Projektgrundlagen!$I$23,'HB-D2 Besondere Lstg Bund'!M79=TRUE),'HB-D2 Besondere Lstg Bund'!K79,"")))</f>
        <v/>
      </c>
      <c r="G124" s="1200"/>
      <c r="H124" s="1201"/>
    </row>
    <row r="125" spans="2:8" ht="14.25">
      <c r="B125" t="str">
        <f>IF(AND(Projektgrundlagen!$I$21,'StB-D1 Besondere Lstg'!M80=TRUE),'StB-D1 Besondere Lstg'!C80&amp;" "&amp;'StB-D1 Besondere Lstg'!F80&amp;" "&amp;'StB-D1 Besondere Lstg'!F81,IF(AND(Projektgrundlagen!$I$22,'HB-D1 Besondere Lstg Land'!M80=TRUE),'HB-D1 Besondere Lstg Land'!C80&amp;" "&amp;'HB-D1 Besondere Lstg Land'!F80&amp;" "&amp;'HB-D1 Besondere Lstg Land'!F81,IF(AND(Projektgrundlagen!$I$23,'HB-D2 Besondere Lstg Bund'!M80=TRUE),'HB-D2 Besondere Lstg Bund'!C80&amp;" "&amp;'HB-D2 Besondere Lstg Bund'!F80&amp;" "&amp;'HB-D2 Besondere Lstg Bund'!F81,"")))</f>
        <v/>
      </c>
      <c r="C125" s="1192" t="str">
        <f>IF(AND(Projektgrundlagen!$I$21,'StB-D1 Besondere Lstg'!M80=TRUE),'StB-D1 Besondere Lstg'!H80,"")</f>
        <v/>
      </c>
      <c r="D125" s="1192" t="str">
        <f>IF(AND(Projektgrundlagen!$I$21,'StB-D1 Besondere Lstg'!M80=TRUE),'StB-D1 Besondere Lstg'!I80,IF(AND(Projektgrundlagen!$I$22,'HB-D1 Besondere Lstg Land'!M80=TRUE),(IF('HB-D1 Besondere Lstg Land'!H80&gt;0,"v.H.","pauschal")),IF(AND(Projektgrundlagen!$I$23,'HB-D2 Besondere Lstg Bund'!M80=TRUE),(IF('HB-D2 Besondere Lstg Bund'!H80&gt;0,"v.H.","pauschal")),"")))</f>
        <v/>
      </c>
      <c r="E125" s="1192" t="str">
        <f>IF(AND(Projektgrundlagen!$I$21,'StB-D1 Besondere Lstg'!M80=TRUE),'StB-D1 Besondere Lstg'!J80,IF(AND(Projektgrundlagen!$I$22,'HB-D1 Besondere Lstg Land'!M80=TRUE),'HB-D1 Besondere Lstg Land'!H80+'HB-D1 Besondere Lstg Land'!J80,IF(AND(Projektgrundlagen!$I$23,'HB-D2 Besondere Lstg Bund'!M80=TRUE),'HB-D2 Besondere Lstg Bund'!H80+'HB-D2 Besondere Lstg Bund'!J80,"")))</f>
        <v/>
      </c>
      <c r="F125" s="1192" t="str">
        <f>IF(AND(Projektgrundlagen!$I$21,'StB-D1 Besondere Lstg'!M80=TRUE),'StB-D1 Besondere Lstg'!K80,IF(AND(Projektgrundlagen!$I$22,'HB-D1 Besondere Lstg Land'!M80=TRUE),'HB-D1 Besondere Lstg Land'!K80,IF(AND(Projektgrundlagen!$I$23,'HB-D2 Besondere Lstg Bund'!M80=TRUE),'HB-D2 Besondere Lstg Bund'!K80,"")))</f>
        <v/>
      </c>
      <c r="G125" s="1200"/>
      <c r="H125" s="1201"/>
    </row>
    <row r="126" spans="2:8" ht="14.25">
      <c r="B126" t="str">
        <f>IF(AND(Projektgrundlagen!$I$21,'StB-D1 Besondere Lstg'!M81=TRUE),'StB-D1 Besondere Lstg'!C81&amp;" "&amp;'StB-D1 Besondere Lstg'!F81&amp;" "&amp;'StB-D1 Besondere Lstg'!F82,IF(AND(Projektgrundlagen!$I$22,'HB-D1 Besondere Lstg Land'!M81=TRUE),'HB-D1 Besondere Lstg Land'!C81&amp;" "&amp;'HB-D1 Besondere Lstg Land'!F81&amp;" "&amp;'HB-D1 Besondere Lstg Land'!F82,IF(AND(Projektgrundlagen!$I$23,'HB-D2 Besondere Lstg Bund'!M81=TRUE),'HB-D2 Besondere Lstg Bund'!C81&amp;" "&amp;'HB-D2 Besondere Lstg Bund'!F81&amp;" "&amp;'HB-D2 Besondere Lstg Bund'!F82,"")))</f>
        <v/>
      </c>
      <c r="C126" s="1192" t="str">
        <f>IF(AND(Projektgrundlagen!$I$21,'StB-D1 Besondere Lstg'!M81=TRUE),'StB-D1 Besondere Lstg'!H81,"")</f>
        <v/>
      </c>
      <c r="D126" s="1192" t="str">
        <f>IF(AND(Projektgrundlagen!$I$21,'StB-D1 Besondere Lstg'!M81=TRUE),'StB-D1 Besondere Lstg'!I81,IF(AND(Projektgrundlagen!$I$22,'HB-D1 Besondere Lstg Land'!M81=TRUE),(IF('HB-D1 Besondere Lstg Land'!H81&gt;0,"v.H.","pauschal")),IF(AND(Projektgrundlagen!$I$23,'HB-D2 Besondere Lstg Bund'!M81=TRUE),(IF('HB-D2 Besondere Lstg Bund'!H81&gt;0,"v.H.","pauschal")),"")))</f>
        <v/>
      </c>
      <c r="E126" s="1192" t="str">
        <f>IF(AND(Projektgrundlagen!$I$21,'StB-D1 Besondere Lstg'!M81=TRUE),'StB-D1 Besondere Lstg'!J81,IF(AND(Projektgrundlagen!$I$22,'HB-D1 Besondere Lstg Land'!M81=TRUE),'HB-D1 Besondere Lstg Land'!H81+'HB-D1 Besondere Lstg Land'!J81,IF(AND(Projektgrundlagen!$I$23,'HB-D2 Besondere Lstg Bund'!M81=TRUE),'HB-D2 Besondere Lstg Bund'!H81+'HB-D2 Besondere Lstg Bund'!J81,"")))</f>
        <v/>
      </c>
      <c r="F126" s="1192" t="str">
        <f>IF(AND(Projektgrundlagen!$I$21,'StB-D1 Besondere Lstg'!M81=TRUE),'StB-D1 Besondere Lstg'!K81,IF(AND(Projektgrundlagen!$I$22,'HB-D1 Besondere Lstg Land'!M81=TRUE),'HB-D1 Besondere Lstg Land'!K81,IF(AND(Projektgrundlagen!$I$23,'HB-D2 Besondere Lstg Bund'!M81=TRUE),'HB-D2 Besondere Lstg Bund'!K81,"")))</f>
        <v/>
      </c>
      <c r="G126" s="1200"/>
      <c r="H126" s="1201"/>
    </row>
    <row r="127" spans="2:8" ht="14.25">
      <c r="B127" t="str">
        <f>IF(AND(Projektgrundlagen!$I$21,'StB-D1 Besondere Lstg'!M82=TRUE),'StB-D1 Besondere Lstg'!C82&amp;" "&amp;'StB-D1 Besondere Lstg'!F82&amp;" "&amp;'StB-D1 Besondere Lstg'!F83,IF(AND(Projektgrundlagen!$I$22,'HB-D1 Besondere Lstg Land'!M82=TRUE),'HB-D1 Besondere Lstg Land'!C82&amp;" "&amp;'HB-D1 Besondere Lstg Land'!F82&amp;" "&amp;'HB-D1 Besondere Lstg Land'!F83,IF(AND(Projektgrundlagen!$I$23,'HB-D2 Besondere Lstg Bund'!M82=TRUE),'HB-D2 Besondere Lstg Bund'!C82&amp;" "&amp;'HB-D2 Besondere Lstg Bund'!F82&amp;" "&amp;'HB-D2 Besondere Lstg Bund'!F83,"")))</f>
        <v/>
      </c>
      <c r="C127" s="1192" t="str">
        <f>IF(AND(Projektgrundlagen!$I$21,'StB-D1 Besondere Lstg'!M82=TRUE),'StB-D1 Besondere Lstg'!H82,"")</f>
        <v/>
      </c>
      <c r="D127" s="1192" t="str">
        <f>IF(AND(Projektgrundlagen!$I$21,'StB-D1 Besondere Lstg'!M82=TRUE),'StB-D1 Besondere Lstg'!I82,IF(AND(Projektgrundlagen!$I$22,'HB-D1 Besondere Lstg Land'!M82=TRUE),(IF('HB-D1 Besondere Lstg Land'!H82&gt;0,"v.H.","pauschal")),IF(AND(Projektgrundlagen!$I$23,'HB-D2 Besondere Lstg Bund'!M82=TRUE),(IF('HB-D2 Besondere Lstg Bund'!H82&gt;0,"v.H.","pauschal")),"")))</f>
        <v/>
      </c>
      <c r="E127" s="1192" t="str">
        <f>IF(AND(Projektgrundlagen!$I$21,'StB-D1 Besondere Lstg'!M82=TRUE),'StB-D1 Besondere Lstg'!J82,IF(AND(Projektgrundlagen!$I$22,'HB-D1 Besondere Lstg Land'!M82=TRUE),'HB-D1 Besondere Lstg Land'!H82+'HB-D1 Besondere Lstg Land'!J82,IF(AND(Projektgrundlagen!$I$23,'HB-D2 Besondere Lstg Bund'!M82=TRUE),'HB-D2 Besondere Lstg Bund'!H82+'HB-D2 Besondere Lstg Bund'!J82,"")))</f>
        <v/>
      </c>
      <c r="F127" s="1192" t="str">
        <f>IF(AND(Projektgrundlagen!$I$21,'StB-D1 Besondere Lstg'!M82=TRUE),'StB-D1 Besondere Lstg'!K82,IF(AND(Projektgrundlagen!$I$22,'HB-D1 Besondere Lstg Land'!M82=TRUE),'HB-D1 Besondere Lstg Land'!K82,IF(AND(Projektgrundlagen!$I$23,'HB-D2 Besondere Lstg Bund'!M82=TRUE),'HB-D2 Besondere Lstg Bund'!K82,"")))</f>
        <v/>
      </c>
      <c r="G127" s="1200"/>
      <c r="H127" s="1201"/>
    </row>
    <row r="128" spans="2:8" ht="14.25">
      <c r="B128" t="str">
        <f>IF(AND(Projektgrundlagen!$I$21,'StB-D1 Besondere Lstg'!M83=TRUE),'StB-D1 Besondere Lstg'!C83&amp;" "&amp;'StB-D1 Besondere Lstg'!F83&amp;" "&amp;'StB-D1 Besondere Lstg'!F84,IF(AND(Projektgrundlagen!$I$22,'HB-D1 Besondere Lstg Land'!M83=TRUE),'HB-D1 Besondere Lstg Land'!C83&amp;" "&amp;'HB-D1 Besondere Lstg Land'!F83&amp;" "&amp;'HB-D1 Besondere Lstg Land'!F84,IF(AND(Projektgrundlagen!$I$23,'HB-D2 Besondere Lstg Bund'!M83=TRUE),'HB-D2 Besondere Lstg Bund'!C83&amp;" "&amp;'HB-D2 Besondere Lstg Bund'!F83&amp;" "&amp;'HB-D2 Besondere Lstg Bund'!F84,"")))</f>
        <v/>
      </c>
      <c r="C128" s="1192" t="str">
        <f>IF(AND(Projektgrundlagen!$I$21,'StB-D1 Besondere Lstg'!M83=TRUE),'StB-D1 Besondere Lstg'!H83,"")</f>
        <v/>
      </c>
      <c r="D128" s="1192" t="str">
        <f>IF(AND(Projektgrundlagen!$I$21,'StB-D1 Besondere Lstg'!M83=TRUE),'StB-D1 Besondere Lstg'!I83,IF(AND(Projektgrundlagen!$I$22,'HB-D1 Besondere Lstg Land'!M83=TRUE),(IF('HB-D1 Besondere Lstg Land'!H83&gt;0,"v.H.","pauschal")),IF(AND(Projektgrundlagen!$I$23,'HB-D2 Besondere Lstg Bund'!M83=TRUE),(IF('HB-D2 Besondere Lstg Bund'!H83&gt;0,"v.H.","pauschal")),"")))</f>
        <v/>
      </c>
      <c r="E128" s="1192" t="str">
        <f>IF(AND(Projektgrundlagen!$I$21,'StB-D1 Besondere Lstg'!M83=TRUE),'StB-D1 Besondere Lstg'!J83,IF(AND(Projektgrundlagen!$I$22,'HB-D1 Besondere Lstg Land'!M83=TRUE),'HB-D1 Besondere Lstg Land'!H83+'HB-D1 Besondere Lstg Land'!J83,IF(AND(Projektgrundlagen!$I$23,'HB-D2 Besondere Lstg Bund'!M83=TRUE),'HB-D2 Besondere Lstg Bund'!H83+'HB-D2 Besondere Lstg Bund'!J83,"")))</f>
        <v/>
      </c>
      <c r="F128" s="1192" t="str">
        <f>IF(AND(Projektgrundlagen!$I$21,'StB-D1 Besondere Lstg'!M83=TRUE),'StB-D1 Besondere Lstg'!K83,IF(AND(Projektgrundlagen!$I$22,'HB-D1 Besondere Lstg Land'!M83=TRUE),'HB-D1 Besondere Lstg Land'!K83,IF(AND(Projektgrundlagen!$I$23,'HB-D2 Besondere Lstg Bund'!M83=TRUE),'HB-D2 Besondere Lstg Bund'!K83,"")))</f>
        <v/>
      </c>
      <c r="G128" s="1200"/>
      <c r="H128" s="1201"/>
    </row>
    <row r="129" spans="2:8" ht="14.25">
      <c r="B129" t="str">
        <f>IF(AND(Projektgrundlagen!$I$21,'StB-D1 Besondere Lstg'!M84=TRUE),'StB-D1 Besondere Lstg'!C84&amp;" "&amp;'StB-D1 Besondere Lstg'!F84&amp;" "&amp;'StB-D1 Besondere Lstg'!F85,IF(AND(Projektgrundlagen!$I$22,'HB-D1 Besondere Lstg Land'!M84=TRUE),'HB-D1 Besondere Lstg Land'!C84&amp;" "&amp;'HB-D1 Besondere Lstg Land'!F84&amp;" "&amp;'HB-D1 Besondere Lstg Land'!F85,IF(AND(Projektgrundlagen!$I$23,'HB-D2 Besondere Lstg Bund'!M84=TRUE),'HB-D2 Besondere Lstg Bund'!C84&amp;" "&amp;'HB-D2 Besondere Lstg Bund'!F84&amp;" "&amp;'HB-D2 Besondere Lstg Bund'!F85,"")))</f>
        <v/>
      </c>
      <c r="C129" s="1192" t="str">
        <f>IF(AND(Projektgrundlagen!$I$21,'StB-D1 Besondere Lstg'!M84=TRUE),'StB-D1 Besondere Lstg'!H84,"")</f>
        <v/>
      </c>
      <c r="D129" s="1192" t="str">
        <f>IF(AND(Projektgrundlagen!$I$21,'StB-D1 Besondere Lstg'!M84=TRUE),'StB-D1 Besondere Lstg'!I84,IF(AND(Projektgrundlagen!$I$22,'HB-D1 Besondere Lstg Land'!M84=TRUE),(IF('HB-D1 Besondere Lstg Land'!H84&gt;0,"v.H.","pauschal")),IF(AND(Projektgrundlagen!$I$23,'HB-D2 Besondere Lstg Bund'!M84=TRUE),(IF('HB-D2 Besondere Lstg Bund'!H84&gt;0,"v.H.","pauschal")),"")))</f>
        <v/>
      </c>
      <c r="E129" s="1192" t="str">
        <f>IF(AND(Projektgrundlagen!$I$21,'StB-D1 Besondere Lstg'!M84=TRUE),'StB-D1 Besondere Lstg'!J84,IF(AND(Projektgrundlagen!$I$22,'HB-D1 Besondere Lstg Land'!M84=TRUE),'HB-D1 Besondere Lstg Land'!H84+'HB-D1 Besondere Lstg Land'!J84,IF(AND(Projektgrundlagen!$I$23,'HB-D2 Besondere Lstg Bund'!M84=TRUE),'HB-D2 Besondere Lstg Bund'!H84+'HB-D2 Besondere Lstg Bund'!J84,"")))</f>
        <v/>
      </c>
      <c r="F129" s="1192" t="str">
        <f>IF(AND(Projektgrundlagen!$I$21,'StB-D1 Besondere Lstg'!M84=TRUE),'StB-D1 Besondere Lstg'!K84,IF(AND(Projektgrundlagen!$I$22,'HB-D1 Besondere Lstg Land'!M84=TRUE),'HB-D1 Besondere Lstg Land'!K84,IF(AND(Projektgrundlagen!$I$23,'HB-D2 Besondere Lstg Bund'!M84=TRUE),'HB-D2 Besondere Lstg Bund'!K84,"")))</f>
        <v/>
      </c>
      <c r="G129" s="1200"/>
      <c r="H129" s="1201"/>
    </row>
    <row r="130" spans="2:8" ht="14.25">
      <c r="B130" t="str">
        <f>IF(AND(Projektgrundlagen!$I$21,'StB-D1 Besondere Lstg'!M85=TRUE),'StB-D1 Besondere Lstg'!C85&amp;" "&amp;'StB-D1 Besondere Lstg'!F85&amp;" "&amp;'StB-D1 Besondere Lstg'!F86,IF(AND(Projektgrundlagen!$I$22,'HB-D1 Besondere Lstg Land'!M85=TRUE),'HB-D1 Besondere Lstg Land'!C85&amp;" "&amp;'HB-D1 Besondere Lstg Land'!F85&amp;" "&amp;'HB-D1 Besondere Lstg Land'!F86,IF(AND(Projektgrundlagen!$I$23,'HB-D2 Besondere Lstg Bund'!M85=TRUE),'HB-D2 Besondere Lstg Bund'!C85&amp;" "&amp;'HB-D2 Besondere Lstg Bund'!F85&amp;" "&amp;'HB-D2 Besondere Lstg Bund'!F86,"")))</f>
        <v/>
      </c>
      <c r="C130" s="1192" t="str">
        <f>IF(AND(Projektgrundlagen!$I$21,'StB-D1 Besondere Lstg'!M85=TRUE),'StB-D1 Besondere Lstg'!H85,"")</f>
        <v/>
      </c>
      <c r="D130" s="1192" t="str">
        <f>IF(AND(Projektgrundlagen!$I$21,'StB-D1 Besondere Lstg'!M85=TRUE),'StB-D1 Besondere Lstg'!I85,IF(AND(Projektgrundlagen!$I$22,'HB-D1 Besondere Lstg Land'!M85=TRUE),(IF('HB-D1 Besondere Lstg Land'!H85&gt;0,"v.H.","pauschal")),IF(AND(Projektgrundlagen!$I$23,'HB-D2 Besondere Lstg Bund'!M85=TRUE),(IF('HB-D2 Besondere Lstg Bund'!H85&gt;0,"v.H.","pauschal")),"")))</f>
        <v/>
      </c>
      <c r="E130" s="1192" t="str">
        <f>IF(AND(Projektgrundlagen!$I$21,'StB-D1 Besondere Lstg'!M85=TRUE),'StB-D1 Besondere Lstg'!J85,IF(AND(Projektgrundlagen!$I$22,'HB-D1 Besondere Lstg Land'!M85=TRUE),'HB-D1 Besondere Lstg Land'!H85+'HB-D1 Besondere Lstg Land'!J85,IF(AND(Projektgrundlagen!$I$23,'HB-D2 Besondere Lstg Bund'!M85=TRUE),'HB-D2 Besondere Lstg Bund'!H85+'HB-D2 Besondere Lstg Bund'!J85,"")))</f>
        <v/>
      </c>
      <c r="F130" s="1192" t="str">
        <f>IF(AND(Projektgrundlagen!$I$21,'StB-D1 Besondere Lstg'!M85=TRUE),'StB-D1 Besondere Lstg'!K85,IF(AND(Projektgrundlagen!$I$22,'HB-D1 Besondere Lstg Land'!M85=TRUE),'HB-D1 Besondere Lstg Land'!K85,IF(AND(Projektgrundlagen!$I$23,'HB-D2 Besondere Lstg Bund'!M85=TRUE),'HB-D2 Besondere Lstg Bund'!K85,"")))</f>
        <v/>
      </c>
      <c r="G130" s="1200"/>
      <c r="H130" s="1201"/>
    </row>
    <row r="131" spans="2:8" ht="14.25">
      <c r="B131" t="str">
        <f>IF(AND(Projektgrundlagen!$I$21,'StB-D1 Besondere Lstg'!M86=TRUE),'StB-D1 Besondere Lstg'!C86&amp;" "&amp;'StB-D1 Besondere Lstg'!F86&amp;" "&amp;'StB-D1 Besondere Lstg'!F87,IF(AND(Projektgrundlagen!$I$22,'HB-D1 Besondere Lstg Land'!M86=TRUE),'HB-D1 Besondere Lstg Land'!C86&amp;" "&amp;'HB-D1 Besondere Lstg Land'!F86&amp;" "&amp;'HB-D1 Besondere Lstg Land'!F87,IF(AND(Projektgrundlagen!$I$23,'HB-D2 Besondere Lstg Bund'!M86=TRUE),'HB-D2 Besondere Lstg Bund'!C86&amp;" "&amp;'HB-D2 Besondere Lstg Bund'!F86&amp;" "&amp;'HB-D2 Besondere Lstg Bund'!F87,"")))</f>
        <v/>
      </c>
      <c r="C131" s="1192" t="str">
        <f>IF(AND(Projektgrundlagen!$I$21,'StB-D1 Besondere Lstg'!M86=TRUE),'StB-D1 Besondere Lstg'!H86,"")</f>
        <v/>
      </c>
      <c r="D131" s="1192" t="str">
        <f>IF(AND(Projektgrundlagen!$I$21,'StB-D1 Besondere Lstg'!M86=TRUE),'StB-D1 Besondere Lstg'!I86,IF(AND(Projektgrundlagen!$I$22,'HB-D1 Besondere Lstg Land'!M86=TRUE),(IF('HB-D1 Besondere Lstg Land'!H86&gt;0,"v.H.","pauschal")),IF(AND(Projektgrundlagen!$I$23,'HB-D2 Besondere Lstg Bund'!M86=TRUE),(IF('HB-D2 Besondere Lstg Bund'!H86&gt;0,"v.H.","pauschal")),"")))</f>
        <v/>
      </c>
      <c r="E131" s="1192" t="str">
        <f>IF(AND(Projektgrundlagen!$I$21,'StB-D1 Besondere Lstg'!M86=TRUE),'StB-D1 Besondere Lstg'!J86,IF(AND(Projektgrundlagen!$I$22,'HB-D1 Besondere Lstg Land'!M86=TRUE),'HB-D1 Besondere Lstg Land'!H86+'HB-D1 Besondere Lstg Land'!J86,IF(AND(Projektgrundlagen!$I$23,'HB-D2 Besondere Lstg Bund'!M86=TRUE),'HB-D2 Besondere Lstg Bund'!H86+'HB-D2 Besondere Lstg Bund'!J86,"")))</f>
        <v/>
      </c>
      <c r="F131" s="1192" t="str">
        <f>IF(AND(Projektgrundlagen!$I$21,'StB-D1 Besondere Lstg'!M86=TRUE),'StB-D1 Besondere Lstg'!K86,IF(AND(Projektgrundlagen!$I$22,'HB-D1 Besondere Lstg Land'!M86=TRUE),'HB-D1 Besondere Lstg Land'!K86,IF(AND(Projektgrundlagen!$I$23,'HB-D2 Besondere Lstg Bund'!M86=TRUE),'HB-D2 Besondere Lstg Bund'!K86,"")))</f>
        <v/>
      </c>
      <c r="G131" s="1200"/>
      <c r="H131" s="1201"/>
    </row>
    <row r="132" spans="2:8" ht="14.25">
      <c r="B132" t="str">
        <f>IF(AND(Projektgrundlagen!$I$21,'StB-D1 Besondere Lstg'!M87=TRUE),'StB-D1 Besondere Lstg'!C87&amp;" "&amp;'StB-D1 Besondere Lstg'!F87&amp;" "&amp;'StB-D1 Besondere Lstg'!F88,IF(AND(Projektgrundlagen!$I$22,'HB-D1 Besondere Lstg Land'!M87=TRUE),'HB-D1 Besondere Lstg Land'!C87&amp;" "&amp;'HB-D1 Besondere Lstg Land'!F87&amp;" "&amp;'HB-D1 Besondere Lstg Land'!F88,IF(AND(Projektgrundlagen!$I$23,'HB-D2 Besondere Lstg Bund'!M87=TRUE),'HB-D2 Besondere Lstg Bund'!C87&amp;" "&amp;'HB-D2 Besondere Lstg Bund'!F87&amp;" "&amp;'HB-D2 Besondere Lstg Bund'!F88,"")))</f>
        <v/>
      </c>
      <c r="C132" s="1192" t="str">
        <f>IF(AND(Projektgrundlagen!$I$21,'StB-D1 Besondere Lstg'!M87=TRUE),'StB-D1 Besondere Lstg'!H87,"")</f>
        <v/>
      </c>
      <c r="D132" s="1192" t="str">
        <f>IF(AND(Projektgrundlagen!$I$21,'StB-D1 Besondere Lstg'!M87=TRUE),'StB-D1 Besondere Lstg'!I87,IF(AND(Projektgrundlagen!$I$22,'HB-D1 Besondere Lstg Land'!M87=TRUE),(IF('HB-D1 Besondere Lstg Land'!H87&gt;0,"v.H.","pauschal")),IF(AND(Projektgrundlagen!$I$23,'HB-D2 Besondere Lstg Bund'!M87=TRUE),(IF('HB-D2 Besondere Lstg Bund'!H87&gt;0,"v.H.","pauschal")),"")))</f>
        <v/>
      </c>
      <c r="E132" s="1192" t="str">
        <f>IF(AND(Projektgrundlagen!$I$21,'StB-D1 Besondere Lstg'!M87=TRUE),'StB-D1 Besondere Lstg'!J87,IF(AND(Projektgrundlagen!$I$22,'HB-D1 Besondere Lstg Land'!M87=TRUE),'HB-D1 Besondere Lstg Land'!H87+'HB-D1 Besondere Lstg Land'!J87,IF(AND(Projektgrundlagen!$I$23,'HB-D2 Besondere Lstg Bund'!M87=TRUE),'HB-D2 Besondere Lstg Bund'!H87+'HB-D2 Besondere Lstg Bund'!J87,"")))</f>
        <v/>
      </c>
      <c r="F132" s="1192" t="str">
        <f>IF(AND(Projektgrundlagen!$I$21,'StB-D1 Besondere Lstg'!M87=TRUE),'StB-D1 Besondere Lstg'!K87,IF(AND(Projektgrundlagen!$I$22,'HB-D1 Besondere Lstg Land'!M87=TRUE),'HB-D1 Besondere Lstg Land'!K87,IF(AND(Projektgrundlagen!$I$23,'HB-D2 Besondere Lstg Bund'!M87=TRUE),'HB-D2 Besondere Lstg Bund'!K87,"")))</f>
        <v/>
      </c>
      <c r="G132" s="1200"/>
      <c r="H132" s="1201"/>
    </row>
    <row r="133" spans="2:8" ht="14.25">
      <c r="B133" t="str">
        <f>IF(AND(Projektgrundlagen!$I$21,'StB-D1 Besondere Lstg'!M88=TRUE),'StB-D1 Besondere Lstg'!C88&amp;" "&amp;'StB-D1 Besondere Lstg'!F88&amp;" "&amp;'StB-D1 Besondere Lstg'!F89,IF(AND(Projektgrundlagen!$I$22,'HB-D1 Besondere Lstg Land'!M88=TRUE),'HB-D1 Besondere Lstg Land'!C88&amp;" "&amp;'HB-D1 Besondere Lstg Land'!F88&amp;" "&amp;'HB-D1 Besondere Lstg Land'!F89,IF(AND(Projektgrundlagen!$I$23,'HB-D2 Besondere Lstg Bund'!M88=TRUE),'HB-D2 Besondere Lstg Bund'!C88&amp;" "&amp;'HB-D2 Besondere Lstg Bund'!F88&amp;" "&amp;'HB-D2 Besondere Lstg Bund'!F89,"")))</f>
        <v/>
      </c>
      <c r="C133" s="1192" t="str">
        <f>IF(AND(Projektgrundlagen!$I$21,'StB-D1 Besondere Lstg'!M88=TRUE),'StB-D1 Besondere Lstg'!H88,"")</f>
        <v/>
      </c>
      <c r="D133" s="1192" t="str">
        <f>IF(AND(Projektgrundlagen!$I$21,'StB-D1 Besondere Lstg'!M88=TRUE),'StB-D1 Besondere Lstg'!I88,IF(AND(Projektgrundlagen!$I$22,'HB-D1 Besondere Lstg Land'!M88=TRUE),(IF('HB-D1 Besondere Lstg Land'!H88&gt;0,"v.H.","pauschal")),IF(AND(Projektgrundlagen!$I$23,'HB-D2 Besondere Lstg Bund'!M88=TRUE),(IF('HB-D2 Besondere Lstg Bund'!H88&gt;0,"v.H.","pauschal")),"")))</f>
        <v/>
      </c>
      <c r="E133" s="1192" t="str">
        <f>IF(AND(Projektgrundlagen!$I$21,'StB-D1 Besondere Lstg'!M88=TRUE),'StB-D1 Besondere Lstg'!J88,IF(AND(Projektgrundlagen!$I$22,'HB-D1 Besondere Lstg Land'!M88=TRUE),'HB-D1 Besondere Lstg Land'!H88+'HB-D1 Besondere Lstg Land'!J88,IF(AND(Projektgrundlagen!$I$23,'HB-D2 Besondere Lstg Bund'!M88=TRUE),'HB-D2 Besondere Lstg Bund'!H88+'HB-D2 Besondere Lstg Bund'!J88,"")))</f>
        <v/>
      </c>
      <c r="F133" s="1192" t="str">
        <f>IF(AND(Projektgrundlagen!$I$21,'StB-D1 Besondere Lstg'!M88=TRUE),'StB-D1 Besondere Lstg'!K88,IF(AND(Projektgrundlagen!$I$22,'HB-D1 Besondere Lstg Land'!M88=TRUE),'HB-D1 Besondere Lstg Land'!K88,IF(AND(Projektgrundlagen!$I$23,'HB-D2 Besondere Lstg Bund'!M88=TRUE),'HB-D2 Besondere Lstg Bund'!K88,"")))</f>
        <v/>
      </c>
      <c r="G133" s="1200"/>
      <c r="H133" s="1201"/>
    </row>
    <row r="134" spans="2:8" ht="14.25">
      <c r="B134" t="str">
        <f>IF(AND(Projektgrundlagen!$I$21,'StB-D1 Besondere Lstg'!M89=TRUE),'StB-D1 Besondere Lstg'!C89&amp;" "&amp;'StB-D1 Besondere Lstg'!F89&amp;" "&amp;'StB-D1 Besondere Lstg'!F90,IF(AND(Projektgrundlagen!$I$22,'HB-D1 Besondere Lstg Land'!M89=TRUE),'HB-D1 Besondere Lstg Land'!C89&amp;" "&amp;'HB-D1 Besondere Lstg Land'!F89&amp;" "&amp;'HB-D1 Besondere Lstg Land'!F90,IF(AND(Projektgrundlagen!$I$23,'HB-D2 Besondere Lstg Bund'!M89=TRUE),'HB-D2 Besondere Lstg Bund'!C89&amp;" "&amp;'HB-D2 Besondere Lstg Bund'!F89&amp;" "&amp;'HB-D2 Besondere Lstg Bund'!F90,"")))</f>
        <v/>
      </c>
      <c r="C134" s="1192" t="str">
        <f>IF(AND(Projektgrundlagen!$I$21,'StB-D1 Besondere Lstg'!M89=TRUE),'StB-D1 Besondere Lstg'!H89,"")</f>
        <v/>
      </c>
      <c r="D134" s="1192" t="str">
        <f>IF(AND(Projektgrundlagen!$I$21,'StB-D1 Besondere Lstg'!M89=TRUE),'StB-D1 Besondere Lstg'!I89,IF(AND(Projektgrundlagen!$I$22,'HB-D1 Besondere Lstg Land'!M89=TRUE),(IF('HB-D1 Besondere Lstg Land'!H89&gt;0,"v.H.","pauschal")),IF(AND(Projektgrundlagen!$I$23,'HB-D2 Besondere Lstg Bund'!M89=TRUE),(IF('HB-D2 Besondere Lstg Bund'!H89&gt;0,"v.H.","pauschal")),"")))</f>
        <v/>
      </c>
      <c r="E134" s="1192" t="str">
        <f>IF(AND(Projektgrundlagen!$I$21,'StB-D1 Besondere Lstg'!M89=TRUE),'StB-D1 Besondere Lstg'!J89,IF(AND(Projektgrundlagen!$I$22,'HB-D1 Besondere Lstg Land'!M89=TRUE),'HB-D1 Besondere Lstg Land'!H89+'HB-D1 Besondere Lstg Land'!J89,IF(AND(Projektgrundlagen!$I$23,'HB-D2 Besondere Lstg Bund'!M89=TRUE),'HB-D2 Besondere Lstg Bund'!H89+'HB-D2 Besondere Lstg Bund'!J89,"")))</f>
        <v/>
      </c>
      <c r="F134" s="1192" t="str">
        <f>IF(AND(Projektgrundlagen!$I$21,'StB-D1 Besondere Lstg'!M89=TRUE),'StB-D1 Besondere Lstg'!K89,IF(AND(Projektgrundlagen!$I$22,'HB-D1 Besondere Lstg Land'!M89=TRUE),'HB-D1 Besondere Lstg Land'!K89,IF(AND(Projektgrundlagen!$I$23,'HB-D2 Besondere Lstg Bund'!M89=TRUE),'HB-D2 Besondere Lstg Bund'!K89,"")))</f>
        <v/>
      </c>
      <c r="G134" s="1200"/>
      <c r="H134" s="1201"/>
    </row>
    <row r="135" spans="2:8" ht="14.25">
      <c r="B135" t="str">
        <f>IF(AND(Projektgrundlagen!$I$21,'StB-D1 Besondere Lstg'!M90=TRUE),'StB-D1 Besondere Lstg'!C90&amp;" "&amp;'StB-D1 Besondere Lstg'!F90&amp;" "&amp;'StB-D1 Besondere Lstg'!F91,IF(AND(Projektgrundlagen!$I$22,'HB-D1 Besondere Lstg Land'!M90=TRUE),'HB-D1 Besondere Lstg Land'!C90&amp;" "&amp;'HB-D1 Besondere Lstg Land'!F90&amp;" "&amp;'HB-D1 Besondere Lstg Land'!F91,IF(AND(Projektgrundlagen!$I$23,'HB-D2 Besondere Lstg Bund'!M90=TRUE),'HB-D2 Besondere Lstg Bund'!C90&amp;" "&amp;'HB-D2 Besondere Lstg Bund'!F90&amp;" "&amp;'HB-D2 Besondere Lstg Bund'!F91,"")))</f>
        <v/>
      </c>
      <c r="C135" s="1192" t="str">
        <f>IF(AND(Projektgrundlagen!$I$21,'StB-D1 Besondere Lstg'!M90=TRUE),'StB-D1 Besondere Lstg'!H90,"")</f>
        <v/>
      </c>
      <c r="D135" s="1192" t="str">
        <f>IF(AND(Projektgrundlagen!$I$21,'StB-D1 Besondere Lstg'!M90=TRUE),'StB-D1 Besondere Lstg'!I90,IF(AND(Projektgrundlagen!$I$22,'HB-D1 Besondere Lstg Land'!M90=TRUE),(IF('HB-D1 Besondere Lstg Land'!H90&gt;0,"v.H.","pauschal")),IF(AND(Projektgrundlagen!$I$23,'HB-D2 Besondere Lstg Bund'!M90=TRUE),(IF('HB-D2 Besondere Lstg Bund'!H90&gt;0,"v.H.","pauschal")),"")))</f>
        <v/>
      </c>
      <c r="E135" s="1192" t="str">
        <f>IF(AND(Projektgrundlagen!$I$21,'StB-D1 Besondere Lstg'!M90=TRUE),'StB-D1 Besondere Lstg'!J90,IF(AND(Projektgrundlagen!$I$22,'HB-D1 Besondere Lstg Land'!M90=TRUE),'HB-D1 Besondere Lstg Land'!H90+'HB-D1 Besondere Lstg Land'!J90,IF(AND(Projektgrundlagen!$I$23,'HB-D2 Besondere Lstg Bund'!M90=TRUE),'HB-D2 Besondere Lstg Bund'!H90+'HB-D2 Besondere Lstg Bund'!J90,"")))</f>
        <v/>
      </c>
      <c r="F135" s="1192" t="str">
        <f>IF(AND(Projektgrundlagen!$I$21,'StB-D1 Besondere Lstg'!M90=TRUE),'StB-D1 Besondere Lstg'!K90,IF(AND(Projektgrundlagen!$I$22,'HB-D1 Besondere Lstg Land'!M90=TRUE),'HB-D1 Besondere Lstg Land'!K90,IF(AND(Projektgrundlagen!$I$23,'HB-D2 Besondere Lstg Bund'!M90=TRUE),'HB-D2 Besondere Lstg Bund'!K90,"")))</f>
        <v/>
      </c>
      <c r="G135" s="1200"/>
      <c r="H135" s="1201"/>
    </row>
    <row r="136" spans="2:8" ht="14.25">
      <c r="B136" t="str">
        <f>IF(AND(Projektgrundlagen!$I$21,'StB-D1 Besondere Lstg'!M91=TRUE),'StB-D1 Besondere Lstg'!C91&amp;" "&amp;'StB-D1 Besondere Lstg'!F91&amp;" "&amp;'StB-D1 Besondere Lstg'!F92,IF(AND(Projektgrundlagen!$I$22,'HB-D1 Besondere Lstg Land'!M91=TRUE),'HB-D1 Besondere Lstg Land'!C91&amp;" "&amp;'HB-D1 Besondere Lstg Land'!F91&amp;" "&amp;'HB-D1 Besondere Lstg Land'!F92,IF(AND(Projektgrundlagen!$I$23,'HB-D2 Besondere Lstg Bund'!M91=TRUE),'HB-D2 Besondere Lstg Bund'!C91&amp;" "&amp;'HB-D2 Besondere Lstg Bund'!F91&amp;" "&amp;'HB-D2 Besondere Lstg Bund'!F92,"")))</f>
        <v/>
      </c>
      <c r="C136" s="1192" t="str">
        <f>IF(AND(Projektgrundlagen!$I$21,'StB-D1 Besondere Lstg'!M91=TRUE),'StB-D1 Besondere Lstg'!H91,"")</f>
        <v/>
      </c>
      <c r="D136" s="1192" t="str">
        <f>IF(AND(Projektgrundlagen!$I$21,'StB-D1 Besondere Lstg'!M91=TRUE),'StB-D1 Besondere Lstg'!I91,IF(AND(Projektgrundlagen!$I$22,'HB-D1 Besondere Lstg Land'!M91=TRUE),(IF('HB-D1 Besondere Lstg Land'!H91&gt;0,"v.H.","pauschal")),IF(AND(Projektgrundlagen!$I$23,'HB-D2 Besondere Lstg Bund'!M91=TRUE),(IF('HB-D2 Besondere Lstg Bund'!H91&gt;0,"v.H.","pauschal")),"")))</f>
        <v/>
      </c>
      <c r="E136" s="1192" t="str">
        <f>IF(AND(Projektgrundlagen!$I$21,'StB-D1 Besondere Lstg'!M91=TRUE),'StB-D1 Besondere Lstg'!J91,IF(AND(Projektgrundlagen!$I$22,'HB-D1 Besondere Lstg Land'!M91=TRUE),'HB-D1 Besondere Lstg Land'!H91+'HB-D1 Besondere Lstg Land'!J91,IF(AND(Projektgrundlagen!$I$23,'HB-D2 Besondere Lstg Bund'!M91=TRUE),'HB-D2 Besondere Lstg Bund'!H91+'HB-D2 Besondere Lstg Bund'!J91,"")))</f>
        <v/>
      </c>
      <c r="F136" s="1192" t="str">
        <f>IF(AND(Projektgrundlagen!$I$21,'StB-D1 Besondere Lstg'!M91=TRUE),'StB-D1 Besondere Lstg'!K91,IF(AND(Projektgrundlagen!$I$22,'HB-D1 Besondere Lstg Land'!M91=TRUE),'HB-D1 Besondere Lstg Land'!K91,IF(AND(Projektgrundlagen!$I$23,'HB-D2 Besondere Lstg Bund'!M91=TRUE),'HB-D2 Besondere Lstg Bund'!K91,"")))</f>
        <v/>
      </c>
      <c r="G136" s="1200"/>
      <c r="H136" s="1201"/>
    </row>
    <row r="137" spans="2:8" ht="14.25">
      <c r="B137" t="str">
        <f>IF(AND(Projektgrundlagen!$I$21,'StB-D1 Besondere Lstg'!M92=TRUE),'StB-D1 Besondere Lstg'!C92&amp;" "&amp;'StB-D1 Besondere Lstg'!F92&amp;" "&amp;'StB-D1 Besondere Lstg'!F93,IF(AND(Projektgrundlagen!$I$22,'HB-D1 Besondere Lstg Land'!M92=TRUE),'HB-D1 Besondere Lstg Land'!C92&amp;" "&amp;'HB-D1 Besondere Lstg Land'!F92&amp;" "&amp;'HB-D1 Besondere Lstg Land'!F93,IF(AND(Projektgrundlagen!$I$23,'HB-D2 Besondere Lstg Bund'!M92=TRUE),'HB-D2 Besondere Lstg Bund'!C92&amp;" "&amp;'HB-D2 Besondere Lstg Bund'!F92&amp;" "&amp;'HB-D2 Besondere Lstg Bund'!F93,"")))</f>
        <v/>
      </c>
      <c r="C137" s="1192" t="str">
        <f>IF(AND(Projektgrundlagen!$I$21,'StB-D1 Besondere Lstg'!M92=TRUE),'StB-D1 Besondere Lstg'!H92,"")</f>
        <v/>
      </c>
      <c r="D137" s="1192" t="str">
        <f>IF(AND(Projektgrundlagen!$I$21,'StB-D1 Besondere Lstg'!M92=TRUE),'StB-D1 Besondere Lstg'!I92,IF(AND(Projektgrundlagen!$I$22,'HB-D1 Besondere Lstg Land'!M92=TRUE),(IF('HB-D1 Besondere Lstg Land'!H92&gt;0,"v.H.","pauschal")),IF(AND(Projektgrundlagen!$I$23,'HB-D2 Besondere Lstg Bund'!M92=TRUE),(IF('HB-D2 Besondere Lstg Bund'!H92&gt;0,"v.H.","pauschal")),"")))</f>
        <v/>
      </c>
      <c r="E137" s="1192" t="str">
        <f>IF(AND(Projektgrundlagen!$I$21,'StB-D1 Besondere Lstg'!M92=TRUE),'StB-D1 Besondere Lstg'!J92,IF(AND(Projektgrundlagen!$I$22,'HB-D1 Besondere Lstg Land'!M92=TRUE),'HB-D1 Besondere Lstg Land'!H92+'HB-D1 Besondere Lstg Land'!J92,IF(AND(Projektgrundlagen!$I$23,'HB-D2 Besondere Lstg Bund'!M92=TRUE),'HB-D2 Besondere Lstg Bund'!H92+'HB-D2 Besondere Lstg Bund'!J92,"")))</f>
        <v/>
      </c>
      <c r="F137" s="1192" t="str">
        <f>IF(AND(Projektgrundlagen!$I$21,'StB-D1 Besondere Lstg'!M92=TRUE),'StB-D1 Besondere Lstg'!K92,IF(AND(Projektgrundlagen!$I$22,'HB-D1 Besondere Lstg Land'!M92=TRUE),'HB-D1 Besondere Lstg Land'!K92,IF(AND(Projektgrundlagen!$I$23,'HB-D2 Besondere Lstg Bund'!M92=TRUE),'HB-D2 Besondere Lstg Bund'!K92,"")))</f>
        <v/>
      </c>
      <c r="G137" s="1200"/>
      <c r="H137" s="1201"/>
    </row>
    <row r="138" spans="2:8" ht="14.25">
      <c r="B138" t="str">
        <f>IF(AND(Projektgrundlagen!$I$21,'StB-D1 Besondere Lstg'!M93=TRUE),'StB-D1 Besondere Lstg'!C93&amp;" "&amp;'StB-D1 Besondere Lstg'!F93&amp;" "&amp;'StB-D1 Besondere Lstg'!F94,IF(AND(Projektgrundlagen!$I$22,'HB-D1 Besondere Lstg Land'!M93=TRUE),'HB-D1 Besondere Lstg Land'!C93&amp;" "&amp;'HB-D1 Besondere Lstg Land'!F93&amp;" "&amp;'HB-D1 Besondere Lstg Land'!F94,IF(AND(Projektgrundlagen!$I$23,'HB-D2 Besondere Lstg Bund'!M93=TRUE),'HB-D2 Besondere Lstg Bund'!C93&amp;" "&amp;'HB-D2 Besondere Lstg Bund'!F93&amp;" "&amp;'HB-D2 Besondere Lstg Bund'!F94,"")))</f>
        <v/>
      </c>
      <c r="C138" s="1192" t="str">
        <f>IF(AND(Projektgrundlagen!$I$21,'StB-D1 Besondere Lstg'!M93=TRUE),'StB-D1 Besondere Lstg'!H93,"")</f>
        <v/>
      </c>
      <c r="D138" s="1192" t="str">
        <f>IF(AND(Projektgrundlagen!$I$21,'StB-D1 Besondere Lstg'!M93=TRUE),'StB-D1 Besondere Lstg'!I93,IF(AND(Projektgrundlagen!$I$22,'HB-D1 Besondere Lstg Land'!M93=TRUE),(IF('HB-D1 Besondere Lstg Land'!H93&gt;0,"v.H.","pauschal")),IF(AND(Projektgrundlagen!$I$23,'HB-D2 Besondere Lstg Bund'!M93=TRUE),(IF('HB-D2 Besondere Lstg Bund'!H93&gt;0,"v.H.","pauschal")),"")))</f>
        <v/>
      </c>
      <c r="E138" s="1192" t="str">
        <f>IF(AND(Projektgrundlagen!$I$21,'StB-D1 Besondere Lstg'!M93=TRUE),'StB-D1 Besondere Lstg'!J93,IF(AND(Projektgrundlagen!$I$22,'HB-D1 Besondere Lstg Land'!M93=TRUE),'HB-D1 Besondere Lstg Land'!H93+'HB-D1 Besondere Lstg Land'!J93,IF(AND(Projektgrundlagen!$I$23,'HB-D2 Besondere Lstg Bund'!M93=TRUE),'HB-D2 Besondere Lstg Bund'!H93+'HB-D2 Besondere Lstg Bund'!J93,"")))</f>
        <v/>
      </c>
      <c r="F138" s="1192" t="str">
        <f>IF(AND(Projektgrundlagen!$I$21,'StB-D1 Besondere Lstg'!M93=TRUE),'StB-D1 Besondere Lstg'!K93,IF(AND(Projektgrundlagen!$I$22,'HB-D1 Besondere Lstg Land'!M93=TRUE),'HB-D1 Besondere Lstg Land'!K93,IF(AND(Projektgrundlagen!$I$23,'HB-D2 Besondere Lstg Bund'!M93=TRUE),'HB-D2 Besondere Lstg Bund'!K93,"")))</f>
        <v/>
      </c>
      <c r="G138" s="1200"/>
      <c r="H138" s="1201"/>
    </row>
    <row r="139" spans="2:8" ht="14.25">
      <c r="B139" t="str">
        <f>IF(AND(Projektgrundlagen!$I$21,'StB-D1 Besondere Lstg'!M94=TRUE),'StB-D1 Besondere Lstg'!C94&amp;" "&amp;'StB-D1 Besondere Lstg'!F94&amp;" "&amp;'StB-D1 Besondere Lstg'!F95,IF(AND(Projektgrundlagen!$I$22,'HB-D1 Besondere Lstg Land'!M94=TRUE),'HB-D1 Besondere Lstg Land'!C94&amp;" "&amp;'HB-D1 Besondere Lstg Land'!F94&amp;" "&amp;'HB-D1 Besondere Lstg Land'!F95,IF(AND(Projektgrundlagen!$I$23,'HB-D2 Besondere Lstg Bund'!M94=TRUE),'HB-D2 Besondere Lstg Bund'!C94&amp;" "&amp;'HB-D2 Besondere Lstg Bund'!F94&amp;" "&amp;'HB-D2 Besondere Lstg Bund'!F95,"")))</f>
        <v/>
      </c>
      <c r="C139" s="1192" t="str">
        <f>IF(AND(Projektgrundlagen!$I$21,'StB-D1 Besondere Lstg'!M94=TRUE),'StB-D1 Besondere Lstg'!H94,"")</f>
        <v/>
      </c>
      <c r="D139" s="1192" t="str">
        <f>IF(AND(Projektgrundlagen!$I$21,'StB-D1 Besondere Lstg'!M94=TRUE),'StB-D1 Besondere Lstg'!I94,IF(AND(Projektgrundlagen!$I$22,'HB-D1 Besondere Lstg Land'!M94=TRUE),(IF('HB-D1 Besondere Lstg Land'!H94&gt;0,"v.H.","pauschal")),IF(AND(Projektgrundlagen!$I$23,'HB-D2 Besondere Lstg Bund'!M94=TRUE),(IF('HB-D2 Besondere Lstg Bund'!H94&gt;0,"v.H.","pauschal")),"")))</f>
        <v/>
      </c>
      <c r="E139" s="1192" t="str">
        <f>IF(AND(Projektgrundlagen!$I$21,'StB-D1 Besondere Lstg'!M94=TRUE),'StB-D1 Besondere Lstg'!J94,IF(AND(Projektgrundlagen!$I$22,'HB-D1 Besondere Lstg Land'!M94=TRUE),'HB-D1 Besondere Lstg Land'!H94+'HB-D1 Besondere Lstg Land'!J94,IF(AND(Projektgrundlagen!$I$23,'HB-D2 Besondere Lstg Bund'!M94=TRUE),'HB-D2 Besondere Lstg Bund'!H94+'HB-D2 Besondere Lstg Bund'!J94,"")))</f>
        <v/>
      </c>
      <c r="F139" s="1192" t="str">
        <f>IF(AND(Projektgrundlagen!$I$21,'StB-D1 Besondere Lstg'!M94=TRUE),'StB-D1 Besondere Lstg'!K94,IF(AND(Projektgrundlagen!$I$22,'HB-D1 Besondere Lstg Land'!M94=TRUE),'HB-D1 Besondere Lstg Land'!K94,IF(AND(Projektgrundlagen!$I$23,'HB-D2 Besondere Lstg Bund'!M94=TRUE),'HB-D2 Besondere Lstg Bund'!K94,"")))</f>
        <v/>
      </c>
      <c r="G139" s="1200"/>
      <c r="H139" s="1201"/>
    </row>
    <row r="140" spans="2:8" ht="14.25">
      <c r="B140" t="str">
        <f>IF(AND(Projektgrundlagen!$I$21,'StB-D1 Besondere Lstg'!M95=TRUE),'StB-D1 Besondere Lstg'!C95&amp;" "&amp;'StB-D1 Besondere Lstg'!F95&amp;" "&amp;'StB-D1 Besondere Lstg'!F96,IF(AND(Projektgrundlagen!$I$22,'HB-D1 Besondere Lstg Land'!M95=TRUE),'HB-D1 Besondere Lstg Land'!C95&amp;" "&amp;'HB-D1 Besondere Lstg Land'!F95&amp;" "&amp;'HB-D1 Besondere Lstg Land'!F96,IF(AND(Projektgrundlagen!$I$23,'HB-D2 Besondere Lstg Bund'!M95=TRUE),'HB-D2 Besondere Lstg Bund'!C95&amp;" "&amp;'HB-D2 Besondere Lstg Bund'!F95&amp;" "&amp;'HB-D2 Besondere Lstg Bund'!F96,"")))</f>
        <v/>
      </c>
      <c r="C140" s="1192" t="str">
        <f>IF(AND(Projektgrundlagen!$I$21,'StB-D1 Besondere Lstg'!M95=TRUE),'StB-D1 Besondere Lstg'!H95,"")</f>
        <v/>
      </c>
      <c r="D140" s="1192" t="str">
        <f>IF(AND(Projektgrundlagen!$I$21,'StB-D1 Besondere Lstg'!M95=TRUE),'StB-D1 Besondere Lstg'!I95,IF(AND(Projektgrundlagen!$I$22,'HB-D1 Besondere Lstg Land'!M95=TRUE),(IF('HB-D1 Besondere Lstg Land'!H95&gt;0,"v.H.","pauschal")),IF(AND(Projektgrundlagen!$I$23,'HB-D2 Besondere Lstg Bund'!M95=TRUE),(IF('HB-D2 Besondere Lstg Bund'!H95&gt;0,"v.H.","pauschal")),"")))</f>
        <v/>
      </c>
      <c r="E140" s="1192" t="str">
        <f>IF(AND(Projektgrundlagen!$I$21,'StB-D1 Besondere Lstg'!M95=TRUE),'StB-D1 Besondere Lstg'!J95,IF(AND(Projektgrundlagen!$I$22,'HB-D1 Besondere Lstg Land'!M95=TRUE),'HB-D1 Besondere Lstg Land'!H95+'HB-D1 Besondere Lstg Land'!J95,IF(AND(Projektgrundlagen!$I$23,'HB-D2 Besondere Lstg Bund'!M95=TRUE),'HB-D2 Besondere Lstg Bund'!H95+'HB-D2 Besondere Lstg Bund'!J95,"")))</f>
        <v/>
      </c>
      <c r="F140" s="1192" t="str">
        <f>IF(AND(Projektgrundlagen!$I$21,'StB-D1 Besondere Lstg'!M95=TRUE),'StB-D1 Besondere Lstg'!K95,IF(AND(Projektgrundlagen!$I$22,'HB-D1 Besondere Lstg Land'!M95=TRUE),'HB-D1 Besondere Lstg Land'!K95,IF(AND(Projektgrundlagen!$I$23,'HB-D2 Besondere Lstg Bund'!M95=TRUE),'HB-D2 Besondere Lstg Bund'!K95,"")))</f>
        <v/>
      </c>
      <c r="G140" s="1200"/>
      <c r="H140" s="1201"/>
    </row>
    <row r="141" spans="2:8" ht="14.25">
      <c r="B141" t="str">
        <f>IF(AND(Projektgrundlagen!$I$21,'StB-D1 Besondere Lstg'!M96=TRUE),'StB-D1 Besondere Lstg'!C96&amp;" "&amp;'StB-D1 Besondere Lstg'!F96&amp;" "&amp;'StB-D1 Besondere Lstg'!F97,IF(AND(Projektgrundlagen!$I$22,'HB-D1 Besondere Lstg Land'!M96=TRUE),'HB-D1 Besondere Lstg Land'!C96&amp;" "&amp;'HB-D1 Besondere Lstg Land'!F96&amp;" "&amp;'HB-D1 Besondere Lstg Land'!F97,IF(AND(Projektgrundlagen!$I$23,'HB-D2 Besondere Lstg Bund'!M96=TRUE),'HB-D2 Besondere Lstg Bund'!C96&amp;" "&amp;'HB-D2 Besondere Lstg Bund'!F96&amp;" "&amp;'HB-D2 Besondere Lstg Bund'!F97,"")))</f>
        <v/>
      </c>
      <c r="C141" s="1192" t="str">
        <f>IF(AND(Projektgrundlagen!$I$21,'StB-D1 Besondere Lstg'!M96=TRUE),'StB-D1 Besondere Lstg'!H96,"")</f>
        <v/>
      </c>
      <c r="D141" s="1192" t="str">
        <f>IF(AND(Projektgrundlagen!$I$21,'StB-D1 Besondere Lstg'!M96=TRUE),'StB-D1 Besondere Lstg'!I96,IF(AND(Projektgrundlagen!$I$22,'HB-D1 Besondere Lstg Land'!M96=TRUE),(IF('HB-D1 Besondere Lstg Land'!H96&gt;0,"v.H.","pauschal")),IF(AND(Projektgrundlagen!$I$23,'HB-D2 Besondere Lstg Bund'!M96=TRUE),(IF('HB-D2 Besondere Lstg Bund'!H96&gt;0,"v.H.","pauschal")),"")))</f>
        <v/>
      </c>
      <c r="E141" s="1192" t="str">
        <f>IF(AND(Projektgrundlagen!$I$21,'StB-D1 Besondere Lstg'!M96=TRUE),'StB-D1 Besondere Lstg'!J96,IF(AND(Projektgrundlagen!$I$22,'HB-D1 Besondere Lstg Land'!M96=TRUE),'HB-D1 Besondere Lstg Land'!H96+'HB-D1 Besondere Lstg Land'!J96,IF(AND(Projektgrundlagen!$I$23,'HB-D2 Besondere Lstg Bund'!M96=TRUE),'HB-D2 Besondere Lstg Bund'!H96+'HB-D2 Besondere Lstg Bund'!J96,"")))</f>
        <v/>
      </c>
      <c r="F141" s="1192" t="str">
        <f>IF(AND(Projektgrundlagen!$I$21,'StB-D1 Besondere Lstg'!M96=TRUE),'StB-D1 Besondere Lstg'!K96,IF(AND(Projektgrundlagen!$I$22,'HB-D1 Besondere Lstg Land'!M96=TRUE),'HB-D1 Besondere Lstg Land'!K96,IF(AND(Projektgrundlagen!$I$23,'HB-D2 Besondere Lstg Bund'!M96=TRUE),'HB-D2 Besondere Lstg Bund'!K96,"")))</f>
        <v/>
      </c>
      <c r="G141" s="1200"/>
      <c r="H141" s="1201"/>
    </row>
    <row r="142" spans="2:8" ht="14.25">
      <c r="B142" t="str">
        <f>IF(AND(Projektgrundlagen!$I$21,'StB-D1 Besondere Lstg'!M97=TRUE),'StB-D1 Besondere Lstg'!C97&amp;" "&amp;'StB-D1 Besondere Lstg'!F97&amp;" "&amp;'StB-D1 Besondere Lstg'!F98,IF(AND(Projektgrundlagen!$I$22,'HB-D1 Besondere Lstg Land'!M97=TRUE),'HB-D1 Besondere Lstg Land'!C97&amp;" "&amp;'HB-D1 Besondere Lstg Land'!F97&amp;" "&amp;'HB-D1 Besondere Lstg Land'!F98,IF(AND(Projektgrundlagen!$I$23,'HB-D2 Besondere Lstg Bund'!M97=TRUE),'HB-D2 Besondere Lstg Bund'!C97&amp;" "&amp;'HB-D2 Besondere Lstg Bund'!F97&amp;" "&amp;'HB-D2 Besondere Lstg Bund'!F98,"")))</f>
        <v/>
      </c>
      <c r="C142" s="1192" t="str">
        <f>IF(AND(Projektgrundlagen!$I$21,'StB-D1 Besondere Lstg'!M97=TRUE),'StB-D1 Besondere Lstg'!H97,"")</f>
        <v/>
      </c>
      <c r="D142" s="1192" t="str">
        <f>IF(AND(Projektgrundlagen!$I$21,'StB-D1 Besondere Lstg'!M97=TRUE),'StB-D1 Besondere Lstg'!I97,IF(AND(Projektgrundlagen!$I$22,'HB-D1 Besondere Lstg Land'!M97=TRUE),(IF('HB-D1 Besondere Lstg Land'!H97&gt;0,"v.H.","pauschal")),IF(AND(Projektgrundlagen!$I$23,'HB-D2 Besondere Lstg Bund'!M97=TRUE),(IF('HB-D2 Besondere Lstg Bund'!H97&gt;0,"v.H.","pauschal")),"")))</f>
        <v/>
      </c>
      <c r="E142" s="1192" t="str">
        <f>IF(AND(Projektgrundlagen!$I$21,'StB-D1 Besondere Lstg'!M97=TRUE),'StB-D1 Besondere Lstg'!J97,IF(AND(Projektgrundlagen!$I$22,'HB-D1 Besondere Lstg Land'!M97=TRUE),'HB-D1 Besondere Lstg Land'!H97+'HB-D1 Besondere Lstg Land'!J97,IF(AND(Projektgrundlagen!$I$23,'HB-D2 Besondere Lstg Bund'!M97=TRUE),'HB-D2 Besondere Lstg Bund'!H97+'HB-D2 Besondere Lstg Bund'!J97,"")))</f>
        <v/>
      </c>
      <c r="F142" s="1192" t="str">
        <f>IF(AND(Projektgrundlagen!$I$21,'StB-D1 Besondere Lstg'!M97=TRUE),'StB-D1 Besondere Lstg'!K97,IF(AND(Projektgrundlagen!$I$22,'HB-D1 Besondere Lstg Land'!M97=TRUE),'HB-D1 Besondere Lstg Land'!K97,IF(AND(Projektgrundlagen!$I$23,'HB-D2 Besondere Lstg Bund'!M97=TRUE),'HB-D2 Besondere Lstg Bund'!K97,"")))</f>
        <v/>
      </c>
      <c r="G142" s="1200"/>
      <c r="H142" s="1201"/>
    </row>
    <row r="143" spans="2:8" ht="14.25">
      <c r="B143" t="str">
        <f>IF(AND(Projektgrundlagen!$I$21,'StB-D1 Besondere Lstg'!M98=TRUE),'StB-D1 Besondere Lstg'!C98&amp;" "&amp;'StB-D1 Besondere Lstg'!F98&amp;" "&amp;'StB-D1 Besondere Lstg'!F99,IF(AND(Projektgrundlagen!$I$22,'HB-D1 Besondere Lstg Land'!M98=TRUE),'HB-D1 Besondere Lstg Land'!C98&amp;" "&amp;'HB-D1 Besondere Lstg Land'!F98&amp;" "&amp;'HB-D1 Besondere Lstg Land'!F99,IF(AND(Projektgrundlagen!$I$23,'HB-D2 Besondere Lstg Bund'!M98=TRUE),'HB-D2 Besondere Lstg Bund'!C98&amp;" "&amp;'HB-D2 Besondere Lstg Bund'!F98&amp;" "&amp;'HB-D2 Besondere Lstg Bund'!F99,"")))</f>
        <v/>
      </c>
      <c r="C143" s="1192" t="str">
        <f>IF(AND(Projektgrundlagen!$I$21,'StB-D1 Besondere Lstg'!M98=TRUE),'StB-D1 Besondere Lstg'!H98,"")</f>
        <v/>
      </c>
      <c r="D143" s="1192" t="str">
        <f>IF(AND(Projektgrundlagen!$I$21,'StB-D1 Besondere Lstg'!M98=TRUE),'StB-D1 Besondere Lstg'!I98,IF(AND(Projektgrundlagen!$I$22,'HB-D1 Besondere Lstg Land'!M98=TRUE),(IF('HB-D1 Besondere Lstg Land'!H98&gt;0,"v.H.","pauschal")),IF(AND(Projektgrundlagen!$I$23,'HB-D2 Besondere Lstg Bund'!M98=TRUE),(IF('HB-D2 Besondere Lstg Bund'!H98&gt;0,"v.H.","pauschal")),"")))</f>
        <v/>
      </c>
      <c r="E143" s="1192" t="str">
        <f>IF(AND(Projektgrundlagen!$I$21,'StB-D1 Besondere Lstg'!M98=TRUE),'StB-D1 Besondere Lstg'!J98,IF(AND(Projektgrundlagen!$I$22,'HB-D1 Besondere Lstg Land'!M98=TRUE),'HB-D1 Besondere Lstg Land'!H98+'HB-D1 Besondere Lstg Land'!J98,IF(AND(Projektgrundlagen!$I$23,'HB-D2 Besondere Lstg Bund'!M98=TRUE),'HB-D2 Besondere Lstg Bund'!H98+'HB-D2 Besondere Lstg Bund'!J98,"")))</f>
        <v/>
      </c>
      <c r="F143" s="1192" t="str">
        <f>IF(AND(Projektgrundlagen!$I$21,'StB-D1 Besondere Lstg'!M98=TRUE),'StB-D1 Besondere Lstg'!K98,IF(AND(Projektgrundlagen!$I$22,'HB-D1 Besondere Lstg Land'!M98=TRUE),'HB-D1 Besondere Lstg Land'!K98,IF(AND(Projektgrundlagen!$I$23,'HB-D2 Besondere Lstg Bund'!M98=TRUE),'HB-D2 Besondere Lstg Bund'!K98,"")))</f>
        <v/>
      </c>
      <c r="G143" s="1200"/>
      <c r="H143" s="1201"/>
    </row>
    <row r="144" spans="2:8" ht="14.25">
      <c r="B144" t="str">
        <f>IF(AND(Projektgrundlagen!$I$21,'StB-D1 Besondere Lstg'!M99=TRUE),'StB-D1 Besondere Lstg'!C99&amp;" "&amp;'StB-D1 Besondere Lstg'!F99&amp;" "&amp;'StB-D1 Besondere Lstg'!F100,IF(AND(Projektgrundlagen!$I$22,'HB-D1 Besondere Lstg Land'!M99=TRUE),'HB-D1 Besondere Lstg Land'!C99&amp;" "&amp;'HB-D1 Besondere Lstg Land'!F99&amp;" "&amp;'HB-D1 Besondere Lstg Land'!F100,IF(AND(Projektgrundlagen!$I$23,'HB-D2 Besondere Lstg Bund'!M99=TRUE),'HB-D2 Besondere Lstg Bund'!C99&amp;" "&amp;'HB-D2 Besondere Lstg Bund'!F99&amp;" "&amp;'HB-D2 Besondere Lstg Bund'!F100,"")))</f>
        <v/>
      </c>
      <c r="C144" s="1192" t="str">
        <f>IF(AND(Projektgrundlagen!$I$21,'StB-D1 Besondere Lstg'!M99=TRUE),'StB-D1 Besondere Lstg'!H99,"")</f>
        <v/>
      </c>
      <c r="D144" s="1192" t="str">
        <f>IF(AND(Projektgrundlagen!$I$21,'StB-D1 Besondere Lstg'!M99=TRUE),'StB-D1 Besondere Lstg'!I99,IF(AND(Projektgrundlagen!$I$22,'HB-D1 Besondere Lstg Land'!M99=TRUE),(IF('HB-D1 Besondere Lstg Land'!H99&gt;0,"v.H.","pauschal")),IF(AND(Projektgrundlagen!$I$23,'HB-D2 Besondere Lstg Bund'!M99=TRUE),(IF('HB-D2 Besondere Lstg Bund'!H99&gt;0,"v.H.","pauschal")),"")))</f>
        <v/>
      </c>
      <c r="E144" s="1192" t="str">
        <f>IF(AND(Projektgrundlagen!$I$21,'StB-D1 Besondere Lstg'!M99=TRUE),'StB-D1 Besondere Lstg'!J99,IF(AND(Projektgrundlagen!$I$22,'HB-D1 Besondere Lstg Land'!M99=TRUE),'HB-D1 Besondere Lstg Land'!H99+'HB-D1 Besondere Lstg Land'!J99,IF(AND(Projektgrundlagen!$I$23,'HB-D2 Besondere Lstg Bund'!M99=TRUE),'HB-D2 Besondere Lstg Bund'!H99+'HB-D2 Besondere Lstg Bund'!J99,"")))</f>
        <v/>
      </c>
      <c r="F144" s="1192" t="str">
        <f>IF(AND(Projektgrundlagen!$I$21,'StB-D1 Besondere Lstg'!M99=TRUE),'StB-D1 Besondere Lstg'!K99,IF(AND(Projektgrundlagen!$I$22,'HB-D1 Besondere Lstg Land'!M99=TRUE),'HB-D1 Besondere Lstg Land'!K99,IF(AND(Projektgrundlagen!$I$23,'HB-D2 Besondere Lstg Bund'!M99=TRUE),'HB-D2 Besondere Lstg Bund'!K99,"")))</f>
        <v/>
      </c>
      <c r="G144" s="1200"/>
      <c r="H144" s="1201"/>
    </row>
    <row r="145" spans="2:8" ht="14.25">
      <c r="B145" t="str">
        <f>IF(AND(Projektgrundlagen!$I$21,'StB-D1 Besondere Lstg'!M100=TRUE),'StB-D1 Besondere Lstg'!C100&amp;" "&amp;'StB-D1 Besondere Lstg'!F100&amp;" "&amp;'StB-D1 Besondere Lstg'!F101,IF(AND(Projektgrundlagen!$I$22,'HB-D1 Besondere Lstg Land'!M100=TRUE),'HB-D1 Besondere Lstg Land'!C100&amp;" "&amp;'HB-D1 Besondere Lstg Land'!F100&amp;" "&amp;'HB-D1 Besondere Lstg Land'!F101,IF(AND(Projektgrundlagen!$I$23,'HB-D2 Besondere Lstg Bund'!M100=TRUE),'HB-D2 Besondere Lstg Bund'!C100&amp;" "&amp;'HB-D2 Besondere Lstg Bund'!F100&amp;" "&amp;'HB-D2 Besondere Lstg Bund'!F101,"")))</f>
        <v/>
      </c>
      <c r="C145" s="1192" t="str">
        <f>IF(AND(Projektgrundlagen!$I$21,'StB-D1 Besondere Lstg'!M100=TRUE),'StB-D1 Besondere Lstg'!H100,"")</f>
        <v/>
      </c>
      <c r="D145" s="1192" t="str">
        <f>IF(AND(Projektgrundlagen!$I$21,'StB-D1 Besondere Lstg'!M100=TRUE),'StB-D1 Besondere Lstg'!I100,IF(AND(Projektgrundlagen!$I$22,'HB-D1 Besondere Lstg Land'!M100=TRUE),(IF('HB-D1 Besondere Lstg Land'!H100&gt;0,"v.H.","pauschal")),IF(AND(Projektgrundlagen!$I$23,'HB-D2 Besondere Lstg Bund'!M100=TRUE),(IF('HB-D2 Besondere Lstg Bund'!H100&gt;0,"v.H.","pauschal")),"")))</f>
        <v/>
      </c>
      <c r="E145" s="1192" t="str">
        <f>IF(AND(Projektgrundlagen!$I$21,'StB-D1 Besondere Lstg'!M100=TRUE),'StB-D1 Besondere Lstg'!J100,IF(AND(Projektgrundlagen!$I$22,'HB-D1 Besondere Lstg Land'!M100=TRUE),'HB-D1 Besondere Lstg Land'!H100+'HB-D1 Besondere Lstg Land'!J100,IF(AND(Projektgrundlagen!$I$23,'HB-D2 Besondere Lstg Bund'!M100=TRUE),'HB-D2 Besondere Lstg Bund'!H100+'HB-D2 Besondere Lstg Bund'!J100,"")))</f>
        <v/>
      </c>
      <c r="F145" s="1192" t="str">
        <f>IF(AND(Projektgrundlagen!$I$21,'StB-D1 Besondere Lstg'!M100=TRUE),'StB-D1 Besondere Lstg'!K100,IF(AND(Projektgrundlagen!$I$22,'HB-D1 Besondere Lstg Land'!M100=TRUE),'HB-D1 Besondere Lstg Land'!K100,IF(AND(Projektgrundlagen!$I$23,'HB-D2 Besondere Lstg Bund'!M100=TRUE),'HB-D2 Besondere Lstg Bund'!K100,"")))</f>
        <v/>
      </c>
      <c r="G145" s="1200"/>
      <c r="H145" s="1201"/>
    </row>
    <row r="146" spans="2:8" ht="14.25">
      <c r="B146" t="str">
        <f>IF(AND(Projektgrundlagen!$I$21,'StB-D1 Besondere Lstg'!M101=TRUE),'StB-D1 Besondere Lstg'!C101&amp;" "&amp;'StB-D1 Besondere Lstg'!F101&amp;" "&amp;'StB-D1 Besondere Lstg'!F102,IF(AND(Projektgrundlagen!$I$22,'HB-D1 Besondere Lstg Land'!M101=TRUE),'HB-D1 Besondere Lstg Land'!C101&amp;" "&amp;'HB-D1 Besondere Lstg Land'!F101&amp;" "&amp;'HB-D1 Besondere Lstg Land'!F102,IF(AND(Projektgrundlagen!$I$23,'HB-D2 Besondere Lstg Bund'!M101=TRUE),'HB-D2 Besondere Lstg Bund'!C101&amp;" "&amp;'HB-D2 Besondere Lstg Bund'!F101&amp;" "&amp;'HB-D2 Besondere Lstg Bund'!F102,"")))</f>
        <v/>
      </c>
      <c r="C146" s="1192" t="str">
        <f>IF(AND(Projektgrundlagen!$I$21,'StB-D1 Besondere Lstg'!M101=TRUE),'StB-D1 Besondere Lstg'!H101,"")</f>
        <v/>
      </c>
      <c r="D146" s="1192" t="str">
        <f>IF(AND(Projektgrundlagen!$I$21,'StB-D1 Besondere Lstg'!M101=TRUE),'StB-D1 Besondere Lstg'!I101,IF(AND(Projektgrundlagen!$I$22,'HB-D1 Besondere Lstg Land'!M101=TRUE),(IF('HB-D1 Besondere Lstg Land'!H101&gt;0,"v.H.","pauschal")),IF(AND(Projektgrundlagen!$I$23,'HB-D2 Besondere Lstg Bund'!M101=TRUE),(IF('HB-D2 Besondere Lstg Bund'!H101&gt;0,"v.H.","pauschal")),"")))</f>
        <v/>
      </c>
      <c r="E146" s="1192" t="str">
        <f>IF(AND(Projektgrundlagen!$I$21,'StB-D1 Besondere Lstg'!M101=TRUE),'StB-D1 Besondere Lstg'!J101,IF(AND(Projektgrundlagen!$I$22,'HB-D1 Besondere Lstg Land'!M101=TRUE),'HB-D1 Besondere Lstg Land'!H101+'HB-D1 Besondere Lstg Land'!J101,IF(AND(Projektgrundlagen!$I$23,'HB-D2 Besondere Lstg Bund'!M101=TRUE),'HB-D2 Besondere Lstg Bund'!H101+'HB-D2 Besondere Lstg Bund'!J101,"")))</f>
        <v/>
      </c>
      <c r="F146" s="1192" t="str">
        <f>IF(AND(Projektgrundlagen!$I$21,'StB-D1 Besondere Lstg'!M101=TRUE),'StB-D1 Besondere Lstg'!K101,IF(AND(Projektgrundlagen!$I$22,'HB-D1 Besondere Lstg Land'!M101=TRUE),'HB-D1 Besondere Lstg Land'!K101,IF(AND(Projektgrundlagen!$I$23,'HB-D2 Besondere Lstg Bund'!M101=TRUE),'HB-D2 Besondere Lstg Bund'!K101,"")))</f>
        <v/>
      </c>
      <c r="G146" s="1200"/>
      <c r="H146" s="1201"/>
    </row>
    <row r="147" spans="2:8" ht="14.25">
      <c r="B147" t="str">
        <f>IF(AND(Projektgrundlagen!$I$21,'StB-D1 Besondere Lstg'!M102=TRUE),'StB-D1 Besondere Lstg'!C102&amp;" "&amp;'StB-D1 Besondere Lstg'!F102&amp;" "&amp;'StB-D1 Besondere Lstg'!F103,IF(AND(Projektgrundlagen!$I$22,'HB-D1 Besondere Lstg Land'!M102=TRUE),'HB-D1 Besondere Lstg Land'!C102&amp;" "&amp;'HB-D1 Besondere Lstg Land'!F102&amp;" "&amp;'HB-D1 Besondere Lstg Land'!F103,IF(AND(Projektgrundlagen!$I$23,'HB-D2 Besondere Lstg Bund'!M102=TRUE),'HB-D2 Besondere Lstg Bund'!C102&amp;" "&amp;'HB-D2 Besondere Lstg Bund'!F102&amp;" "&amp;'HB-D2 Besondere Lstg Bund'!F103,"")))</f>
        <v/>
      </c>
      <c r="C147" s="1192" t="str">
        <f>IF(AND(Projektgrundlagen!$I$21,'StB-D1 Besondere Lstg'!M102=TRUE),'StB-D1 Besondere Lstg'!H102,"")</f>
        <v/>
      </c>
      <c r="D147" s="1192" t="str">
        <f>IF(AND(Projektgrundlagen!$I$21,'StB-D1 Besondere Lstg'!M102=TRUE),'StB-D1 Besondere Lstg'!I102,IF(AND(Projektgrundlagen!$I$22,'HB-D1 Besondere Lstg Land'!M102=TRUE),(IF('HB-D1 Besondere Lstg Land'!H102&gt;0,"v.H.","pauschal")),IF(AND(Projektgrundlagen!$I$23,'HB-D2 Besondere Lstg Bund'!M102=TRUE),(IF('HB-D2 Besondere Lstg Bund'!H102&gt;0,"v.H.","pauschal")),"")))</f>
        <v/>
      </c>
      <c r="E147" s="1192" t="str">
        <f>IF(AND(Projektgrundlagen!$I$21,'StB-D1 Besondere Lstg'!M102=TRUE),'StB-D1 Besondere Lstg'!J102,IF(AND(Projektgrundlagen!$I$22,'HB-D1 Besondere Lstg Land'!M102=TRUE),'HB-D1 Besondere Lstg Land'!H102+'HB-D1 Besondere Lstg Land'!J102,IF(AND(Projektgrundlagen!$I$23,'HB-D2 Besondere Lstg Bund'!M102=TRUE),'HB-D2 Besondere Lstg Bund'!H102+'HB-D2 Besondere Lstg Bund'!J102,"")))</f>
        <v/>
      </c>
      <c r="F147" s="1192" t="str">
        <f>IF(AND(Projektgrundlagen!$I$21,'StB-D1 Besondere Lstg'!M102=TRUE),'StB-D1 Besondere Lstg'!K102,IF(AND(Projektgrundlagen!$I$22,'HB-D1 Besondere Lstg Land'!M102=TRUE),'HB-D1 Besondere Lstg Land'!K102,IF(AND(Projektgrundlagen!$I$23,'HB-D2 Besondere Lstg Bund'!M102=TRUE),'HB-D2 Besondere Lstg Bund'!K102,"")))</f>
        <v/>
      </c>
      <c r="G147" s="1200"/>
      <c r="H147" s="1201"/>
    </row>
    <row r="148" spans="2:8" ht="14.25">
      <c r="B148" t="str">
        <f>IF(AND(Projektgrundlagen!$I$21,'StB-D1 Besondere Lstg'!M103=TRUE),'StB-D1 Besondere Lstg'!C103&amp;" "&amp;'StB-D1 Besondere Lstg'!F103&amp;" "&amp;'StB-D1 Besondere Lstg'!F104,IF(AND(Projektgrundlagen!$I$22,'HB-D1 Besondere Lstg Land'!M103=TRUE),'HB-D1 Besondere Lstg Land'!C103&amp;" "&amp;'HB-D1 Besondere Lstg Land'!F103&amp;" "&amp;'HB-D1 Besondere Lstg Land'!F104,IF(AND(Projektgrundlagen!$I$23,'HB-D2 Besondere Lstg Bund'!M103=TRUE),'HB-D2 Besondere Lstg Bund'!C103&amp;" "&amp;'HB-D2 Besondere Lstg Bund'!F103&amp;" "&amp;'HB-D2 Besondere Lstg Bund'!F104,"")))</f>
        <v/>
      </c>
      <c r="C148" s="1192" t="str">
        <f>IF(AND(Projektgrundlagen!$I$21,'StB-D1 Besondere Lstg'!M103=TRUE),'StB-D1 Besondere Lstg'!H103,"")</f>
        <v/>
      </c>
      <c r="D148" s="1192" t="str">
        <f>IF(AND(Projektgrundlagen!$I$21,'StB-D1 Besondere Lstg'!M103=TRUE),'StB-D1 Besondere Lstg'!I103,IF(AND(Projektgrundlagen!$I$22,'HB-D1 Besondere Lstg Land'!M103=TRUE),(IF('HB-D1 Besondere Lstg Land'!H103&gt;0,"v.H.","pauschal")),IF(AND(Projektgrundlagen!$I$23,'HB-D2 Besondere Lstg Bund'!M103=TRUE),(IF('HB-D2 Besondere Lstg Bund'!H103&gt;0,"v.H.","pauschal")),"")))</f>
        <v/>
      </c>
      <c r="E148" s="1192" t="str">
        <f>IF(AND(Projektgrundlagen!$I$21,'StB-D1 Besondere Lstg'!M103=TRUE),'StB-D1 Besondere Lstg'!J103,IF(AND(Projektgrundlagen!$I$22,'HB-D1 Besondere Lstg Land'!M103=TRUE),'HB-D1 Besondere Lstg Land'!H103+'HB-D1 Besondere Lstg Land'!J103,IF(AND(Projektgrundlagen!$I$23,'HB-D2 Besondere Lstg Bund'!M103=TRUE),'HB-D2 Besondere Lstg Bund'!H103+'HB-D2 Besondere Lstg Bund'!J103,"")))</f>
        <v/>
      </c>
      <c r="F148" s="1192" t="str">
        <f>IF(AND(Projektgrundlagen!$I$21,'StB-D1 Besondere Lstg'!M103=TRUE),'StB-D1 Besondere Lstg'!K103,IF(AND(Projektgrundlagen!$I$22,'HB-D1 Besondere Lstg Land'!M103=TRUE),'HB-D1 Besondere Lstg Land'!K103,IF(AND(Projektgrundlagen!$I$23,'HB-D2 Besondere Lstg Bund'!M103=TRUE),'HB-D2 Besondere Lstg Bund'!K103,"")))</f>
        <v/>
      </c>
      <c r="G148" s="1200"/>
      <c r="H148" s="1201"/>
    </row>
    <row r="149" spans="2:8" ht="14.25">
      <c r="B149" t="str">
        <f>IF(AND(Projektgrundlagen!$I$21,'StB-D1 Besondere Lstg'!M104=TRUE),'StB-D1 Besondere Lstg'!C104&amp;" "&amp;'StB-D1 Besondere Lstg'!F104&amp;" "&amp;'StB-D1 Besondere Lstg'!F105,IF(AND(Projektgrundlagen!$I$22,'HB-D1 Besondere Lstg Land'!M104=TRUE),'HB-D1 Besondere Lstg Land'!C104&amp;" "&amp;'HB-D1 Besondere Lstg Land'!F104&amp;" "&amp;'HB-D1 Besondere Lstg Land'!F105,IF(AND(Projektgrundlagen!$I$23,'HB-D2 Besondere Lstg Bund'!M104=TRUE),'HB-D2 Besondere Lstg Bund'!C104&amp;" "&amp;'HB-D2 Besondere Lstg Bund'!F104&amp;" "&amp;'HB-D2 Besondere Lstg Bund'!F105,"")))</f>
        <v/>
      </c>
      <c r="C149" s="1192" t="str">
        <f>IF(AND(Projektgrundlagen!$I$21,'StB-D1 Besondere Lstg'!M104=TRUE),'StB-D1 Besondere Lstg'!H104,"")</f>
        <v/>
      </c>
      <c r="D149" s="1192" t="str">
        <f>IF(AND(Projektgrundlagen!$I$21,'StB-D1 Besondere Lstg'!M104=TRUE),'StB-D1 Besondere Lstg'!I104,IF(AND(Projektgrundlagen!$I$22,'HB-D1 Besondere Lstg Land'!M104=TRUE),(IF('HB-D1 Besondere Lstg Land'!H104&gt;0,"v.H.","pauschal")),IF(AND(Projektgrundlagen!$I$23,'HB-D2 Besondere Lstg Bund'!M104=TRUE),(IF('HB-D2 Besondere Lstg Bund'!H104&gt;0,"v.H.","pauschal")),"")))</f>
        <v/>
      </c>
      <c r="E149" s="1192" t="str">
        <f>IF(AND(Projektgrundlagen!$I$21,'StB-D1 Besondere Lstg'!M104=TRUE),'StB-D1 Besondere Lstg'!J104,IF(AND(Projektgrundlagen!$I$22,'HB-D1 Besondere Lstg Land'!M104=TRUE),'HB-D1 Besondere Lstg Land'!H104+'HB-D1 Besondere Lstg Land'!J104,IF(AND(Projektgrundlagen!$I$23,'HB-D2 Besondere Lstg Bund'!M104=TRUE),'HB-D2 Besondere Lstg Bund'!H104+'HB-D2 Besondere Lstg Bund'!J104,"")))</f>
        <v/>
      </c>
      <c r="F149" s="1192" t="str">
        <f>IF(AND(Projektgrundlagen!$I$21,'StB-D1 Besondere Lstg'!M104=TRUE),'StB-D1 Besondere Lstg'!K104,IF(AND(Projektgrundlagen!$I$22,'HB-D1 Besondere Lstg Land'!M104=TRUE),'HB-D1 Besondere Lstg Land'!K104,IF(AND(Projektgrundlagen!$I$23,'HB-D2 Besondere Lstg Bund'!M104=TRUE),'HB-D2 Besondere Lstg Bund'!K104,"")))</f>
        <v/>
      </c>
      <c r="G149" s="1200"/>
      <c r="H149" s="1201"/>
    </row>
    <row r="150" spans="2:8" ht="14.25">
      <c r="B150" t="str">
        <f>IF(AND(Projektgrundlagen!$I$21,'StB-D1 Besondere Lstg'!M105=TRUE),'StB-D1 Besondere Lstg'!C105&amp;" "&amp;'StB-D1 Besondere Lstg'!F105&amp;" "&amp;'StB-D1 Besondere Lstg'!F106,IF(AND(Projektgrundlagen!$I$22,'HB-D1 Besondere Lstg Land'!M105=TRUE),'HB-D1 Besondere Lstg Land'!C105&amp;" "&amp;'HB-D1 Besondere Lstg Land'!F105&amp;" "&amp;'HB-D1 Besondere Lstg Land'!F106,IF(AND(Projektgrundlagen!$I$23,'HB-D2 Besondere Lstg Bund'!M105=TRUE),'HB-D2 Besondere Lstg Bund'!C105&amp;" "&amp;'HB-D2 Besondere Lstg Bund'!F105&amp;" "&amp;'HB-D2 Besondere Lstg Bund'!F106,"")))</f>
        <v/>
      </c>
      <c r="C150" s="1192" t="str">
        <f>IF(AND(Projektgrundlagen!$I$21,'StB-D1 Besondere Lstg'!M105=TRUE),'StB-D1 Besondere Lstg'!H105,"")</f>
        <v/>
      </c>
      <c r="D150" s="1192" t="str">
        <f>IF(AND(Projektgrundlagen!$I$21,'StB-D1 Besondere Lstg'!M105=TRUE),'StB-D1 Besondere Lstg'!I105,IF(AND(Projektgrundlagen!$I$22,'HB-D1 Besondere Lstg Land'!M105=TRUE),(IF('HB-D1 Besondere Lstg Land'!H105&gt;0,"v.H.","pauschal")),IF(AND(Projektgrundlagen!$I$23,'HB-D2 Besondere Lstg Bund'!M105=TRUE),(IF('HB-D2 Besondere Lstg Bund'!H105&gt;0,"v.H.","pauschal")),"")))</f>
        <v/>
      </c>
      <c r="E150" s="1192" t="str">
        <f>IF(AND(Projektgrundlagen!$I$21,'StB-D1 Besondere Lstg'!M105=TRUE),'StB-D1 Besondere Lstg'!J105,IF(AND(Projektgrundlagen!$I$22,'HB-D1 Besondere Lstg Land'!M105=TRUE),'HB-D1 Besondere Lstg Land'!H105+'HB-D1 Besondere Lstg Land'!J105,IF(AND(Projektgrundlagen!$I$23,'HB-D2 Besondere Lstg Bund'!M105=TRUE),'HB-D2 Besondere Lstg Bund'!H105+'HB-D2 Besondere Lstg Bund'!J105,"")))</f>
        <v/>
      </c>
      <c r="F150" s="1192" t="str">
        <f>IF(AND(Projektgrundlagen!$I$21,'StB-D1 Besondere Lstg'!M105=TRUE),'StB-D1 Besondere Lstg'!K105,IF(AND(Projektgrundlagen!$I$22,'HB-D1 Besondere Lstg Land'!M105=TRUE),'HB-D1 Besondere Lstg Land'!K105,IF(AND(Projektgrundlagen!$I$23,'HB-D2 Besondere Lstg Bund'!M105=TRUE),'HB-D2 Besondere Lstg Bund'!K105,"")))</f>
        <v/>
      </c>
      <c r="G150" s="1200"/>
      <c r="H150" s="1201"/>
    </row>
    <row r="151" spans="2:8" ht="14.25">
      <c r="B151" t="str">
        <f>IF(AND(Projektgrundlagen!$I$21,'StB-D1 Besondere Lstg'!M106=TRUE),'StB-D1 Besondere Lstg'!C106&amp;" "&amp;'StB-D1 Besondere Lstg'!F106&amp;" "&amp;'StB-D1 Besondere Lstg'!F107,IF(AND(Projektgrundlagen!$I$22,'HB-D1 Besondere Lstg Land'!M106=TRUE),'HB-D1 Besondere Lstg Land'!C106&amp;" "&amp;'HB-D1 Besondere Lstg Land'!F106&amp;" "&amp;'HB-D1 Besondere Lstg Land'!F107,IF(AND(Projektgrundlagen!$I$23,'HB-D2 Besondere Lstg Bund'!M106=TRUE),'HB-D2 Besondere Lstg Bund'!C106&amp;" "&amp;'HB-D2 Besondere Lstg Bund'!F106&amp;" "&amp;'HB-D2 Besondere Lstg Bund'!F107,"")))</f>
        <v/>
      </c>
      <c r="C151" s="1192" t="str">
        <f>IF(AND(Projektgrundlagen!$I$21,'StB-D1 Besondere Lstg'!M106=TRUE),'StB-D1 Besondere Lstg'!H106,"")</f>
        <v/>
      </c>
      <c r="D151" s="1192" t="str">
        <f>IF(AND(Projektgrundlagen!$I$21,'StB-D1 Besondere Lstg'!M106=TRUE),'StB-D1 Besondere Lstg'!I106,IF(AND(Projektgrundlagen!$I$22,'HB-D1 Besondere Lstg Land'!M106=TRUE),(IF('HB-D1 Besondere Lstg Land'!H106&gt;0,"v.H.","pauschal")),IF(AND(Projektgrundlagen!$I$23,'HB-D2 Besondere Lstg Bund'!M106=TRUE),(IF('HB-D2 Besondere Lstg Bund'!H106&gt;0,"v.H.","pauschal")),"")))</f>
        <v/>
      </c>
      <c r="E151" s="1192" t="str">
        <f>IF(AND(Projektgrundlagen!$I$21,'StB-D1 Besondere Lstg'!M106=TRUE),'StB-D1 Besondere Lstg'!J106,IF(AND(Projektgrundlagen!$I$22,'HB-D1 Besondere Lstg Land'!M106=TRUE),'HB-D1 Besondere Lstg Land'!H106+'HB-D1 Besondere Lstg Land'!J106,IF(AND(Projektgrundlagen!$I$23,'HB-D2 Besondere Lstg Bund'!M106=TRUE),'HB-D2 Besondere Lstg Bund'!H106+'HB-D2 Besondere Lstg Bund'!J106,"")))</f>
        <v/>
      </c>
      <c r="F151" s="1192" t="str">
        <f>IF(AND(Projektgrundlagen!$I$21,'StB-D1 Besondere Lstg'!M106=TRUE),'StB-D1 Besondere Lstg'!K106,IF(AND(Projektgrundlagen!$I$22,'HB-D1 Besondere Lstg Land'!M106=TRUE),'HB-D1 Besondere Lstg Land'!K106,IF(AND(Projektgrundlagen!$I$23,'HB-D2 Besondere Lstg Bund'!M106=TRUE),'HB-D2 Besondere Lstg Bund'!K106,"")))</f>
        <v/>
      </c>
      <c r="G151" s="1200"/>
      <c r="H151" s="1201"/>
    </row>
    <row r="152" spans="2:8" ht="14.25">
      <c r="B152" t="str">
        <f>IF(AND(Projektgrundlagen!$I$21,'StB-D1 Besondere Lstg'!M107=TRUE),'StB-D1 Besondere Lstg'!C107&amp;" "&amp;'StB-D1 Besondere Lstg'!F107&amp;" "&amp;'StB-D1 Besondere Lstg'!F108,IF(AND(Projektgrundlagen!$I$22,'HB-D1 Besondere Lstg Land'!M107=TRUE),'HB-D1 Besondere Lstg Land'!C107&amp;" "&amp;'HB-D1 Besondere Lstg Land'!F107&amp;" "&amp;'HB-D1 Besondere Lstg Land'!F108,IF(AND(Projektgrundlagen!$I$23,'HB-D2 Besondere Lstg Bund'!M107=TRUE),'HB-D2 Besondere Lstg Bund'!C107&amp;" "&amp;'HB-D2 Besondere Lstg Bund'!F107&amp;" "&amp;'HB-D2 Besondere Lstg Bund'!F108,"")))</f>
        <v/>
      </c>
      <c r="C152" s="1192" t="str">
        <f>IF(AND(Projektgrundlagen!$I$21,'StB-D1 Besondere Lstg'!M107=TRUE),'StB-D1 Besondere Lstg'!H107,"")</f>
        <v/>
      </c>
      <c r="D152" s="1192" t="str">
        <f>IF(AND(Projektgrundlagen!$I$21,'StB-D1 Besondere Lstg'!M107=TRUE),'StB-D1 Besondere Lstg'!I107,IF(AND(Projektgrundlagen!$I$22,'HB-D1 Besondere Lstg Land'!M107=TRUE),(IF('HB-D1 Besondere Lstg Land'!H107&gt;0,"v.H.","pauschal")),IF(AND(Projektgrundlagen!$I$23,'HB-D2 Besondere Lstg Bund'!M107=TRUE),(IF('HB-D2 Besondere Lstg Bund'!H107&gt;0,"v.H.","pauschal")),"")))</f>
        <v/>
      </c>
      <c r="E152" s="1192" t="str">
        <f>IF(AND(Projektgrundlagen!$I$21,'StB-D1 Besondere Lstg'!M107=TRUE),'StB-D1 Besondere Lstg'!J107,IF(AND(Projektgrundlagen!$I$22,'HB-D1 Besondere Lstg Land'!M107=TRUE),'HB-D1 Besondere Lstg Land'!H107+'HB-D1 Besondere Lstg Land'!J107,IF(AND(Projektgrundlagen!$I$23,'HB-D2 Besondere Lstg Bund'!M107=TRUE),'HB-D2 Besondere Lstg Bund'!H107+'HB-D2 Besondere Lstg Bund'!J107,"")))</f>
        <v/>
      </c>
      <c r="F152" s="1192" t="str">
        <f>IF(AND(Projektgrundlagen!$I$21,'StB-D1 Besondere Lstg'!M107=TRUE),'StB-D1 Besondere Lstg'!K107,IF(AND(Projektgrundlagen!$I$22,'HB-D1 Besondere Lstg Land'!M107=TRUE),'HB-D1 Besondere Lstg Land'!K107,IF(AND(Projektgrundlagen!$I$23,'HB-D2 Besondere Lstg Bund'!M107=TRUE),'HB-D2 Besondere Lstg Bund'!K107,"")))</f>
        <v/>
      </c>
      <c r="G152" s="1200"/>
      <c r="H152" s="1201"/>
    </row>
    <row r="153" spans="2:8" ht="14.25">
      <c r="B153" t="str">
        <f>IF(AND(Projektgrundlagen!$I$21,'StB-D1 Besondere Lstg'!M108=TRUE),'StB-D1 Besondere Lstg'!C108&amp;" "&amp;'StB-D1 Besondere Lstg'!F108&amp;" "&amp;'StB-D1 Besondere Lstg'!F109,IF(AND(Projektgrundlagen!$I$22,'HB-D1 Besondere Lstg Land'!M108=TRUE),'HB-D1 Besondere Lstg Land'!C108&amp;" "&amp;'HB-D1 Besondere Lstg Land'!F108&amp;" "&amp;'HB-D1 Besondere Lstg Land'!F109,IF(AND(Projektgrundlagen!$I$23,'HB-D2 Besondere Lstg Bund'!M108=TRUE),'HB-D2 Besondere Lstg Bund'!C108&amp;" "&amp;'HB-D2 Besondere Lstg Bund'!F108&amp;" "&amp;'HB-D2 Besondere Lstg Bund'!F109,"")))</f>
        <v/>
      </c>
      <c r="C153" s="1192" t="str">
        <f>IF(AND(Projektgrundlagen!$I$21,'StB-D1 Besondere Lstg'!M108=TRUE),'StB-D1 Besondere Lstg'!H108,"")</f>
        <v/>
      </c>
      <c r="D153" s="1192" t="str">
        <f>IF(AND(Projektgrundlagen!$I$21,'StB-D1 Besondere Lstg'!M108=TRUE),'StB-D1 Besondere Lstg'!I108,IF(AND(Projektgrundlagen!$I$22,'HB-D1 Besondere Lstg Land'!M108=TRUE),(IF('HB-D1 Besondere Lstg Land'!H108&gt;0,"v.H.","pauschal")),IF(AND(Projektgrundlagen!$I$23,'HB-D2 Besondere Lstg Bund'!M108=TRUE),(IF('HB-D2 Besondere Lstg Bund'!H108&gt;0,"v.H.","pauschal")),"")))</f>
        <v/>
      </c>
      <c r="E153" s="1192" t="str">
        <f>IF(AND(Projektgrundlagen!$I$21,'StB-D1 Besondere Lstg'!M108=TRUE),'StB-D1 Besondere Lstg'!J108,IF(AND(Projektgrundlagen!$I$22,'HB-D1 Besondere Lstg Land'!M108=TRUE),'HB-D1 Besondere Lstg Land'!H108+'HB-D1 Besondere Lstg Land'!J108,IF(AND(Projektgrundlagen!$I$23,'HB-D2 Besondere Lstg Bund'!M108=TRUE),'HB-D2 Besondere Lstg Bund'!H108+'HB-D2 Besondere Lstg Bund'!J108,"")))</f>
        <v/>
      </c>
      <c r="F153" s="1192" t="str">
        <f>IF(AND(Projektgrundlagen!$I$21,'StB-D1 Besondere Lstg'!M108=TRUE),'StB-D1 Besondere Lstg'!K108,IF(AND(Projektgrundlagen!$I$22,'HB-D1 Besondere Lstg Land'!M108=TRUE),'HB-D1 Besondere Lstg Land'!K108,IF(AND(Projektgrundlagen!$I$23,'HB-D2 Besondere Lstg Bund'!M108=TRUE),'HB-D2 Besondere Lstg Bund'!K108,"")))</f>
        <v/>
      </c>
      <c r="G153" s="1200"/>
      <c r="H153" s="1201"/>
    </row>
    <row r="154" spans="2:8" ht="14.25">
      <c r="B154" t="str">
        <f>IF(AND(Projektgrundlagen!$I$21,'StB-D1 Besondere Lstg'!M109=TRUE),'StB-D1 Besondere Lstg'!C109&amp;" "&amp;'StB-D1 Besondere Lstg'!F109&amp;" "&amp;'StB-D1 Besondere Lstg'!F110,IF(AND(Projektgrundlagen!$I$22,'HB-D1 Besondere Lstg Land'!M109=TRUE),'HB-D1 Besondere Lstg Land'!C109&amp;" "&amp;'HB-D1 Besondere Lstg Land'!F109&amp;" "&amp;'HB-D1 Besondere Lstg Land'!F110,IF(AND(Projektgrundlagen!$I$23,'HB-D2 Besondere Lstg Bund'!M109=TRUE),'HB-D2 Besondere Lstg Bund'!C109&amp;" "&amp;'HB-D2 Besondere Lstg Bund'!F109&amp;" "&amp;'HB-D2 Besondere Lstg Bund'!F110,"")))</f>
        <v/>
      </c>
      <c r="C154" s="1192" t="str">
        <f>IF(AND(Projektgrundlagen!$I$21,'StB-D1 Besondere Lstg'!M109=TRUE),'StB-D1 Besondere Lstg'!H109,"")</f>
        <v/>
      </c>
      <c r="D154" s="1192" t="str">
        <f>IF(AND(Projektgrundlagen!$I$21,'StB-D1 Besondere Lstg'!M109=TRUE),'StB-D1 Besondere Lstg'!I109,IF(AND(Projektgrundlagen!$I$22,'HB-D1 Besondere Lstg Land'!M109=TRUE),(IF('HB-D1 Besondere Lstg Land'!H109&gt;0,"v.H.","pauschal")),IF(AND(Projektgrundlagen!$I$23,'HB-D2 Besondere Lstg Bund'!M109=TRUE),(IF('HB-D2 Besondere Lstg Bund'!H109&gt;0,"v.H.","pauschal")),"")))</f>
        <v/>
      </c>
      <c r="E154" s="1192" t="str">
        <f>IF(AND(Projektgrundlagen!$I$21,'StB-D1 Besondere Lstg'!M109=TRUE),'StB-D1 Besondere Lstg'!J109,IF(AND(Projektgrundlagen!$I$22,'HB-D1 Besondere Lstg Land'!M109=TRUE),'HB-D1 Besondere Lstg Land'!H109+'HB-D1 Besondere Lstg Land'!J109,IF(AND(Projektgrundlagen!$I$23,'HB-D2 Besondere Lstg Bund'!M109=TRUE),'HB-D2 Besondere Lstg Bund'!H109+'HB-D2 Besondere Lstg Bund'!J109,"")))</f>
        <v/>
      </c>
      <c r="F154" s="1192" t="str">
        <f>IF(AND(Projektgrundlagen!$I$21,'StB-D1 Besondere Lstg'!M109=TRUE),'StB-D1 Besondere Lstg'!K109,IF(AND(Projektgrundlagen!$I$22,'HB-D1 Besondere Lstg Land'!M109=TRUE),'HB-D1 Besondere Lstg Land'!K109,IF(AND(Projektgrundlagen!$I$23,'HB-D2 Besondere Lstg Bund'!M109=TRUE),'HB-D2 Besondere Lstg Bund'!K109,"")))</f>
        <v/>
      </c>
      <c r="G154" s="1200"/>
      <c r="H154" s="1201"/>
    </row>
    <row r="155" spans="2:8" ht="14.25">
      <c r="B155" t="str">
        <f>IF(AND(Projektgrundlagen!$I$21,'StB-D1 Besondere Lstg'!M110=TRUE),'StB-D1 Besondere Lstg'!C110&amp;" "&amp;'StB-D1 Besondere Lstg'!F110&amp;" "&amp;'StB-D1 Besondere Lstg'!F111,IF(AND(Projektgrundlagen!$I$22,'HB-D1 Besondere Lstg Land'!M110=TRUE),'HB-D1 Besondere Lstg Land'!C110&amp;" "&amp;'HB-D1 Besondere Lstg Land'!F110&amp;" "&amp;'HB-D1 Besondere Lstg Land'!F111,IF(AND(Projektgrundlagen!$I$23,'HB-D2 Besondere Lstg Bund'!M110=TRUE),'HB-D2 Besondere Lstg Bund'!C110&amp;" "&amp;'HB-D2 Besondere Lstg Bund'!F110&amp;" "&amp;'HB-D2 Besondere Lstg Bund'!F111,"")))</f>
        <v/>
      </c>
      <c r="C155" s="1192" t="str">
        <f>IF(AND(Projektgrundlagen!$I$21,'StB-D1 Besondere Lstg'!M110=TRUE),'StB-D1 Besondere Lstg'!H110,"")</f>
        <v/>
      </c>
      <c r="D155" s="1192" t="str">
        <f>IF(AND(Projektgrundlagen!$I$21,'StB-D1 Besondere Lstg'!M110=TRUE),'StB-D1 Besondere Lstg'!I110,IF(AND(Projektgrundlagen!$I$22,'HB-D1 Besondere Lstg Land'!M110=TRUE),(IF('HB-D1 Besondere Lstg Land'!H110&gt;0,"v.H.","pauschal")),IF(AND(Projektgrundlagen!$I$23,'HB-D2 Besondere Lstg Bund'!M110=TRUE),(IF('HB-D2 Besondere Lstg Bund'!H110&gt;0,"v.H.","pauschal")),"")))</f>
        <v/>
      </c>
      <c r="E155" s="1192" t="str">
        <f>IF(AND(Projektgrundlagen!$I$21,'StB-D1 Besondere Lstg'!M110=TRUE),'StB-D1 Besondere Lstg'!J110,IF(AND(Projektgrundlagen!$I$22,'HB-D1 Besondere Lstg Land'!M110=TRUE),'HB-D1 Besondere Lstg Land'!H110+'HB-D1 Besondere Lstg Land'!J110,IF(AND(Projektgrundlagen!$I$23,'HB-D2 Besondere Lstg Bund'!M110=TRUE),'HB-D2 Besondere Lstg Bund'!H110+'HB-D2 Besondere Lstg Bund'!J110,"")))</f>
        <v/>
      </c>
      <c r="F155" s="1192" t="str">
        <f>IF(AND(Projektgrundlagen!$I$21,'StB-D1 Besondere Lstg'!M110=TRUE),'StB-D1 Besondere Lstg'!K110,IF(AND(Projektgrundlagen!$I$22,'HB-D1 Besondere Lstg Land'!M110=TRUE),'HB-D1 Besondere Lstg Land'!K110,IF(AND(Projektgrundlagen!$I$23,'HB-D2 Besondere Lstg Bund'!M110=TRUE),'HB-D2 Besondere Lstg Bund'!K110,"")))</f>
        <v/>
      </c>
      <c r="G155" s="1200"/>
      <c r="H155" s="1201"/>
    </row>
    <row r="156" spans="2:8" ht="14.25">
      <c r="B156" t="str">
        <f>IF(AND(Projektgrundlagen!$I$21,'StB-D1 Besondere Lstg'!M111=TRUE),'StB-D1 Besondere Lstg'!C111&amp;" "&amp;'StB-D1 Besondere Lstg'!F111&amp;" "&amp;'StB-D1 Besondere Lstg'!F112,IF(AND(Projektgrundlagen!$I$22,'HB-D1 Besondere Lstg Land'!M111=TRUE),'HB-D1 Besondere Lstg Land'!C111&amp;" "&amp;'HB-D1 Besondere Lstg Land'!F111&amp;" "&amp;'HB-D1 Besondere Lstg Land'!F112,IF(AND(Projektgrundlagen!$I$23,'HB-D2 Besondere Lstg Bund'!M111=TRUE),'HB-D2 Besondere Lstg Bund'!C111&amp;" "&amp;'HB-D2 Besondere Lstg Bund'!F111&amp;" "&amp;'HB-D2 Besondere Lstg Bund'!F112,"")))</f>
        <v/>
      </c>
      <c r="C156" s="1192" t="str">
        <f>IF(AND(Projektgrundlagen!$I$21,'StB-D1 Besondere Lstg'!M111=TRUE),'StB-D1 Besondere Lstg'!H111,"")</f>
        <v/>
      </c>
      <c r="D156" s="1192" t="str">
        <f>IF(AND(Projektgrundlagen!$I$21,'StB-D1 Besondere Lstg'!M111=TRUE),'StB-D1 Besondere Lstg'!I111,IF(AND(Projektgrundlagen!$I$22,'HB-D1 Besondere Lstg Land'!M111=TRUE),(IF('HB-D1 Besondere Lstg Land'!H111&gt;0,"v.H.","pauschal")),IF(AND(Projektgrundlagen!$I$23,'HB-D2 Besondere Lstg Bund'!M111=TRUE),(IF('HB-D2 Besondere Lstg Bund'!H111&gt;0,"v.H.","pauschal")),"")))</f>
        <v/>
      </c>
      <c r="E156" s="1192" t="str">
        <f>IF(AND(Projektgrundlagen!$I$21,'StB-D1 Besondere Lstg'!M111=TRUE),'StB-D1 Besondere Lstg'!J111,IF(AND(Projektgrundlagen!$I$22,'HB-D1 Besondere Lstg Land'!M111=TRUE),'HB-D1 Besondere Lstg Land'!H111+'HB-D1 Besondere Lstg Land'!J111,IF(AND(Projektgrundlagen!$I$23,'HB-D2 Besondere Lstg Bund'!M111=TRUE),'HB-D2 Besondere Lstg Bund'!H111+'HB-D2 Besondere Lstg Bund'!J111,"")))</f>
        <v/>
      </c>
      <c r="F156" s="1192" t="str">
        <f>IF(AND(Projektgrundlagen!$I$21,'StB-D1 Besondere Lstg'!M111=TRUE),'StB-D1 Besondere Lstg'!K111,IF(AND(Projektgrundlagen!$I$22,'HB-D1 Besondere Lstg Land'!M111=TRUE),'HB-D1 Besondere Lstg Land'!K111,IF(AND(Projektgrundlagen!$I$23,'HB-D2 Besondere Lstg Bund'!M111=TRUE),'HB-D2 Besondere Lstg Bund'!K111,"")))</f>
        <v/>
      </c>
      <c r="G156" s="1200"/>
      <c r="H156" s="1201"/>
    </row>
    <row r="157" spans="2:8" ht="14.25">
      <c r="B157" t="str">
        <f>IF(AND(Projektgrundlagen!$I$21,'StB-D1 Besondere Lstg'!M112=TRUE),'StB-D1 Besondere Lstg'!C112&amp;" "&amp;'StB-D1 Besondere Lstg'!F112&amp;" "&amp;'StB-D1 Besondere Lstg'!F113,IF(AND(Projektgrundlagen!$I$22,'HB-D1 Besondere Lstg Land'!M112=TRUE),'HB-D1 Besondere Lstg Land'!C112&amp;" "&amp;'HB-D1 Besondere Lstg Land'!F112&amp;" "&amp;'HB-D1 Besondere Lstg Land'!F113,IF(AND(Projektgrundlagen!$I$23,'HB-D2 Besondere Lstg Bund'!M112=TRUE),'HB-D2 Besondere Lstg Bund'!C112&amp;" "&amp;'HB-D2 Besondere Lstg Bund'!F112&amp;" "&amp;'HB-D2 Besondere Lstg Bund'!F113,"")))</f>
        <v/>
      </c>
      <c r="C157" s="1192" t="str">
        <f>IF(AND(Projektgrundlagen!$I$21,'StB-D1 Besondere Lstg'!M112=TRUE),'StB-D1 Besondere Lstg'!H112,"")</f>
        <v/>
      </c>
      <c r="D157" s="1192" t="str">
        <f>IF(AND(Projektgrundlagen!$I$21,'StB-D1 Besondere Lstg'!M112=TRUE),'StB-D1 Besondere Lstg'!I112,IF(AND(Projektgrundlagen!$I$22,'HB-D1 Besondere Lstg Land'!M112=TRUE),(IF('HB-D1 Besondere Lstg Land'!H112&gt;0,"v.H.","pauschal")),IF(AND(Projektgrundlagen!$I$23,'HB-D2 Besondere Lstg Bund'!M112=TRUE),(IF('HB-D2 Besondere Lstg Bund'!H112&gt;0,"v.H.","pauschal")),"")))</f>
        <v/>
      </c>
      <c r="E157" s="1192" t="str">
        <f>IF(AND(Projektgrundlagen!$I$21,'StB-D1 Besondere Lstg'!M112=TRUE),'StB-D1 Besondere Lstg'!J112,IF(AND(Projektgrundlagen!$I$22,'HB-D1 Besondere Lstg Land'!M112=TRUE),'HB-D1 Besondere Lstg Land'!H112+'HB-D1 Besondere Lstg Land'!J112,IF(AND(Projektgrundlagen!$I$23,'HB-D2 Besondere Lstg Bund'!M112=TRUE),'HB-D2 Besondere Lstg Bund'!H112+'HB-D2 Besondere Lstg Bund'!J112,"")))</f>
        <v/>
      </c>
      <c r="F157" s="1192" t="str">
        <f>IF(AND(Projektgrundlagen!$I$21,'StB-D1 Besondere Lstg'!M112=TRUE),'StB-D1 Besondere Lstg'!K112,IF(AND(Projektgrundlagen!$I$22,'HB-D1 Besondere Lstg Land'!M112=TRUE),'HB-D1 Besondere Lstg Land'!K112,IF(AND(Projektgrundlagen!$I$23,'HB-D2 Besondere Lstg Bund'!M112=TRUE),'HB-D2 Besondere Lstg Bund'!K112,"")))</f>
        <v/>
      </c>
      <c r="G157" s="1200"/>
      <c r="H157" s="1201"/>
    </row>
    <row r="158" spans="2:8" ht="14.25">
      <c r="B158" t="str">
        <f>IF(AND(Projektgrundlagen!$I$21,'StB-D1 Besondere Lstg'!M113=TRUE),'StB-D1 Besondere Lstg'!C113&amp;" "&amp;'StB-D1 Besondere Lstg'!F113&amp;" "&amp;'StB-D1 Besondere Lstg'!F114,IF(AND(Projektgrundlagen!$I$22,'HB-D1 Besondere Lstg Land'!M113=TRUE),'HB-D1 Besondere Lstg Land'!C113&amp;" "&amp;'HB-D1 Besondere Lstg Land'!F113&amp;" "&amp;'HB-D1 Besondere Lstg Land'!F114,IF(AND(Projektgrundlagen!$I$23,'HB-D2 Besondere Lstg Bund'!M113=TRUE),'HB-D2 Besondere Lstg Bund'!C113&amp;" "&amp;'HB-D2 Besondere Lstg Bund'!F113&amp;" "&amp;'HB-D2 Besondere Lstg Bund'!F114,"")))</f>
        <v/>
      </c>
      <c r="C158" s="1192" t="str">
        <f>IF(AND(Projektgrundlagen!$I$21,'StB-D1 Besondere Lstg'!M113=TRUE),'StB-D1 Besondere Lstg'!H113,"")</f>
        <v/>
      </c>
      <c r="D158" s="1192" t="str">
        <f>IF(AND(Projektgrundlagen!$I$21,'StB-D1 Besondere Lstg'!M113=TRUE),'StB-D1 Besondere Lstg'!I113,IF(AND(Projektgrundlagen!$I$22,'HB-D1 Besondere Lstg Land'!M113=TRUE),(IF('HB-D1 Besondere Lstg Land'!H113&gt;0,"v.H.","pauschal")),IF(AND(Projektgrundlagen!$I$23,'HB-D2 Besondere Lstg Bund'!M113=TRUE),(IF('HB-D2 Besondere Lstg Bund'!H113&gt;0,"v.H.","pauschal")),"")))</f>
        <v/>
      </c>
      <c r="E158" s="1192" t="str">
        <f>IF(AND(Projektgrundlagen!$I$21,'StB-D1 Besondere Lstg'!M113=TRUE),'StB-D1 Besondere Lstg'!J113,IF(AND(Projektgrundlagen!$I$22,'HB-D1 Besondere Lstg Land'!M113=TRUE),'HB-D1 Besondere Lstg Land'!H113+'HB-D1 Besondere Lstg Land'!J113,IF(AND(Projektgrundlagen!$I$23,'HB-D2 Besondere Lstg Bund'!M113=TRUE),'HB-D2 Besondere Lstg Bund'!H113+'HB-D2 Besondere Lstg Bund'!J113,"")))</f>
        <v/>
      </c>
      <c r="F158" s="1192" t="str">
        <f>IF(AND(Projektgrundlagen!$I$21,'StB-D1 Besondere Lstg'!M113=TRUE),'StB-D1 Besondere Lstg'!K113,IF(AND(Projektgrundlagen!$I$22,'HB-D1 Besondere Lstg Land'!M113=TRUE),'HB-D1 Besondere Lstg Land'!K113,IF(AND(Projektgrundlagen!$I$23,'HB-D2 Besondere Lstg Bund'!M113=TRUE),'HB-D2 Besondere Lstg Bund'!K113,"")))</f>
        <v/>
      </c>
      <c r="G158" s="1200"/>
      <c r="H158" s="1201"/>
    </row>
    <row r="159" spans="2:8" ht="14.25">
      <c r="B159" t="str">
        <f>IF(AND(Projektgrundlagen!$I$21,'StB-D1 Besondere Lstg'!M114=TRUE),'StB-D1 Besondere Lstg'!C114&amp;" "&amp;'StB-D1 Besondere Lstg'!F114&amp;" "&amp;'StB-D1 Besondere Lstg'!F115,IF(AND(Projektgrundlagen!$I$22,'HB-D1 Besondere Lstg Land'!M114=TRUE),'HB-D1 Besondere Lstg Land'!C114&amp;" "&amp;'HB-D1 Besondere Lstg Land'!F114&amp;" "&amp;'HB-D1 Besondere Lstg Land'!F115,IF(AND(Projektgrundlagen!$I$23,'HB-D2 Besondere Lstg Bund'!M114=TRUE),'HB-D2 Besondere Lstg Bund'!C114&amp;" "&amp;'HB-D2 Besondere Lstg Bund'!F114&amp;" "&amp;'HB-D2 Besondere Lstg Bund'!F115,"")))</f>
        <v/>
      </c>
      <c r="C159" s="1192" t="str">
        <f>IF(AND(Projektgrundlagen!$I$21,'StB-D1 Besondere Lstg'!M114=TRUE),'StB-D1 Besondere Lstg'!H114,"")</f>
        <v/>
      </c>
      <c r="D159" s="1192" t="str">
        <f>IF(AND(Projektgrundlagen!$I$21,'StB-D1 Besondere Lstg'!M114=TRUE),'StB-D1 Besondere Lstg'!I114,IF(AND(Projektgrundlagen!$I$22,'HB-D1 Besondere Lstg Land'!M114=TRUE),(IF('HB-D1 Besondere Lstg Land'!H114&gt;0,"v.H.","pauschal")),IF(AND(Projektgrundlagen!$I$23,'HB-D2 Besondere Lstg Bund'!M114=TRUE),(IF('HB-D2 Besondere Lstg Bund'!H114&gt;0,"v.H.","pauschal")),"")))</f>
        <v/>
      </c>
      <c r="E159" s="1192" t="str">
        <f>IF(AND(Projektgrundlagen!$I$21,'StB-D1 Besondere Lstg'!M114=TRUE),'StB-D1 Besondere Lstg'!J114,IF(AND(Projektgrundlagen!$I$22,'HB-D1 Besondere Lstg Land'!M114=TRUE),'HB-D1 Besondere Lstg Land'!H114+'HB-D1 Besondere Lstg Land'!J114,IF(AND(Projektgrundlagen!$I$23,'HB-D2 Besondere Lstg Bund'!M114=TRUE),'HB-D2 Besondere Lstg Bund'!H114+'HB-D2 Besondere Lstg Bund'!J114,"")))</f>
        <v/>
      </c>
      <c r="F159" s="1192" t="str">
        <f>IF(AND(Projektgrundlagen!$I$21,'StB-D1 Besondere Lstg'!M114=TRUE),'StB-D1 Besondere Lstg'!K114,IF(AND(Projektgrundlagen!$I$22,'HB-D1 Besondere Lstg Land'!M114=TRUE),'HB-D1 Besondere Lstg Land'!K114,IF(AND(Projektgrundlagen!$I$23,'HB-D2 Besondere Lstg Bund'!M114=TRUE),'HB-D2 Besondere Lstg Bund'!K114,"")))</f>
        <v/>
      </c>
      <c r="G159" s="1200"/>
      <c r="H159" s="1201"/>
    </row>
    <row r="160" spans="2:8" ht="14.25">
      <c r="B160" t="str">
        <f>IF(AND(Projektgrundlagen!$I$21,'StB-D1 Besondere Lstg'!M115=TRUE),'StB-D1 Besondere Lstg'!C115&amp;" "&amp;'StB-D1 Besondere Lstg'!F115&amp;" "&amp;'StB-D1 Besondere Lstg'!F116,IF(AND(Projektgrundlagen!$I$22,'HB-D1 Besondere Lstg Land'!M115=TRUE),'HB-D1 Besondere Lstg Land'!C115&amp;" "&amp;'HB-D1 Besondere Lstg Land'!F115&amp;" "&amp;'HB-D1 Besondere Lstg Land'!F116,IF(AND(Projektgrundlagen!$I$23,'HB-D2 Besondere Lstg Bund'!M115=TRUE),'HB-D2 Besondere Lstg Bund'!C115&amp;" "&amp;'HB-D2 Besondere Lstg Bund'!F115&amp;" "&amp;'HB-D2 Besondere Lstg Bund'!F116,"")))</f>
        <v/>
      </c>
      <c r="C160" s="1192" t="str">
        <f>IF(AND(Projektgrundlagen!$I$21,'StB-D1 Besondere Lstg'!M115=TRUE),'StB-D1 Besondere Lstg'!H115,"")</f>
        <v/>
      </c>
      <c r="D160" s="1192" t="str">
        <f>IF(AND(Projektgrundlagen!$I$21,'StB-D1 Besondere Lstg'!M115=TRUE),'StB-D1 Besondere Lstg'!I115,IF(AND(Projektgrundlagen!$I$22,'HB-D1 Besondere Lstg Land'!M115=TRUE),(IF('HB-D1 Besondere Lstg Land'!H115&gt;0,"v.H.","pauschal")),IF(AND(Projektgrundlagen!$I$23,'HB-D2 Besondere Lstg Bund'!M115=TRUE),(IF('HB-D2 Besondere Lstg Bund'!H115&gt;0,"v.H.","pauschal")),"")))</f>
        <v/>
      </c>
      <c r="E160" s="1192" t="str">
        <f>IF(AND(Projektgrundlagen!$I$21,'StB-D1 Besondere Lstg'!M115=TRUE),'StB-D1 Besondere Lstg'!J115,IF(AND(Projektgrundlagen!$I$22,'HB-D1 Besondere Lstg Land'!M115=TRUE),'HB-D1 Besondere Lstg Land'!H115+'HB-D1 Besondere Lstg Land'!J115,IF(AND(Projektgrundlagen!$I$23,'HB-D2 Besondere Lstg Bund'!M115=TRUE),'HB-D2 Besondere Lstg Bund'!H115+'HB-D2 Besondere Lstg Bund'!J115,"")))</f>
        <v/>
      </c>
      <c r="F160" s="1192" t="str">
        <f>IF(AND(Projektgrundlagen!$I$21,'StB-D1 Besondere Lstg'!M115=TRUE),'StB-D1 Besondere Lstg'!K115,IF(AND(Projektgrundlagen!$I$22,'HB-D1 Besondere Lstg Land'!M115=TRUE),'HB-D1 Besondere Lstg Land'!K115,IF(AND(Projektgrundlagen!$I$23,'HB-D2 Besondere Lstg Bund'!M115=TRUE),'HB-D2 Besondere Lstg Bund'!K115,"")))</f>
        <v/>
      </c>
      <c r="G160" s="1200"/>
      <c r="H160" s="1201"/>
    </row>
    <row r="161" spans="2:8" ht="14.25">
      <c r="B161" t="str">
        <f>IF(AND(Projektgrundlagen!$I$21,'StB-D1 Besondere Lstg'!M116=TRUE),'StB-D1 Besondere Lstg'!C116&amp;" "&amp;'StB-D1 Besondere Lstg'!F116&amp;" "&amp;'StB-D1 Besondere Lstg'!F117,IF(AND(Projektgrundlagen!$I$22,'HB-D1 Besondere Lstg Land'!M116=TRUE),'HB-D1 Besondere Lstg Land'!C116&amp;" "&amp;'HB-D1 Besondere Lstg Land'!F116&amp;" "&amp;'HB-D1 Besondere Lstg Land'!F117,IF(AND(Projektgrundlagen!$I$23,'HB-D2 Besondere Lstg Bund'!M116=TRUE),'HB-D2 Besondere Lstg Bund'!C116&amp;" "&amp;'HB-D2 Besondere Lstg Bund'!F116&amp;" "&amp;'HB-D2 Besondere Lstg Bund'!F117,"")))</f>
        <v/>
      </c>
      <c r="C161" s="1192" t="str">
        <f>IF(AND(Projektgrundlagen!$I$21,'StB-D1 Besondere Lstg'!M116=TRUE),'StB-D1 Besondere Lstg'!H116,"")</f>
        <v/>
      </c>
      <c r="D161" s="1192" t="str">
        <f>IF(AND(Projektgrundlagen!$I$21,'StB-D1 Besondere Lstg'!M116=TRUE),'StB-D1 Besondere Lstg'!I116,IF(AND(Projektgrundlagen!$I$22,'HB-D1 Besondere Lstg Land'!M116=TRUE),(IF('HB-D1 Besondere Lstg Land'!H116&gt;0,"v.H.","pauschal")),IF(AND(Projektgrundlagen!$I$23,'HB-D2 Besondere Lstg Bund'!M116=TRUE),(IF('HB-D2 Besondere Lstg Bund'!H116&gt;0,"v.H.","pauschal")),"")))</f>
        <v/>
      </c>
      <c r="E161" s="1192" t="str">
        <f>IF(AND(Projektgrundlagen!$I$21,'StB-D1 Besondere Lstg'!M116=TRUE),'StB-D1 Besondere Lstg'!J116,IF(AND(Projektgrundlagen!$I$22,'HB-D1 Besondere Lstg Land'!M116=TRUE),'HB-D1 Besondere Lstg Land'!H116+'HB-D1 Besondere Lstg Land'!J116,IF(AND(Projektgrundlagen!$I$23,'HB-D2 Besondere Lstg Bund'!M116=TRUE),'HB-D2 Besondere Lstg Bund'!H116+'HB-D2 Besondere Lstg Bund'!J116,"")))</f>
        <v/>
      </c>
      <c r="F161" s="1192" t="str">
        <f>IF(AND(Projektgrundlagen!$I$21,'StB-D1 Besondere Lstg'!M116=TRUE),'StB-D1 Besondere Lstg'!K116,IF(AND(Projektgrundlagen!$I$22,'HB-D1 Besondere Lstg Land'!M116=TRUE),'HB-D1 Besondere Lstg Land'!K116,IF(AND(Projektgrundlagen!$I$23,'HB-D2 Besondere Lstg Bund'!M116=TRUE),'HB-D2 Besondere Lstg Bund'!K116,"")))</f>
        <v/>
      </c>
      <c r="G161" s="1200"/>
      <c r="H161" s="1201"/>
    </row>
    <row r="162" spans="2:8" ht="14.25">
      <c r="B162" t="str">
        <f>IF(AND(Projektgrundlagen!$I$21,'StB-D1 Besondere Lstg'!M117=TRUE),'StB-D1 Besondere Lstg'!C117&amp;" "&amp;'StB-D1 Besondere Lstg'!F117&amp;" "&amp;'StB-D1 Besondere Lstg'!F118,IF(AND(Projektgrundlagen!$I$22,'HB-D1 Besondere Lstg Land'!M117=TRUE),'HB-D1 Besondere Lstg Land'!C117&amp;" "&amp;'HB-D1 Besondere Lstg Land'!F117&amp;" "&amp;'HB-D1 Besondere Lstg Land'!F118,IF(AND(Projektgrundlagen!$I$23,'HB-D2 Besondere Lstg Bund'!M117=TRUE),'HB-D2 Besondere Lstg Bund'!C117&amp;" "&amp;'HB-D2 Besondere Lstg Bund'!F117&amp;" "&amp;'HB-D2 Besondere Lstg Bund'!F118,"")))</f>
        <v/>
      </c>
      <c r="C162" s="1192" t="str">
        <f>IF(AND(Projektgrundlagen!$I$21,'StB-D1 Besondere Lstg'!M117=TRUE),'StB-D1 Besondere Lstg'!H117,"")</f>
        <v/>
      </c>
      <c r="D162" s="1192" t="str">
        <f>IF(AND(Projektgrundlagen!$I$21,'StB-D1 Besondere Lstg'!M117=TRUE),'StB-D1 Besondere Lstg'!I117,IF(AND(Projektgrundlagen!$I$22,'HB-D1 Besondere Lstg Land'!M117=TRUE),(IF('HB-D1 Besondere Lstg Land'!H117&gt;0,"v.H.","pauschal")),IF(AND(Projektgrundlagen!$I$23,'HB-D2 Besondere Lstg Bund'!M117=TRUE),(IF('HB-D2 Besondere Lstg Bund'!H117&gt;0,"v.H.","pauschal")),"")))</f>
        <v/>
      </c>
      <c r="E162" s="1192" t="str">
        <f>IF(AND(Projektgrundlagen!$I$21,'StB-D1 Besondere Lstg'!M117=TRUE),'StB-D1 Besondere Lstg'!J117,IF(AND(Projektgrundlagen!$I$22,'HB-D1 Besondere Lstg Land'!M117=TRUE),'HB-D1 Besondere Lstg Land'!H117+'HB-D1 Besondere Lstg Land'!J117,IF(AND(Projektgrundlagen!$I$23,'HB-D2 Besondere Lstg Bund'!M117=TRUE),'HB-D2 Besondere Lstg Bund'!H117+'HB-D2 Besondere Lstg Bund'!J117,"")))</f>
        <v/>
      </c>
      <c r="F162" s="1192" t="str">
        <f>IF(AND(Projektgrundlagen!$I$21,'StB-D1 Besondere Lstg'!M117=TRUE),'StB-D1 Besondere Lstg'!K117,IF(AND(Projektgrundlagen!$I$22,'HB-D1 Besondere Lstg Land'!M117=TRUE),'HB-D1 Besondere Lstg Land'!K117,IF(AND(Projektgrundlagen!$I$23,'HB-D2 Besondere Lstg Bund'!M117=TRUE),'HB-D2 Besondere Lstg Bund'!K117,"")))</f>
        <v/>
      </c>
      <c r="G162" s="1200"/>
      <c r="H162" s="1201"/>
    </row>
    <row r="163" spans="2:8" ht="14.25">
      <c r="B163" t="str">
        <f>IF(AND(Projektgrundlagen!$I$21,'StB-D1 Besondere Lstg'!M118=TRUE),'StB-D1 Besondere Lstg'!C118&amp;" "&amp;'StB-D1 Besondere Lstg'!F118&amp;" "&amp;'StB-D1 Besondere Lstg'!F119,IF(AND(Projektgrundlagen!$I$22,'HB-D1 Besondere Lstg Land'!M118=TRUE),'HB-D1 Besondere Lstg Land'!C118&amp;" "&amp;'HB-D1 Besondere Lstg Land'!F118&amp;" "&amp;'HB-D1 Besondere Lstg Land'!F119,IF(AND(Projektgrundlagen!$I$23,'HB-D2 Besondere Lstg Bund'!M118=TRUE),'HB-D2 Besondere Lstg Bund'!C118&amp;" "&amp;'HB-D2 Besondere Lstg Bund'!F118&amp;" "&amp;'HB-D2 Besondere Lstg Bund'!F119,"")))</f>
        <v/>
      </c>
      <c r="C163" s="1192" t="str">
        <f>IF(AND(Projektgrundlagen!$I$21,'StB-D1 Besondere Lstg'!M118=TRUE),'StB-D1 Besondere Lstg'!H118,"")</f>
        <v/>
      </c>
      <c r="D163" s="1192" t="str">
        <f>IF(AND(Projektgrundlagen!$I$21,'StB-D1 Besondere Lstg'!M118=TRUE),'StB-D1 Besondere Lstg'!I118,IF(AND(Projektgrundlagen!$I$22,'HB-D1 Besondere Lstg Land'!M118=TRUE),(IF('HB-D1 Besondere Lstg Land'!H118&gt;0,"v.H.","pauschal")),IF(AND(Projektgrundlagen!$I$23,'HB-D2 Besondere Lstg Bund'!M118=TRUE),(IF('HB-D2 Besondere Lstg Bund'!H118&gt;0,"v.H.","pauschal")),"")))</f>
        <v/>
      </c>
      <c r="E163" s="1192" t="str">
        <f>IF(AND(Projektgrundlagen!$I$21,'StB-D1 Besondere Lstg'!M118=TRUE),'StB-D1 Besondere Lstg'!J118,IF(AND(Projektgrundlagen!$I$22,'HB-D1 Besondere Lstg Land'!M118=TRUE),'HB-D1 Besondere Lstg Land'!H118+'HB-D1 Besondere Lstg Land'!J118,IF(AND(Projektgrundlagen!$I$23,'HB-D2 Besondere Lstg Bund'!M118=TRUE),'HB-D2 Besondere Lstg Bund'!H118+'HB-D2 Besondere Lstg Bund'!J118,"")))</f>
        <v/>
      </c>
      <c r="F163" s="1192" t="str">
        <f>IF(AND(Projektgrundlagen!$I$21,'StB-D1 Besondere Lstg'!M118=TRUE),'StB-D1 Besondere Lstg'!K118,IF(AND(Projektgrundlagen!$I$22,'HB-D1 Besondere Lstg Land'!M118=TRUE),'HB-D1 Besondere Lstg Land'!K118,IF(AND(Projektgrundlagen!$I$23,'HB-D2 Besondere Lstg Bund'!M118=TRUE),'HB-D2 Besondere Lstg Bund'!K118,"")))</f>
        <v/>
      </c>
      <c r="G163" s="1200"/>
      <c r="H163" s="1201"/>
    </row>
    <row r="164" spans="2:8" ht="14.25">
      <c r="B164" t="str">
        <f>IF(AND(Projektgrundlagen!$I$21,'StB-D1 Besondere Lstg'!M119=TRUE),'StB-D1 Besondere Lstg'!C119&amp;" "&amp;'StB-D1 Besondere Lstg'!F119&amp;" "&amp;'StB-D1 Besondere Lstg'!F120,IF(AND(Projektgrundlagen!$I$22,'HB-D1 Besondere Lstg Land'!M119=TRUE),'HB-D1 Besondere Lstg Land'!C119&amp;" "&amp;'HB-D1 Besondere Lstg Land'!F119&amp;" "&amp;'HB-D1 Besondere Lstg Land'!F120,IF(AND(Projektgrundlagen!$I$23,'HB-D2 Besondere Lstg Bund'!M119=TRUE),'HB-D2 Besondere Lstg Bund'!C119&amp;" "&amp;'HB-D2 Besondere Lstg Bund'!F119&amp;" "&amp;'HB-D2 Besondere Lstg Bund'!F120,"")))</f>
        <v/>
      </c>
      <c r="C164" s="1192" t="str">
        <f>IF(AND(Projektgrundlagen!$I$21,'StB-D1 Besondere Lstg'!M119=TRUE),'StB-D1 Besondere Lstg'!H119,"")</f>
        <v/>
      </c>
      <c r="D164" s="1192" t="str">
        <f>IF(AND(Projektgrundlagen!$I$21,'StB-D1 Besondere Lstg'!M119=TRUE),'StB-D1 Besondere Lstg'!I119,IF(AND(Projektgrundlagen!$I$22,'HB-D1 Besondere Lstg Land'!M119=TRUE),(IF('HB-D1 Besondere Lstg Land'!H119&gt;0,"v.H.","pauschal")),IF(AND(Projektgrundlagen!$I$23,'HB-D2 Besondere Lstg Bund'!M119=TRUE),(IF('HB-D2 Besondere Lstg Bund'!H119&gt;0,"v.H.","pauschal")),"")))</f>
        <v/>
      </c>
      <c r="E164" s="1192" t="str">
        <f>IF(AND(Projektgrundlagen!$I$21,'StB-D1 Besondere Lstg'!M119=TRUE),'StB-D1 Besondere Lstg'!J119,IF(AND(Projektgrundlagen!$I$22,'HB-D1 Besondere Lstg Land'!M119=TRUE),'HB-D1 Besondere Lstg Land'!H119+'HB-D1 Besondere Lstg Land'!J119,IF(AND(Projektgrundlagen!$I$23,'HB-D2 Besondere Lstg Bund'!M119=TRUE),'HB-D2 Besondere Lstg Bund'!H119+'HB-D2 Besondere Lstg Bund'!J119,"")))</f>
        <v/>
      </c>
      <c r="F164" s="1192" t="str">
        <f>IF(AND(Projektgrundlagen!$I$21,'StB-D1 Besondere Lstg'!M119=TRUE),'StB-D1 Besondere Lstg'!K119,IF(AND(Projektgrundlagen!$I$22,'HB-D1 Besondere Lstg Land'!M119=TRUE),'HB-D1 Besondere Lstg Land'!K119,IF(AND(Projektgrundlagen!$I$23,'HB-D2 Besondere Lstg Bund'!M119=TRUE),'HB-D2 Besondere Lstg Bund'!K119,"")))</f>
        <v/>
      </c>
      <c r="G164" s="1200"/>
      <c r="H164" s="1201"/>
    </row>
    <row r="165" spans="2:8" ht="14.25">
      <c r="B165" t="str">
        <f>IF(AND(Projektgrundlagen!$I$21,'StB-D1 Besondere Lstg'!M120=TRUE),'StB-D1 Besondere Lstg'!C120&amp;" "&amp;'StB-D1 Besondere Lstg'!F120&amp;" "&amp;'StB-D1 Besondere Lstg'!F121,IF(AND(Projektgrundlagen!$I$22,'HB-D1 Besondere Lstg Land'!M120=TRUE),'HB-D1 Besondere Lstg Land'!C120&amp;" "&amp;'HB-D1 Besondere Lstg Land'!F120&amp;" "&amp;'HB-D1 Besondere Lstg Land'!F121,IF(AND(Projektgrundlagen!$I$23,'HB-D2 Besondere Lstg Bund'!M120=TRUE),'HB-D2 Besondere Lstg Bund'!C120&amp;" "&amp;'HB-D2 Besondere Lstg Bund'!F120&amp;" "&amp;'HB-D2 Besondere Lstg Bund'!F121,"")))</f>
        <v/>
      </c>
      <c r="C165" s="1192" t="str">
        <f>IF(AND(Projektgrundlagen!$I$21,'StB-D1 Besondere Lstg'!M120=TRUE),'StB-D1 Besondere Lstg'!H120,"")</f>
        <v/>
      </c>
      <c r="D165" s="1192" t="str">
        <f>IF(AND(Projektgrundlagen!$I$21,'StB-D1 Besondere Lstg'!M120=TRUE),'StB-D1 Besondere Lstg'!I120,IF(AND(Projektgrundlagen!$I$22,'HB-D1 Besondere Lstg Land'!M120=TRUE),(IF('HB-D1 Besondere Lstg Land'!H120&gt;0,"v.H.","pauschal")),IF(AND(Projektgrundlagen!$I$23,'HB-D2 Besondere Lstg Bund'!M120=TRUE),(IF('HB-D2 Besondere Lstg Bund'!H120&gt;0,"v.H.","pauschal")),"")))</f>
        <v/>
      </c>
      <c r="E165" s="1192" t="str">
        <f>IF(AND(Projektgrundlagen!$I$21,'StB-D1 Besondere Lstg'!M120=TRUE),'StB-D1 Besondere Lstg'!J120,IF(AND(Projektgrundlagen!$I$22,'HB-D1 Besondere Lstg Land'!M120=TRUE),'HB-D1 Besondere Lstg Land'!H120+'HB-D1 Besondere Lstg Land'!J120,IF(AND(Projektgrundlagen!$I$23,'HB-D2 Besondere Lstg Bund'!M120=TRUE),'HB-D2 Besondere Lstg Bund'!H120+'HB-D2 Besondere Lstg Bund'!J120,"")))</f>
        <v/>
      </c>
      <c r="F165" s="1192" t="str">
        <f>IF(AND(Projektgrundlagen!$I$21,'StB-D1 Besondere Lstg'!M120=TRUE),'StB-D1 Besondere Lstg'!K120,IF(AND(Projektgrundlagen!$I$22,'HB-D1 Besondere Lstg Land'!M120=TRUE),'HB-D1 Besondere Lstg Land'!K120,IF(AND(Projektgrundlagen!$I$23,'HB-D2 Besondere Lstg Bund'!M120=TRUE),'HB-D2 Besondere Lstg Bund'!K120,"")))</f>
        <v/>
      </c>
      <c r="G165" s="1200"/>
      <c r="H165" s="1201"/>
    </row>
    <row r="166" spans="2:8" ht="14.25">
      <c r="B166" t="str">
        <f>IF(AND(Projektgrundlagen!$I$21,'StB-D1 Besondere Lstg'!M121=TRUE),'StB-D1 Besondere Lstg'!C121&amp;" "&amp;'StB-D1 Besondere Lstg'!F121&amp;" "&amp;'StB-D1 Besondere Lstg'!F122,IF(AND(Projektgrundlagen!$I$22,'HB-D1 Besondere Lstg Land'!M121=TRUE),'HB-D1 Besondere Lstg Land'!C121&amp;" "&amp;'HB-D1 Besondere Lstg Land'!F121&amp;" "&amp;'HB-D1 Besondere Lstg Land'!F122,IF(AND(Projektgrundlagen!$I$23,'HB-D2 Besondere Lstg Bund'!M121=TRUE),'HB-D2 Besondere Lstg Bund'!C121&amp;" "&amp;'HB-D2 Besondere Lstg Bund'!F121&amp;" "&amp;'HB-D2 Besondere Lstg Bund'!F122,"")))</f>
        <v/>
      </c>
      <c r="C166" s="1192" t="str">
        <f>IF(AND(Projektgrundlagen!$I$21,'StB-D1 Besondere Lstg'!M121=TRUE),'StB-D1 Besondere Lstg'!H121,"")</f>
        <v/>
      </c>
      <c r="D166" s="1192" t="str">
        <f>IF(AND(Projektgrundlagen!$I$21,'StB-D1 Besondere Lstg'!M121=TRUE),'StB-D1 Besondere Lstg'!I121,IF(AND(Projektgrundlagen!$I$22,'HB-D1 Besondere Lstg Land'!M121=TRUE),(IF('HB-D1 Besondere Lstg Land'!H121&gt;0,"v.H.","pauschal")),IF(AND(Projektgrundlagen!$I$23,'HB-D2 Besondere Lstg Bund'!M121=TRUE),(IF('HB-D2 Besondere Lstg Bund'!H121&gt;0,"v.H.","pauschal")),"")))</f>
        <v/>
      </c>
      <c r="E166" s="1192" t="str">
        <f>IF(AND(Projektgrundlagen!$I$21,'StB-D1 Besondere Lstg'!M121=TRUE),'StB-D1 Besondere Lstg'!J121,IF(AND(Projektgrundlagen!$I$22,'HB-D1 Besondere Lstg Land'!M121=TRUE),'HB-D1 Besondere Lstg Land'!H121+'HB-D1 Besondere Lstg Land'!J121,IF(AND(Projektgrundlagen!$I$23,'HB-D2 Besondere Lstg Bund'!M121=TRUE),'HB-D2 Besondere Lstg Bund'!H121+'HB-D2 Besondere Lstg Bund'!J121,"")))</f>
        <v/>
      </c>
      <c r="F166" s="1192" t="str">
        <f>IF(AND(Projektgrundlagen!$I$21,'StB-D1 Besondere Lstg'!M121=TRUE),'StB-D1 Besondere Lstg'!K121,IF(AND(Projektgrundlagen!$I$22,'HB-D1 Besondere Lstg Land'!M121=TRUE),'HB-D1 Besondere Lstg Land'!K121,IF(AND(Projektgrundlagen!$I$23,'HB-D2 Besondere Lstg Bund'!M121=TRUE),'HB-D2 Besondere Lstg Bund'!K121,"")))</f>
        <v/>
      </c>
      <c r="G166" s="1200"/>
      <c r="H166" s="1201"/>
    </row>
    <row r="167" spans="2:8" ht="14.25">
      <c r="B167" t="str">
        <f>IF(AND(Projektgrundlagen!$I$21,'StB-D1 Besondere Lstg'!M122=TRUE),'StB-D1 Besondere Lstg'!C122&amp;" "&amp;'StB-D1 Besondere Lstg'!F122&amp;" "&amp;'StB-D1 Besondere Lstg'!F123,IF(AND(Projektgrundlagen!$I$22,'HB-D1 Besondere Lstg Land'!M122=TRUE),'HB-D1 Besondere Lstg Land'!C122&amp;" "&amp;'HB-D1 Besondere Lstg Land'!F122&amp;" "&amp;'HB-D1 Besondere Lstg Land'!F123,IF(AND(Projektgrundlagen!$I$23,'HB-D2 Besondere Lstg Bund'!M122=TRUE),'HB-D2 Besondere Lstg Bund'!C122&amp;" "&amp;'HB-D2 Besondere Lstg Bund'!F122&amp;" "&amp;'HB-D2 Besondere Lstg Bund'!F123,"")))</f>
        <v/>
      </c>
      <c r="C167" s="1192" t="str">
        <f>IF(AND(Projektgrundlagen!$I$21,'StB-D1 Besondere Lstg'!M122=TRUE),'StB-D1 Besondere Lstg'!H122,"")</f>
        <v/>
      </c>
      <c r="D167" s="1192" t="str">
        <f>IF(AND(Projektgrundlagen!$I$21,'StB-D1 Besondere Lstg'!M122=TRUE),'StB-D1 Besondere Lstg'!I122,IF(AND(Projektgrundlagen!$I$22,'HB-D1 Besondere Lstg Land'!M122=TRUE),(IF('HB-D1 Besondere Lstg Land'!H122&gt;0,"v.H.","pauschal")),IF(AND(Projektgrundlagen!$I$23,'HB-D2 Besondere Lstg Bund'!M122=TRUE),(IF('HB-D2 Besondere Lstg Bund'!H122&gt;0,"v.H.","pauschal")),"")))</f>
        <v/>
      </c>
      <c r="E167" s="1192" t="str">
        <f>IF(AND(Projektgrundlagen!$I$21,'StB-D1 Besondere Lstg'!M122=TRUE),'StB-D1 Besondere Lstg'!J122,IF(AND(Projektgrundlagen!$I$22,'HB-D1 Besondere Lstg Land'!M122=TRUE),'HB-D1 Besondere Lstg Land'!H122+'HB-D1 Besondere Lstg Land'!J122,IF(AND(Projektgrundlagen!$I$23,'HB-D2 Besondere Lstg Bund'!M122=TRUE),'HB-D2 Besondere Lstg Bund'!H122+'HB-D2 Besondere Lstg Bund'!J122,"")))</f>
        <v/>
      </c>
      <c r="F167" s="1192" t="str">
        <f>IF(AND(Projektgrundlagen!$I$21,'StB-D1 Besondere Lstg'!M122=TRUE),'StB-D1 Besondere Lstg'!K122,IF(AND(Projektgrundlagen!$I$22,'HB-D1 Besondere Lstg Land'!M122=TRUE),'HB-D1 Besondere Lstg Land'!K122,IF(AND(Projektgrundlagen!$I$23,'HB-D2 Besondere Lstg Bund'!M122=TRUE),'HB-D2 Besondere Lstg Bund'!K122,"")))</f>
        <v/>
      </c>
      <c r="G167" s="1200"/>
      <c r="H167" s="1201"/>
    </row>
    <row r="168" spans="2:8" ht="14.25">
      <c r="B168" t="str">
        <f>IF(AND(Projektgrundlagen!$I$21,'StB-D1 Besondere Lstg'!M123=TRUE),'StB-D1 Besondere Lstg'!C123&amp;" "&amp;'StB-D1 Besondere Lstg'!F123&amp;" "&amp;'StB-D1 Besondere Lstg'!F124,IF(AND(Projektgrundlagen!$I$22,'HB-D1 Besondere Lstg Land'!M123=TRUE),'HB-D1 Besondere Lstg Land'!C123&amp;" "&amp;'HB-D1 Besondere Lstg Land'!F123&amp;" "&amp;'HB-D1 Besondere Lstg Land'!F124,IF(AND(Projektgrundlagen!$I$23,'HB-D2 Besondere Lstg Bund'!M123=TRUE),'HB-D2 Besondere Lstg Bund'!C123&amp;" "&amp;'HB-D2 Besondere Lstg Bund'!F123&amp;" "&amp;'HB-D2 Besondere Lstg Bund'!F124,"")))</f>
        <v/>
      </c>
      <c r="C168" s="1192" t="str">
        <f>IF(AND(Projektgrundlagen!$I$21,'StB-D1 Besondere Lstg'!M123=TRUE),'StB-D1 Besondere Lstg'!H123,"")</f>
        <v/>
      </c>
      <c r="D168" s="1192" t="str">
        <f>IF(AND(Projektgrundlagen!$I$21,'StB-D1 Besondere Lstg'!M123=TRUE),'StB-D1 Besondere Lstg'!I123,IF(AND(Projektgrundlagen!$I$22,'HB-D1 Besondere Lstg Land'!M123=TRUE),(IF('HB-D1 Besondere Lstg Land'!H123&gt;0,"v.H.","pauschal")),IF(AND(Projektgrundlagen!$I$23,'HB-D2 Besondere Lstg Bund'!M123=TRUE),(IF('HB-D2 Besondere Lstg Bund'!H123&gt;0,"v.H.","pauschal")),"")))</f>
        <v/>
      </c>
      <c r="E168" s="1192" t="str">
        <f>IF(AND(Projektgrundlagen!$I$21,'StB-D1 Besondere Lstg'!M123=TRUE),'StB-D1 Besondere Lstg'!J123,IF(AND(Projektgrundlagen!$I$22,'HB-D1 Besondere Lstg Land'!M123=TRUE),'HB-D1 Besondere Lstg Land'!H123+'HB-D1 Besondere Lstg Land'!J123,IF(AND(Projektgrundlagen!$I$23,'HB-D2 Besondere Lstg Bund'!M123=TRUE),'HB-D2 Besondere Lstg Bund'!H123+'HB-D2 Besondere Lstg Bund'!J123,"")))</f>
        <v/>
      </c>
      <c r="F168" s="1192" t="str">
        <f>IF(AND(Projektgrundlagen!$I$21,'StB-D1 Besondere Lstg'!M123=TRUE),'StB-D1 Besondere Lstg'!K123,IF(AND(Projektgrundlagen!$I$22,'HB-D1 Besondere Lstg Land'!M123=TRUE),'HB-D1 Besondere Lstg Land'!K123,IF(AND(Projektgrundlagen!$I$23,'HB-D2 Besondere Lstg Bund'!M123=TRUE),'HB-D2 Besondere Lstg Bund'!K123,"")))</f>
        <v/>
      </c>
      <c r="G168" s="1200"/>
      <c r="H168" s="1201"/>
    </row>
    <row r="169" spans="2:8" ht="14.25">
      <c r="B169" t="str">
        <f>IF(AND(Projektgrundlagen!$I$21,'StB-D1 Besondere Lstg'!M124=TRUE),'StB-D1 Besondere Lstg'!C124&amp;" "&amp;'StB-D1 Besondere Lstg'!F124&amp;" "&amp;'StB-D1 Besondere Lstg'!F125,IF(AND(Projektgrundlagen!$I$22,'HB-D1 Besondere Lstg Land'!M124=TRUE),'HB-D1 Besondere Lstg Land'!C124&amp;" "&amp;'HB-D1 Besondere Lstg Land'!F124&amp;" "&amp;'HB-D1 Besondere Lstg Land'!F125,IF(AND(Projektgrundlagen!$I$23,'HB-D2 Besondere Lstg Bund'!M124=TRUE),'HB-D2 Besondere Lstg Bund'!C124&amp;" "&amp;'HB-D2 Besondere Lstg Bund'!F124&amp;" "&amp;'HB-D2 Besondere Lstg Bund'!F125,"")))</f>
        <v/>
      </c>
      <c r="C169" s="1192" t="str">
        <f>IF(AND(Projektgrundlagen!$I$21,'StB-D1 Besondere Lstg'!M124=TRUE),'StB-D1 Besondere Lstg'!H124,"")</f>
        <v/>
      </c>
      <c r="D169" s="1192" t="str">
        <f>IF(AND(Projektgrundlagen!$I$21,'StB-D1 Besondere Lstg'!M124=TRUE),'StB-D1 Besondere Lstg'!I124,IF(AND(Projektgrundlagen!$I$22,'HB-D1 Besondere Lstg Land'!M124=TRUE),(IF('HB-D1 Besondere Lstg Land'!H124&gt;0,"v.H.","pauschal")),IF(AND(Projektgrundlagen!$I$23,'HB-D2 Besondere Lstg Bund'!M124=TRUE),(IF('HB-D2 Besondere Lstg Bund'!H124&gt;0,"v.H.","pauschal")),"")))</f>
        <v/>
      </c>
      <c r="E169" s="1192" t="str">
        <f>IF(AND(Projektgrundlagen!$I$21,'StB-D1 Besondere Lstg'!M124=TRUE),'StB-D1 Besondere Lstg'!J124,IF(AND(Projektgrundlagen!$I$22,'HB-D1 Besondere Lstg Land'!M124=TRUE),'HB-D1 Besondere Lstg Land'!H124+'HB-D1 Besondere Lstg Land'!J124,IF(AND(Projektgrundlagen!$I$23,'HB-D2 Besondere Lstg Bund'!M124=TRUE),'HB-D2 Besondere Lstg Bund'!H124+'HB-D2 Besondere Lstg Bund'!J124,"")))</f>
        <v/>
      </c>
      <c r="F169" s="1192" t="str">
        <f>IF(AND(Projektgrundlagen!$I$21,'StB-D1 Besondere Lstg'!M124=TRUE),'StB-D1 Besondere Lstg'!K124,IF(AND(Projektgrundlagen!$I$22,'HB-D1 Besondere Lstg Land'!M124=TRUE),'HB-D1 Besondere Lstg Land'!K124,IF(AND(Projektgrundlagen!$I$23,'HB-D2 Besondere Lstg Bund'!M124=TRUE),'HB-D2 Besondere Lstg Bund'!K124,"")))</f>
        <v/>
      </c>
      <c r="G169" s="1200"/>
      <c r="H169" s="1201"/>
    </row>
    <row r="170" spans="2:8" ht="14.25">
      <c r="B170" t="str">
        <f>IF(AND(Projektgrundlagen!$I$21,'StB-D1 Besondere Lstg'!M125=TRUE),'StB-D1 Besondere Lstg'!C125&amp;" "&amp;'StB-D1 Besondere Lstg'!F125&amp;" "&amp;'StB-D1 Besondere Lstg'!F126,IF(AND(Projektgrundlagen!$I$22,'HB-D1 Besondere Lstg Land'!M125=TRUE),'HB-D1 Besondere Lstg Land'!C125&amp;" "&amp;'HB-D1 Besondere Lstg Land'!F125&amp;" "&amp;'HB-D1 Besondere Lstg Land'!F126,IF(AND(Projektgrundlagen!$I$23,'HB-D2 Besondere Lstg Bund'!M125=TRUE),'HB-D2 Besondere Lstg Bund'!C125&amp;" "&amp;'HB-D2 Besondere Lstg Bund'!F125&amp;" "&amp;'HB-D2 Besondere Lstg Bund'!F126,"")))</f>
        <v/>
      </c>
      <c r="C170" s="1192" t="str">
        <f>IF(AND(Projektgrundlagen!$I$21,'StB-D1 Besondere Lstg'!M125=TRUE),'StB-D1 Besondere Lstg'!H125,"")</f>
        <v/>
      </c>
      <c r="D170" s="1192" t="str">
        <f>IF(AND(Projektgrundlagen!$I$21,'StB-D1 Besondere Lstg'!M125=TRUE),'StB-D1 Besondere Lstg'!I125,IF(AND(Projektgrundlagen!$I$22,'HB-D1 Besondere Lstg Land'!M125=TRUE),(IF('HB-D1 Besondere Lstg Land'!H125&gt;0,"v.H.","pauschal")),IF(AND(Projektgrundlagen!$I$23,'HB-D2 Besondere Lstg Bund'!M125=TRUE),(IF('HB-D2 Besondere Lstg Bund'!H125&gt;0,"v.H.","pauschal")),"")))</f>
        <v/>
      </c>
      <c r="E170" s="1192" t="str">
        <f>IF(AND(Projektgrundlagen!$I$21,'StB-D1 Besondere Lstg'!M125=TRUE),'StB-D1 Besondere Lstg'!J125,IF(AND(Projektgrundlagen!$I$22,'HB-D1 Besondere Lstg Land'!M125=TRUE),'HB-D1 Besondere Lstg Land'!H125+'HB-D1 Besondere Lstg Land'!J125,IF(AND(Projektgrundlagen!$I$23,'HB-D2 Besondere Lstg Bund'!M125=TRUE),'HB-D2 Besondere Lstg Bund'!H125+'HB-D2 Besondere Lstg Bund'!J125,"")))</f>
        <v/>
      </c>
      <c r="F170" s="1192" t="str">
        <f>IF(AND(Projektgrundlagen!$I$21,'StB-D1 Besondere Lstg'!M125=TRUE),'StB-D1 Besondere Lstg'!K125,IF(AND(Projektgrundlagen!$I$22,'HB-D1 Besondere Lstg Land'!M125=TRUE),'HB-D1 Besondere Lstg Land'!K125,IF(AND(Projektgrundlagen!$I$23,'HB-D2 Besondere Lstg Bund'!M125=TRUE),'HB-D2 Besondere Lstg Bund'!K125,"")))</f>
        <v/>
      </c>
      <c r="G170" s="1200"/>
      <c r="H170" s="1201"/>
    </row>
    <row r="171" spans="2:8" ht="14.25">
      <c r="B171" t="str">
        <f>IF(AND(Projektgrundlagen!$I$21,'StB-D1 Besondere Lstg'!M126=TRUE),'StB-D1 Besondere Lstg'!C126&amp;" "&amp;'StB-D1 Besondere Lstg'!F126&amp;" "&amp;'StB-D1 Besondere Lstg'!F127,IF(AND(Projektgrundlagen!$I$22,'HB-D1 Besondere Lstg Land'!M126=TRUE),'HB-D1 Besondere Lstg Land'!C126&amp;" "&amp;'HB-D1 Besondere Lstg Land'!F126&amp;" "&amp;'HB-D1 Besondere Lstg Land'!F127,IF(AND(Projektgrundlagen!$I$23,'HB-D2 Besondere Lstg Bund'!M126=TRUE),'HB-D2 Besondere Lstg Bund'!C126&amp;" "&amp;'HB-D2 Besondere Lstg Bund'!F126&amp;" "&amp;'HB-D2 Besondere Lstg Bund'!F127,"")))</f>
        <v/>
      </c>
      <c r="C171" s="1192" t="str">
        <f>IF(AND(Projektgrundlagen!$I$21,'StB-D1 Besondere Lstg'!M126=TRUE),'StB-D1 Besondere Lstg'!H126,"")</f>
        <v/>
      </c>
      <c r="D171" s="1192" t="str">
        <f>IF(AND(Projektgrundlagen!$I$21,'StB-D1 Besondere Lstg'!M126=TRUE),'StB-D1 Besondere Lstg'!I126,IF(AND(Projektgrundlagen!$I$22,'HB-D1 Besondere Lstg Land'!M126=TRUE),(IF('HB-D1 Besondere Lstg Land'!H126&gt;0,"v.H.","pauschal")),IF(AND(Projektgrundlagen!$I$23,'HB-D2 Besondere Lstg Bund'!M126=TRUE),(IF('HB-D2 Besondere Lstg Bund'!H126&gt;0,"v.H.","pauschal")),"")))</f>
        <v/>
      </c>
      <c r="E171" s="1192" t="str">
        <f>IF(AND(Projektgrundlagen!$I$21,'StB-D1 Besondere Lstg'!M126=TRUE),'StB-D1 Besondere Lstg'!J126,IF(AND(Projektgrundlagen!$I$22,'HB-D1 Besondere Lstg Land'!M126=TRUE),'HB-D1 Besondere Lstg Land'!H126+'HB-D1 Besondere Lstg Land'!J126,IF(AND(Projektgrundlagen!$I$23,'HB-D2 Besondere Lstg Bund'!M126=TRUE),'HB-D2 Besondere Lstg Bund'!H126+'HB-D2 Besondere Lstg Bund'!J126,"")))</f>
        <v/>
      </c>
      <c r="F171" s="1192" t="str">
        <f>IF(AND(Projektgrundlagen!$I$21,'StB-D1 Besondere Lstg'!M126=TRUE),'StB-D1 Besondere Lstg'!K126,IF(AND(Projektgrundlagen!$I$22,'HB-D1 Besondere Lstg Land'!M126=TRUE),'HB-D1 Besondere Lstg Land'!K126,IF(AND(Projektgrundlagen!$I$23,'HB-D2 Besondere Lstg Bund'!M126=TRUE),'HB-D2 Besondere Lstg Bund'!K126,"")))</f>
        <v/>
      </c>
      <c r="G171" s="1200"/>
      <c r="H171" s="1201"/>
    </row>
    <row r="172" spans="2:8" ht="14.25">
      <c r="B172" t="str">
        <f>IF(AND(Projektgrundlagen!$I$21,'StB-D1 Besondere Lstg'!M127=TRUE),'StB-D1 Besondere Lstg'!C127&amp;" "&amp;'StB-D1 Besondere Lstg'!F127&amp;" "&amp;'StB-D1 Besondere Lstg'!F128,IF(AND(Projektgrundlagen!$I$22,'HB-D1 Besondere Lstg Land'!M127=TRUE),'HB-D1 Besondere Lstg Land'!C127&amp;" "&amp;'HB-D1 Besondere Lstg Land'!F127&amp;" "&amp;'HB-D1 Besondere Lstg Land'!F128,IF(AND(Projektgrundlagen!$I$23,'HB-D2 Besondere Lstg Bund'!M127=TRUE),'HB-D2 Besondere Lstg Bund'!C127&amp;" "&amp;'HB-D2 Besondere Lstg Bund'!F127&amp;" "&amp;'HB-D2 Besondere Lstg Bund'!F128,"")))</f>
        <v/>
      </c>
      <c r="C172" s="1192" t="str">
        <f>IF(AND(Projektgrundlagen!$I$21,'StB-D1 Besondere Lstg'!M127=TRUE),'StB-D1 Besondere Lstg'!H127,"")</f>
        <v/>
      </c>
      <c r="D172" s="1192" t="str">
        <f>IF(AND(Projektgrundlagen!$I$21,'StB-D1 Besondere Lstg'!M127=TRUE),'StB-D1 Besondere Lstg'!I127,IF(AND(Projektgrundlagen!$I$22,'HB-D1 Besondere Lstg Land'!M127=TRUE),(IF('HB-D1 Besondere Lstg Land'!H127&gt;0,"v.H.","pauschal")),IF(AND(Projektgrundlagen!$I$23,'HB-D2 Besondere Lstg Bund'!M127=TRUE),(IF('HB-D2 Besondere Lstg Bund'!H127&gt;0,"v.H.","pauschal")),"")))</f>
        <v/>
      </c>
      <c r="E172" s="1192" t="str">
        <f>IF(AND(Projektgrundlagen!$I$21,'StB-D1 Besondere Lstg'!M127=TRUE),'StB-D1 Besondere Lstg'!J127,IF(AND(Projektgrundlagen!$I$22,'HB-D1 Besondere Lstg Land'!M127=TRUE),'HB-D1 Besondere Lstg Land'!H127+'HB-D1 Besondere Lstg Land'!J127,IF(AND(Projektgrundlagen!$I$23,'HB-D2 Besondere Lstg Bund'!M127=TRUE),'HB-D2 Besondere Lstg Bund'!H127+'HB-D2 Besondere Lstg Bund'!J127,"")))</f>
        <v/>
      </c>
      <c r="F172" s="1192" t="str">
        <f>IF(AND(Projektgrundlagen!$I$21,'StB-D1 Besondere Lstg'!M127=TRUE),'StB-D1 Besondere Lstg'!K127,IF(AND(Projektgrundlagen!$I$22,'HB-D1 Besondere Lstg Land'!M127=TRUE),'HB-D1 Besondere Lstg Land'!K127,IF(AND(Projektgrundlagen!$I$23,'HB-D2 Besondere Lstg Bund'!M127=TRUE),'HB-D2 Besondere Lstg Bund'!K127,"")))</f>
        <v/>
      </c>
      <c r="G172" s="1200"/>
      <c r="H172" s="1201"/>
    </row>
    <row r="173" spans="2:8" ht="14.25">
      <c r="B173" t="str">
        <f>IF(AND(Projektgrundlagen!$I$21,'StB-D1 Besondere Lstg'!M128=TRUE),'StB-D1 Besondere Lstg'!C128&amp;" "&amp;'StB-D1 Besondere Lstg'!F128&amp;" "&amp;'StB-D1 Besondere Lstg'!F129,IF(AND(Projektgrundlagen!$I$22,'HB-D1 Besondere Lstg Land'!M128=TRUE),'HB-D1 Besondere Lstg Land'!C128&amp;" "&amp;'HB-D1 Besondere Lstg Land'!F128&amp;" "&amp;'HB-D1 Besondere Lstg Land'!F129,IF(AND(Projektgrundlagen!$I$23,'HB-D2 Besondere Lstg Bund'!M128=TRUE),'HB-D2 Besondere Lstg Bund'!C128&amp;" "&amp;'HB-D2 Besondere Lstg Bund'!F128&amp;" "&amp;'HB-D2 Besondere Lstg Bund'!F129,"")))</f>
        <v/>
      </c>
      <c r="C173" s="1192" t="str">
        <f>IF(AND(Projektgrundlagen!$I$21,'StB-D1 Besondere Lstg'!M128=TRUE),'StB-D1 Besondere Lstg'!H128,"")</f>
        <v/>
      </c>
      <c r="D173" s="1192" t="str">
        <f>IF(AND(Projektgrundlagen!$I$21,'StB-D1 Besondere Lstg'!M128=TRUE),'StB-D1 Besondere Lstg'!I128,IF(AND(Projektgrundlagen!$I$22,'HB-D1 Besondere Lstg Land'!M128=TRUE),(IF('HB-D1 Besondere Lstg Land'!H128&gt;0,"v.H.","pauschal")),IF(AND(Projektgrundlagen!$I$23,'HB-D2 Besondere Lstg Bund'!M128=TRUE),(IF('HB-D2 Besondere Lstg Bund'!H128&gt;0,"v.H.","pauschal")),"")))</f>
        <v/>
      </c>
      <c r="E173" s="1192" t="str">
        <f>IF(AND(Projektgrundlagen!$I$21,'StB-D1 Besondere Lstg'!M128=TRUE),'StB-D1 Besondere Lstg'!J128,IF(AND(Projektgrundlagen!$I$22,'HB-D1 Besondere Lstg Land'!M128=TRUE),'HB-D1 Besondere Lstg Land'!H128+'HB-D1 Besondere Lstg Land'!J128,IF(AND(Projektgrundlagen!$I$23,'HB-D2 Besondere Lstg Bund'!M128=TRUE),'HB-D2 Besondere Lstg Bund'!H128+'HB-D2 Besondere Lstg Bund'!J128,"")))</f>
        <v/>
      </c>
      <c r="F173" s="1192" t="str">
        <f>IF(AND(Projektgrundlagen!$I$21,'StB-D1 Besondere Lstg'!M128=TRUE),'StB-D1 Besondere Lstg'!K128,IF(AND(Projektgrundlagen!$I$22,'HB-D1 Besondere Lstg Land'!M128=TRUE),'HB-D1 Besondere Lstg Land'!K128,IF(AND(Projektgrundlagen!$I$23,'HB-D2 Besondere Lstg Bund'!M128=TRUE),'HB-D2 Besondere Lstg Bund'!K128,"")))</f>
        <v/>
      </c>
      <c r="G173" s="1200"/>
      <c r="H173" s="1201"/>
    </row>
    <row r="174" spans="2:8" ht="14.25">
      <c r="B174" t="str">
        <f>IF(AND(Projektgrundlagen!$I$21,'StB-D1 Besondere Lstg'!M129=TRUE),'StB-D1 Besondere Lstg'!C129&amp;" "&amp;'StB-D1 Besondere Lstg'!F129&amp;" "&amp;'StB-D1 Besondere Lstg'!F130,IF(AND(Projektgrundlagen!$I$22,'HB-D1 Besondere Lstg Land'!M129=TRUE),'HB-D1 Besondere Lstg Land'!C129&amp;" "&amp;'HB-D1 Besondere Lstg Land'!F129&amp;" "&amp;'HB-D1 Besondere Lstg Land'!F130,IF(AND(Projektgrundlagen!$I$23,'HB-D2 Besondere Lstg Bund'!M129=TRUE),'HB-D2 Besondere Lstg Bund'!C129&amp;" "&amp;'HB-D2 Besondere Lstg Bund'!F129&amp;" "&amp;'HB-D2 Besondere Lstg Bund'!F130,"")))</f>
        <v/>
      </c>
      <c r="C174" s="1192" t="str">
        <f>IF(AND(Projektgrundlagen!$I$21,'StB-D1 Besondere Lstg'!M129=TRUE),'StB-D1 Besondere Lstg'!H129,"")</f>
        <v/>
      </c>
      <c r="D174" s="1192" t="str">
        <f>IF(AND(Projektgrundlagen!$I$21,'StB-D1 Besondere Lstg'!M129=TRUE),'StB-D1 Besondere Lstg'!I129,IF(AND(Projektgrundlagen!$I$22,'HB-D1 Besondere Lstg Land'!M129=TRUE),(IF('HB-D1 Besondere Lstg Land'!H129&gt;0,"v.H.","pauschal")),IF(AND(Projektgrundlagen!$I$23,'HB-D2 Besondere Lstg Bund'!M129=TRUE),(IF('HB-D2 Besondere Lstg Bund'!H129&gt;0,"v.H.","pauschal")),"")))</f>
        <v/>
      </c>
      <c r="E174" s="1192" t="str">
        <f>IF(AND(Projektgrundlagen!$I$21,'StB-D1 Besondere Lstg'!M129=TRUE),'StB-D1 Besondere Lstg'!J129,IF(AND(Projektgrundlagen!$I$22,'HB-D1 Besondere Lstg Land'!M129=TRUE),'HB-D1 Besondere Lstg Land'!H129+'HB-D1 Besondere Lstg Land'!J129,IF(AND(Projektgrundlagen!$I$23,'HB-D2 Besondere Lstg Bund'!M129=TRUE),'HB-D2 Besondere Lstg Bund'!H129+'HB-D2 Besondere Lstg Bund'!J129,"")))</f>
        <v/>
      </c>
      <c r="F174" s="1192" t="str">
        <f>IF(AND(Projektgrundlagen!$I$21,'StB-D1 Besondere Lstg'!M129=TRUE),'StB-D1 Besondere Lstg'!K129,IF(AND(Projektgrundlagen!$I$22,'HB-D1 Besondere Lstg Land'!M129=TRUE),'HB-D1 Besondere Lstg Land'!K129,IF(AND(Projektgrundlagen!$I$23,'HB-D2 Besondere Lstg Bund'!M129=TRUE),'HB-D2 Besondere Lstg Bund'!K129,"")))</f>
        <v/>
      </c>
      <c r="G174" s="1200"/>
      <c r="H174" s="1201"/>
    </row>
    <row r="175" spans="2:8" ht="14.25">
      <c r="B175" t="str">
        <f>IF(AND(Projektgrundlagen!$I$21,'StB-D1 Besondere Lstg'!M130=TRUE),'StB-D1 Besondere Lstg'!C130&amp;" "&amp;'StB-D1 Besondere Lstg'!F130&amp;" "&amp;'StB-D1 Besondere Lstg'!F131,IF(AND(Projektgrundlagen!$I$22,'HB-D1 Besondere Lstg Land'!M130=TRUE),'HB-D1 Besondere Lstg Land'!C130&amp;" "&amp;'HB-D1 Besondere Lstg Land'!F130&amp;" "&amp;'HB-D1 Besondere Lstg Land'!F131,IF(AND(Projektgrundlagen!$I$23,'HB-D2 Besondere Lstg Bund'!M130=TRUE),'HB-D2 Besondere Lstg Bund'!C130&amp;" "&amp;'HB-D2 Besondere Lstg Bund'!F130&amp;" "&amp;'HB-D2 Besondere Lstg Bund'!F131,"")))</f>
        <v/>
      </c>
      <c r="C175" s="1192" t="str">
        <f>IF(AND(Projektgrundlagen!$I$21,'StB-D1 Besondere Lstg'!M130=TRUE),'StB-D1 Besondere Lstg'!H130,"")</f>
        <v/>
      </c>
      <c r="D175" s="1192" t="str">
        <f>IF(AND(Projektgrundlagen!$I$21,'StB-D1 Besondere Lstg'!M130=TRUE),'StB-D1 Besondere Lstg'!I130,IF(AND(Projektgrundlagen!$I$22,'HB-D1 Besondere Lstg Land'!M130=TRUE),(IF('HB-D1 Besondere Lstg Land'!H130&gt;0,"v.H.","pauschal")),IF(AND(Projektgrundlagen!$I$23,'HB-D2 Besondere Lstg Bund'!M130=TRUE),(IF('HB-D2 Besondere Lstg Bund'!H130&gt;0,"v.H.","pauschal")),"")))</f>
        <v/>
      </c>
      <c r="E175" s="1192" t="str">
        <f>IF(AND(Projektgrundlagen!$I$21,'StB-D1 Besondere Lstg'!M130=TRUE),'StB-D1 Besondere Lstg'!J130,IF(AND(Projektgrundlagen!$I$22,'HB-D1 Besondere Lstg Land'!M130=TRUE),'HB-D1 Besondere Lstg Land'!H130+'HB-D1 Besondere Lstg Land'!J130,IF(AND(Projektgrundlagen!$I$23,'HB-D2 Besondere Lstg Bund'!M130=TRUE),'HB-D2 Besondere Lstg Bund'!H130+'HB-D2 Besondere Lstg Bund'!J130,"")))</f>
        <v/>
      </c>
      <c r="F175" s="1192" t="str">
        <f>IF(AND(Projektgrundlagen!$I$21,'StB-D1 Besondere Lstg'!M130=TRUE),'StB-D1 Besondere Lstg'!K130,IF(AND(Projektgrundlagen!$I$22,'HB-D1 Besondere Lstg Land'!M130=TRUE),'HB-D1 Besondere Lstg Land'!K130,IF(AND(Projektgrundlagen!$I$23,'HB-D2 Besondere Lstg Bund'!M130=TRUE),'HB-D2 Besondere Lstg Bund'!K130,"")))</f>
        <v/>
      </c>
      <c r="G175" s="1200"/>
      <c r="H175" s="1201"/>
    </row>
    <row r="176" spans="2:8" ht="14.25">
      <c r="B176" t="str">
        <f>IF(AND(Projektgrundlagen!$I$21,'StB-D1 Besondere Lstg'!M131=TRUE),'StB-D1 Besondere Lstg'!C131&amp;" "&amp;'StB-D1 Besondere Lstg'!F131&amp;" "&amp;'StB-D1 Besondere Lstg'!F132,IF(AND(Projektgrundlagen!$I$22,'HB-D1 Besondere Lstg Land'!M131=TRUE),'HB-D1 Besondere Lstg Land'!C131&amp;" "&amp;'HB-D1 Besondere Lstg Land'!F131&amp;" "&amp;'HB-D1 Besondere Lstg Land'!F132,IF(AND(Projektgrundlagen!$I$23,'HB-D2 Besondere Lstg Bund'!M131=TRUE),'HB-D2 Besondere Lstg Bund'!C131&amp;" "&amp;'HB-D2 Besondere Lstg Bund'!F131&amp;" "&amp;'HB-D2 Besondere Lstg Bund'!F132,"")))</f>
        <v/>
      </c>
      <c r="C176" s="1192" t="str">
        <f>IF(AND(Projektgrundlagen!$I$21,'StB-D1 Besondere Lstg'!M131=TRUE),'StB-D1 Besondere Lstg'!H131,"")</f>
        <v/>
      </c>
      <c r="D176" s="1192" t="str">
        <f>IF(AND(Projektgrundlagen!$I$21,'StB-D1 Besondere Lstg'!M131=TRUE),'StB-D1 Besondere Lstg'!I131,IF(AND(Projektgrundlagen!$I$22,'HB-D1 Besondere Lstg Land'!M131=TRUE),(IF('HB-D1 Besondere Lstg Land'!H131&gt;0,"v.H.","pauschal")),IF(AND(Projektgrundlagen!$I$23,'HB-D2 Besondere Lstg Bund'!M131=TRUE),(IF('HB-D2 Besondere Lstg Bund'!H131&gt;0,"v.H.","pauschal")),"")))</f>
        <v/>
      </c>
      <c r="E176" s="1192" t="str">
        <f>IF(AND(Projektgrundlagen!$I$21,'StB-D1 Besondere Lstg'!M131=TRUE),'StB-D1 Besondere Lstg'!J131,IF(AND(Projektgrundlagen!$I$22,'HB-D1 Besondere Lstg Land'!M131=TRUE),'HB-D1 Besondere Lstg Land'!H131+'HB-D1 Besondere Lstg Land'!J131,IF(AND(Projektgrundlagen!$I$23,'HB-D2 Besondere Lstg Bund'!M131=TRUE),'HB-D2 Besondere Lstg Bund'!H131+'HB-D2 Besondere Lstg Bund'!J131,"")))</f>
        <v/>
      </c>
      <c r="F176" s="1192" t="str">
        <f>IF(AND(Projektgrundlagen!$I$21,'StB-D1 Besondere Lstg'!M131=TRUE),'StB-D1 Besondere Lstg'!K131,IF(AND(Projektgrundlagen!$I$22,'HB-D1 Besondere Lstg Land'!M131=TRUE),'HB-D1 Besondere Lstg Land'!K131,IF(AND(Projektgrundlagen!$I$23,'HB-D2 Besondere Lstg Bund'!M131=TRUE),'HB-D2 Besondere Lstg Bund'!K131,"")))</f>
        <v/>
      </c>
      <c r="G176" s="1200"/>
      <c r="H176" s="1201"/>
    </row>
    <row r="177" spans="2:8" ht="14.25">
      <c r="B177" t="str">
        <f>IF(AND(Projektgrundlagen!$I$21,'StB-D1 Besondere Lstg'!M132=TRUE),'StB-D1 Besondere Lstg'!C132&amp;" "&amp;'StB-D1 Besondere Lstg'!F132&amp;" "&amp;'StB-D1 Besondere Lstg'!F133,IF(AND(Projektgrundlagen!$I$22,'HB-D1 Besondere Lstg Land'!M132=TRUE),'HB-D1 Besondere Lstg Land'!C132&amp;" "&amp;'HB-D1 Besondere Lstg Land'!F132&amp;" "&amp;'HB-D1 Besondere Lstg Land'!F133,IF(AND(Projektgrundlagen!$I$23,'HB-D2 Besondere Lstg Bund'!M132=TRUE),'HB-D2 Besondere Lstg Bund'!C132&amp;" "&amp;'HB-D2 Besondere Lstg Bund'!F132&amp;" "&amp;'HB-D2 Besondere Lstg Bund'!F133,"")))</f>
        <v/>
      </c>
      <c r="C177" s="1192" t="str">
        <f>IF(AND(Projektgrundlagen!$I$21,'StB-D1 Besondere Lstg'!M132=TRUE),'StB-D1 Besondere Lstg'!H132,"")</f>
        <v/>
      </c>
      <c r="D177" s="1192" t="str">
        <f>IF(AND(Projektgrundlagen!$I$21,'StB-D1 Besondere Lstg'!M132=TRUE),'StB-D1 Besondere Lstg'!I132,IF(AND(Projektgrundlagen!$I$22,'HB-D1 Besondere Lstg Land'!M132=TRUE),(IF('HB-D1 Besondere Lstg Land'!H132&gt;0,"v.H.","pauschal")),IF(AND(Projektgrundlagen!$I$23,'HB-D2 Besondere Lstg Bund'!M132=TRUE),(IF('HB-D2 Besondere Lstg Bund'!H132&gt;0,"v.H.","pauschal")),"")))</f>
        <v/>
      </c>
      <c r="E177" s="1192" t="str">
        <f>IF(AND(Projektgrundlagen!$I$21,'StB-D1 Besondere Lstg'!M132=TRUE),'StB-D1 Besondere Lstg'!J132,IF(AND(Projektgrundlagen!$I$22,'HB-D1 Besondere Lstg Land'!M132=TRUE),'HB-D1 Besondere Lstg Land'!H132+'HB-D1 Besondere Lstg Land'!J132,IF(AND(Projektgrundlagen!$I$23,'HB-D2 Besondere Lstg Bund'!M132=TRUE),'HB-D2 Besondere Lstg Bund'!H132+'HB-D2 Besondere Lstg Bund'!J132,"")))</f>
        <v/>
      </c>
      <c r="F177" s="1192" t="str">
        <f>IF(AND(Projektgrundlagen!$I$21,'StB-D1 Besondere Lstg'!M132=TRUE),'StB-D1 Besondere Lstg'!K132,IF(AND(Projektgrundlagen!$I$22,'HB-D1 Besondere Lstg Land'!M132=TRUE),'HB-D1 Besondere Lstg Land'!K132,IF(AND(Projektgrundlagen!$I$23,'HB-D2 Besondere Lstg Bund'!M132=TRUE),'HB-D2 Besondere Lstg Bund'!K132,"")))</f>
        <v/>
      </c>
      <c r="G177" s="1200"/>
      <c r="H177" s="1201"/>
    </row>
    <row r="178" spans="2:8" ht="14.25">
      <c r="B178" t="str">
        <f>IF(AND(Projektgrundlagen!$I$21,'StB-D1 Besondere Lstg'!M133=TRUE),'StB-D1 Besondere Lstg'!C133&amp;" "&amp;'StB-D1 Besondere Lstg'!F133&amp;" "&amp;'StB-D1 Besondere Lstg'!F134,IF(AND(Projektgrundlagen!$I$22,'HB-D1 Besondere Lstg Land'!M133=TRUE),'HB-D1 Besondere Lstg Land'!C133&amp;" "&amp;'HB-D1 Besondere Lstg Land'!F133&amp;" "&amp;'HB-D1 Besondere Lstg Land'!F134,IF(AND(Projektgrundlagen!$I$23,'HB-D2 Besondere Lstg Bund'!M133=TRUE),'HB-D2 Besondere Lstg Bund'!C133&amp;" "&amp;'HB-D2 Besondere Lstg Bund'!F133&amp;" "&amp;'HB-D2 Besondere Lstg Bund'!F134,"")))</f>
        <v/>
      </c>
      <c r="C178" s="1192" t="str">
        <f>IF(AND(Projektgrundlagen!$I$21,'StB-D1 Besondere Lstg'!M133=TRUE),'StB-D1 Besondere Lstg'!H133,"")</f>
        <v/>
      </c>
      <c r="D178" s="1192" t="str">
        <f>IF(AND(Projektgrundlagen!$I$21,'StB-D1 Besondere Lstg'!M133=TRUE),'StB-D1 Besondere Lstg'!I133,IF(AND(Projektgrundlagen!$I$22,'HB-D1 Besondere Lstg Land'!M133=TRUE),(IF('HB-D1 Besondere Lstg Land'!H133&gt;0,"v.H.","pauschal")),IF(AND(Projektgrundlagen!$I$23,'HB-D2 Besondere Lstg Bund'!M133=TRUE),(IF('HB-D2 Besondere Lstg Bund'!H133&gt;0,"v.H.","pauschal")),"")))</f>
        <v/>
      </c>
      <c r="E178" s="1192" t="str">
        <f>IF(AND(Projektgrundlagen!$I$21,'StB-D1 Besondere Lstg'!M133=TRUE),'StB-D1 Besondere Lstg'!J133,IF(AND(Projektgrundlagen!$I$22,'HB-D1 Besondere Lstg Land'!M133=TRUE),'HB-D1 Besondere Lstg Land'!H133+'HB-D1 Besondere Lstg Land'!J133,IF(AND(Projektgrundlagen!$I$23,'HB-D2 Besondere Lstg Bund'!M133=TRUE),'HB-D2 Besondere Lstg Bund'!H133+'HB-D2 Besondere Lstg Bund'!J133,"")))</f>
        <v/>
      </c>
      <c r="F178" s="1192" t="str">
        <f>IF(AND(Projektgrundlagen!$I$21,'StB-D1 Besondere Lstg'!M133=TRUE),'StB-D1 Besondere Lstg'!K133,IF(AND(Projektgrundlagen!$I$22,'HB-D1 Besondere Lstg Land'!M133=TRUE),'HB-D1 Besondere Lstg Land'!K133,IF(AND(Projektgrundlagen!$I$23,'HB-D2 Besondere Lstg Bund'!M133=TRUE),'HB-D2 Besondere Lstg Bund'!K133,"")))</f>
        <v/>
      </c>
      <c r="G178" s="1200"/>
      <c r="H178" s="1201"/>
    </row>
    <row r="179" spans="2:8" ht="14.25">
      <c r="B179" t="str">
        <f>IF(AND(Projektgrundlagen!$I$21,'StB-D1 Besondere Lstg'!M134=TRUE),'StB-D1 Besondere Lstg'!C134&amp;" "&amp;'StB-D1 Besondere Lstg'!F134&amp;" "&amp;'StB-D1 Besondere Lstg'!F135,IF(AND(Projektgrundlagen!$I$22,'HB-D1 Besondere Lstg Land'!M134=TRUE),'HB-D1 Besondere Lstg Land'!C134&amp;" "&amp;'HB-D1 Besondere Lstg Land'!F134&amp;" "&amp;'HB-D1 Besondere Lstg Land'!F135,IF(AND(Projektgrundlagen!$I$23,'HB-D2 Besondere Lstg Bund'!M134=TRUE),'HB-D2 Besondere Lstg Bund'!C134&amp;" "&amp;'HB-D2 Besondere Lstg Bund'!F134&amp;" "&amp;'HB-D2 Besondere Lstg Bund'!F135,"")))</f>
        <v/>
      </c>
      <c r="C179" s="1192" t="str">
        <f>IF(AND(Projektgrundlagen!$I$21,'StB-D1 Besondere Lstg'!M134=TRUE),'StB-D1 Besondere Lstg'!H134,"")</f>
        <v/>
      </c>
      <c r="D179" s="1192" t="str">
        <f>IF(AND(Projektgrundlagen!$I$21,'StB-D1 Besondere Lstg'!M134=TRUE),'StB-D1 Besondere Lstg'!I134,IF(AND(Projektgrundlagen!$I$22,'HB-D1 Besondere Lstg Land'!M134=TRUE),(IF('HB-D1 Besondere Lstg Land'!H134&gt;0,"v.H.","pauschal")),IF(AND(Projektgrundlagen!$I$23,'HB-D2 Besondere Lstg Bund'!M134=TRUE),(IF('HB-D2 Besondere Lstg Bund'!H134&gt;0,"v.H.","pauschal")),"")))</f>
        <v/>
      </c>
      <c r="E179" s="1192" t="str">
        <f>IF(AND(Projektgrundlagen!$I$21,'StB-D1 Besondere Lstg'!M134=TRUE),'StB-D1 Besondere Lstg'!J134,IF(AND(Projektgrundlagen!$I$22,'HB-D1 Besondere Lstg Land'!M134=TRUE),'HB-D1 Besondere Lstg Land'!H134+'HB-D1 Besondere Lstg Land'!J134,IF(AND(Projektgrundlagen!$I$23,'HB-D2 Besondere Lstg Bund'!M134=TRUE),'HB-D2 Besondere Lstg Bund'!H134+'HB-D2 Besondere Lstg Bund'!J134,"")))</f>
        <v/>
      </c>
      <c r="F179" s="1192" t="str">
        <f>IF(AND(Projektgrundlagen!$I$21,'StB-D1 Besondere Lstg'!M134=TRUE),'StB-D1 Besondere Lstg'!K134,IF(AND(Projektgrundlagen!$I$22,'HB-D1 Besondere Lstg Land'!M134=TRUE),'HB-D1 Besondere Lstg Land'!K134,IF(AND(Projektgrundlagen!$I$23,'HB-D2 Besondere Lstg Bund'!M134=TRUE),'HB-D2 Besondere Lstg Bund'!K134,"")))</f>
        <v/>
      </c>
      <c r="G179" s="1200"/>
      <c r="H179" s="1201"/>
    </row>
    <row r="180" spans="2:8" ht="14.25">
      <c r="B180" t="str">
        <f>IF(AND(Projektgrundlagen!$I$21,'StB-D1 Besondere Lstg'!M135=TRUE),'StB-D1 Besondere Lstg'!C135&amp;" "&amp;'StB-D1 Besondere Lstg'!F135&amp;" "&amp;'StB-D1 Besondere Lstg'!F136,IF(AND(Projektgrundlagen!$I$22,'HB-D1 Besondere Lstg Land'!M135=TRUE),'HB-D1 Besondere Lstg Land'!C135&amp;" "&amp;'HB-D1 Besondere Lstg Land'!F135&amp;" "&amp;'HB-D1 Besondere Lstg Land'!F136,IF(AND(Projektgrundlagen!$I$23,'HB-D2 Besondere Lstg Bund'!M135=TRUE),'HB-D2 Besondere Lstg Bund'!C135&amp;" "&amp;'HB-D2 Besondere Lstg Bund'!F135&amp;" "&amp;'HB-D2 Besondere Lstg Bund'!F136,"")))</f>
        <v/>
      </c>
      <c r="C180" s="1192" t="str">
        <f>IF(AND(Projektgrundlagen!$I$21,'StB-D1 Besondere Lstg'!M135=TRUE),'StB-D1 Besondere Lstg'!H135,"")</f>
        <v/>
      </c>
      <c r="D180" s="1192" t="str">
        <f>IF(AND(Projektgrundlagen!$I$21,'StB-D1 Besondere Lstg'!M135=TRUE),'StB-D1 Besondere Lstg'!I135,IF(AND(Projektgrundlagen!$I$22,'HB-D1 Besondere Lstg Land'!M135=TRUE),(IF('HB-D1 Besondere Lstg Land'!H135&gt;0,"v.H.","pauschal")),IF(AND(Projektgrundlagen!$I$23,'HB-D2 Besondere Lstg Bund'!M135=TRUE),(IF('HB-D2 Besondere Lstg Bund'!H135&gt;0,"v.H.","pauschal")),"")))</f>
        <v/>
      </c>
      <c r="E180" s="1192" t="str">
        <f>IF(AND(Projektgrundlagen!$I$21,'StB-D1 Besondere Lstg'!M135=TRUE),'StB-D1 Besondere Lstg'!J135,IF(AND(Projektgrundlagen!$I$22,'HB-D1 Besondere Lstg Land'!M135=TRUE),'HB-D1 Besondere Lstg Land'!H135+'HB-D1 Besondere Lstg Land'!J135,IF(AND(Projektgrundlagen!$I$23,'HB-D2 Besondere Lstg Bund'!M135=TRUE),'HB-D2 Besondere Lstg Bund'!H135+'HB-D2 Besondere Lstg Bund'!J135,"")))</f>
        <v/>
      </c>
      <c r="F180" s="1192" t="str">
        <f>IF(AND(Projektgrundlagen!$I$21,'StB-D1 Besondere Lstg'!M135=TRUE),'StB-D1 Besondere Lstg'!K135,IF(AND(Projektgrundlagen!$I$22,'HB-D1 Besondere Lstg Land'!M135=TRUE),'HB-D1 Besondere Lstg Land'!K135,IF(AND(Projektgrundlagen!$I$23,'HB-D2 Besondere Lstg Bund'!M135=TRUE),'HB-D2 Besondere Lstg Bund'!K135,"")))</f>
        <v/>
      </c>
      <c r="G180" s="1200"/>
      <c r="H180" s="1201"/>
    </row>
    <row r="181" spans="2:8" ht="14.25">
      <c r="B181" t="str">
        <f>IF(AND(Projektgrundlagen!$I$21,'StB-D1 Besondere Lstg'!M136=TRUE),'StB-D1 Besondere Lstg'!C136&amp;" "&amp;'StB-D1 Besondere Lstg'!F136&amp;" "&amp;'StB-D1 Besondere Lstg'!F137,IF(AND(Projektgrundlagen!$I$22,'HB-D1 Besondere Lstg Land'!M136=TRUE),'HB-D1 Besondere Lstg Land'!C136&amp;" "&amp;'HB-D1 Besondere Lstg Land'!F136&amp;" "&amp;'HB-D1 Besondere Lstg Land'!F137,IF(AND(Projektgrundlagen!$I$23,'HB-D2 Besondere Lstg Bund'!M136=TRUE),'HB-D2 Besondere Lstg Bund'!C136&amp;" "&amp;'HB-D2 Besondere Lstg Bund'!F136&amp;" "&amp;'HB-D2 Besondere Lstg Bund'!F137,"")))</f>
        <v/>
      </c>
      <c r="C181" s="1192" t="str">
        <f>IF(AND(Projektgrundlagen!$I$21,'StB-D1 Besondere Lstg'!M136=TRUE),'StB-D1 Besondere Lstg'!H136,"")</f>
        <v/>
      </c>
      <c r="D181" s="1192" t="str">
        <f>IF(AND(Projektgrundlagen!$I$21,'StB-D1 Besondere Lstg'!M136=TRUE),'StB-D1 Besondere Lstg'!I136,IF(AND(Projektgrundlagen!$I$22,'HB-D1 Besondere Lstg Land'!M136=TRUE),(IF('HB-D1 Besondere Lstg Land'!H136&gt;0,"v.H.","pauschal")),IF(AND(Projektgrundlagen!$I$23,'HB-D2 Besondere Lstg Bund'!M136=TRUE),(IF('HB-D2 Besondere Lstg Bund'!H136&gt;0,"v.H.","pauschal")),"")))</f>
        <v/>
      </c>
      <c r="E181" s="1192" t="str">
        <f>IF(AND(Projektgrundlagen!$I$21,'StB-D1 Besondere Lstg'!M136=TRUE),'StB-D1 Besondere Lstg'!J136,IF(AND(Projektgrundlagen!$I$22,'HB-D1 Besondere Lstg Land'!M136=TRUE),'HB-D1 Besondere Lstg Land'!H136+'HB-D1 Besondere Lstg Land'!J136,IF(AND(Projektgrundlagen!$I$23,'HB-D2 Besondere Lstg Bund'!M136=TRUE),'HB-D2 Besondere Lstg Bund'!H136+'HB-D2 Besondere Lstg Bund'!J136,"")))</f>
        <v/>
      </c>
      <c r="F181" s="1192" t="str">
        <f>IF(AND(Projektgrundlagen!$I$21,'StB-D1 Besondere Lstg'!M136=TRUE),'StB-D1 Besondere Lstg'!K136,IF(AND(Projektgrundlagen!$I$22,'HB-D1 Besondere Lstg Land'!M136=TRUE),'HB-D1 Besondere Lstg Land'!K136,IF(AND(Projektgrundlagen!$I$23,'HB-D2 Besondere Lstg Bund'!M136=TRUE),'HB-D2 Besondere Lstg Bund'!K136,"")))</f>
        <v/>
      </c>
      <c r="G181" s="1200"/>
      <c r="H181" s="1201"/>
    </row>
    <row r="182" spans="2:8" ht="14.25">
      <c r="B182" t="str">
        <f>IF(AND(Projektgrundlagen!$I$21,'StB-D1 Besondere Lstg'!M137=TRUE),'StB-D1 Besondere Lstg'!C137&amp;" "&amp;'StB-D1 Besondere Lstg'!F137&amp;" "&amp;'StB-D1 Besondere Lstg'!F138,IF(AND(Projektgrundlagen!$I$22,'HB-D1 Besondere Lstg Land'!M137=TRUE),'HB-D1 Besondere Lstg Land'!C137&amp;" "&amp;'HB-D1 Besondere Lstg Land'!F137&amp;" "&amp;'HB-D1 Besondere Lstg Land'!F138,IF(AND(Projektgrundlagen!$I$23,'HB-D2 Besondere Lstg Bund'!M137=TRUE),'HB-D2 Besondere Lstg Bund'!C137&amp;" "&amp;'HB-D2 Besondere Lstg Bund'!F137&amp;" "&amp;'HB-D2 Besondere Lstg Bund'!F138,"")))</f>
        <v/>
      </c>
      <c r="C182" s="1192" t="str">
        <f>IF(AND(Projektgrundlagen!$I$21,'StB-D1 Besondere Lstg'!M137=TRUE),'StB-D1 Besondere Lstg'!H137,"")</f>
        <v/>
      </c>
      <c r="D182" s="1192" t="str">
        <f>IF(AND(Projektgrundlagen!$I$21,'StB-D1 Besondere Lstg'!M137=TRUE),'StB-D1 Besondere Lstg'!I137,IF(AND(Projektgrundlagen!$I$22,'HB-D1 Besondere Lstg Land'!M137=TRUE),(IF('HB-D1 Besondere Lstg Land'!H137&gt;0,"v.H.","pauschal")),IF(AND(Projektgrundlagen!$I$23,'HB-D2 Besondere Lstg Bund'!M137=TRUE),(IF('HB-D2 Besondere Lstg Bund'!H137&gt;0,"v.H.","pauschal")),"")))</f>
        <v/>
      </c>
      <c r="E182" s="1192" t="str">
        <f>IF(AND(Projektgrundlagen!$I$21,'StB-D1 Besondere Lstg'!M137=TRUE),'StB-D1 Besondere Lstg'!J137,IF(AND(Projektgrundlagen!$I$22,'HB-D1 Besondere Lstg Land'!M137=TRUE),'HB-D1 Besondere Lstg Land'!H137+'HB-D1 Besondere Lstg Land'!J137,IF(AND(Projektgrundlagen!$I$23,'HB-D2 Besondere Lstg Bund'!M137=TRUE),'HB-D2 Besondere Lstg Bund'!H137+'HB-D2 Besondere Lstg Bund'!J137,"")))</f>
        <v/>
      </c>
      <c r="F182" s="1192" t="str">
        <f>IF(AND(Projektgrundlagen!$I$21,'StB-D1 Besondere Lstg'!M137=TRUE),'StB-D1 Besondere Lstg'!K137,IF(AND(Projektgrundlagen!$I$22,'HB-D1 Besondere Lstg Land'!M137=TRUE),'HB-D1 Besondere Lstg Land'!K137,IF(AND(Projektgrundlagen!$I$23,'HB-D2 Besondere Lstg Bund'!M137=TRUE),'HB-D2 Besondere Lstg Bund'!K137,"")))</f>
        <v/>
      </c>
      <c r="G182" s="1200"/>
      <c r="H182" s="1201"/>
    </row>
    <row r="183" spans="2:8" ht="14.25">
      <c r="B183" t="str">
        <f>IF(AND(Projektgrundlagen!$I$21,'StB-D1 Besondere Lstg'!M138=TRUE),'StB-D1 Besondere Lstg'!C138&amp;" "&amp;'StB-D1 Besondere Lstg'!F138&amp;" "&amp;'StB-D1 Besondere Lstg'!F139,IF(AND(Projektgrundlagen!$I$22,'HB-D1 Besondere Lstg Land'!M138=TRUE),'HB-D1 Besondere Lstg Land'!C138&amp;" "&amp;'HB-D1 Besondere Lstg Land'!F138&amp;" "&amp;'HB-D1 Besondere Lstg Land'!F139,IF(AND(Projektgrundlagen!$I$23,'HB-D2 Besondere Lstg Bund'!M138=TRUE),'HB-D2 Besondere Lstg Bund'!C138&amp;" "&amp;'HB-D2 Besondere Lstg Bund'!F138&amp;" "&amp;'HB-D2 Besondere Lstg Bund'!F139,"")))</f>
        <v/>
      </c>
      <c r="C183" s="1192" t="str">
        <f>IF(AND(Projektgrundlagen!$I$21,'StB-D1 Besondere Lstg'!M138=TRUE),'StB-D1 Besondere Lstg'!H138,"")</f>
        <v/>
      </c>
      <c r="D183" s="1192" t="str">
        <f>IF(AND(Projektgrundlagen!$I$21,'StB-D1 Besondere Lstg'!M138=TRUE),'StB-D1 Besondere Lstg'!I138,IF(AND(Projektgrundlagen!$I$22,'HB-D1 Besondere Lstg Land'!M138=TRUE),(IF('HB-D1 Besondere Lstg Land'!H138&gt;0,"v.H.","pauschal")),IF(AND(Projektgrundlagen!$I$23,'HB-D2 Besondere Lstg Bund'!M138=TRUE),(IF('HB-D2 Besondere Lstg Bund'!H138&gt;0,"v.H.","pauschal")),"")))</f>
        <v/>
      </c>
      <c r="E183" s="1192" t="str">
        <f>IF(AND(Projektgrundlagen!$I$21,'StB-D1 Besondere Lstg'!M138=TRUE),'StB-D1 Besondere Lstg'!J138,IF(AND(Projektgrundlagen!$I$22,'HB-D1 Besondere Lstg Land'!M138=TRUE),'HB-D1 Besondere Lstg Land'!H138+'HB-D1 Besondere Lstg Land'!J138,IF(AND(Projektgrundlagen!$I$23,'HB-D2 Besondere Lstg Bund'!M138=TRUE),'HB-D2 Besondere Lstg Bund'!H138+'HB-D2 Besondere Lstg Bund'!J138,"")))</f>
        <v/>
      </c>
      <c r="F183" s="1192" t="str">
        <f>IF(AND(Projektgrundlagen!$I$21,'StB-D1 Besondere Lstg'!M138=TRUE),'StB-D1 Besondere Lstg'!K138,IF(AND(Projektgrundlagen!$I$22,'HB-D1 Besondere Lstg Land'!M138=TRUE),'HB-D1 Besondere Lstg Land'!K138,IF(AND(Projektgrundlagen!$I$23,'HB-D2 Besondere Lstg Bund'!M138=TRUE),'HB-D2 Besondere Lstg Bund'!K138,"")))</f>
        <v/>
      </c>
      <c r="G183" s="1200"/>
      <c r="H183" s="1201"/>
    </row>
    <row r="184" spans="2:8" ht="14.25">
      <c r="B184" t="str">
        <f>IF(AND(Projektgrundlagen!$I$21,'StB-D1 Besondere Lstg'!M139=TRUE),'StB-D1 Besondere Lstg'!C139&amp;" "&amp;'StB-D1 Besondere Lstg'!F139&amp;" "&amp;'StB-D1 Besondere Lstg'!F140,IF(AND(Projektgrundlagen!$I$22,'HB-D1 Besondere Lstg Land'!M139=TRUE),'HB-D1 Besondere Lstg Land'!C139&amp;" "&amp;'HB-D1 Besondere Lstg Land'!F139&amp;" "&amp;'HB-D1 Besondere Lstg Land'!F140,IF(AND(Projektgrundlagen!$I$23,'HB-D2 Besondere Lstg Bund'!M139=TRUE),'HB-D2 Besondere Lstg Bund'!C139&amp;" "&amp;'HB-D2 Besondere Lstg Bund'!F139&amp;" "&amp;'HB-D2 Besondere Lstg Bund'!F140,"")))</f>
        <v/>
      </c>
      <c r="C184" s="1192" t="str">
        <f>IF(AND(Projektgrundlagen!$I$21,'StB-D1 Besondere Lstg'!M139=TRUE),'StB-D1 Besondere Lstg'!H139,"")</f>
        <v/>
      </c>
      <c r="D184" s="1192" t="str">
        <f>IF(AND(Projektgrundlagen!$I$21,'StB-D1 Besondere Lstg'!M139=TRUE),'StB-D1 Besondere Lstg'!I139,IF(AND(Projektgrundlagen!$I$22,'HB-D1 Besondere Lstg Land'!M139=TRUE),(IF('HB-D1 Besondere Lstg Land'!H139&gt;0,"v.H.","pauschal")),IF(AND(Projektgrundlagen!$I$23,'HB-D2 Besondere Lstg Bund'!M139=TRUE),(IF('HB-D2 Besondere Lstg Bund'!H139&gt;0,"v.H.","pauschal")),"")))</f>
        <v/>
      </c>
      <c r="E184" s="1192" t="str">
        <f>IF(AND(Projektgrundlagen!$I$21,'StB-D1 Besondere Lstg'!M139=TRUE),'StB-D1 Besondere Lstg'!J139,IF(AND(Projektgrundlagen!$I$22,'HB-D1 Besondere Lstg Land'!M139=TRUE),'HB-D1 Besondere Lstg Land'!H139+'HB-D1 Besondere Lstg Land'!J139,IF(AND(Projektgrundlagen!$I$23,'HB-D2 Besondere Lstg Bund'!M139=TRUE),'HB-D2 Besondere Lstg Bund'!H139+'HB-D2 Besondere Lstg Bund'!J139,"")))</f>
        <v/>
      </c>
      <c r="F184" s="1192" t="str">
        <f>IF(AND(Projektgrundlagen!$I$21,'StB-D1 Besondere Lstg'!M139=TRUE),'StB-D1 Besondere Lstg'!K139,IF(AND(Projektgrundlagen!$I$22,'HB-D1 Besondere Lstg Land'!M139=TRUE),'HB-D1 Besondere Lstg Land'!K139,IF(AND(Projektgrundlagen!$I$23,'HB-D2 Besondere Lstg Bund'!M139=TRUE),'HB-D2 Besondere Lstg Bund'!K139,"")))</f>
        <v/>
      </c>
      <c r="G184" s="1200"/>
      <c r="H184" s="1201"/>
    </row>
    <row r="185" spans="2:8" ht="14.25">
      <c r="B185" t="str">
        <f>IF(AND(Projektgrundlagen!$I$21,'StB-D1 Besondere Lstg'!M140=TRUE),'StB-D1 Besondere Lstg'!C140&amp;" "&amp;'StB-D1 Besondere Lstg'!F140&amp;" "&amp;'StB-D1 Besondere Lstg'!F141,IF(AND(Projektgrundlagen!$I$22,'HB-D1 Besondere Lstg Land'!M140=TRUE),'HB-D1 Besondere Lstg Land'!C140&amp;" "&amp;'HB-D1 Besondere Lstg Land'!F140&amp;" "&amp;'HB-D1 Besondere Lstg Land'!F141,IF(AND(Projektgrundlagen!$I$23,'HB-D2 Besondere Lstg Bund'!M140=TRUE),'HB-D2 Besondere Lstg Bund'!C140&amp;" "&amp;'HB-D2 Besondere Lstg Bund'!F140&amp;" "&amp;'HB-D2 Besondere Lstg Bund'!F141,"")))</f>
        <v/>
      </c>
      <c r="C185" s="1192" t="str">
        <f>IF(AND(Projektgrundlagen!$I$21,'StB-D1 Besondere Lstg'!M140=TRUE),'StB-D1 Besondere Lstg'!H140,"")</f>
        <v/>
      </c>
      <c r="D185" s="1192" t="str">
        <f>IF(AND(Projektgrundlagen!$I$21,'StB-D1 Besondere Lstg'!M140=TRUE),'StB-D1 Besondere Lstg'!I140,IF(AND(Projektgrundlagen!$I$22,'HB-D1 Besondere Lstg Land'!M140=TRUE),(IF('HB-D1 Besondere Lstg Land'!H140&gt;0,"v.H.","pauschal")),IF(AND(Projektgrundlagen!$I$23,'HB-D2 Besondere Lstg Bund'!M140=TRUE),(IF('HB-D2 Besondere Lstg Bund'!H140&gt;0,"v.H.","pauschal")),"")))</f>
        <v/>
      </c>
      <c r="E185" s="1192" t="str">
        <f>IF(AND(Projektgrundlagen!$I$21,'StB-D1 Besondere Lstg'!M140=TRUE),'StB-D1 Besondere Lstg'!J140,IF(AND(Projektgrundlagen!$I$22,'HB-D1 Besondere Lstg Land'!M140=TRUE),'HB-D1 Besondere Lstg Land'!H140+'HB-D1 Besondere Lstg Land'!J140,IF(AND(Projektgrundlagen!$I$23,'HB-D2 Besondere Lstg Bund'!M140=TRUE),'HB-D2 Besondere Lstg Bund'!H140+'HB-D2 Besondere Lstg Bund'!J140,"")))</f>
        <v/>
      </c>
      <c r="F185" s="1192" t="str">
        <f>IF(AND(Projektgrundlagen!$I$21,'StB-D1 Besondere Lstg'!M140=TRUE),'StB-D1 Besondere Lstg'!K140,IF(AND(Projektgrundlagen!$I$22,'HB-D1 Besondere Lstg Land'!M140=TRUE),'HB-D1 Besondere Lstg Land'!K140,IF(AND(Projektgrundlagen!$I$23,'HB-D2 Besondere Lstg Bund'!M140=TRUE),'HB-D2 Besondere Lstg Bund'!K140,"")))</f>
        <v/>
      </c>
      <c r="G185" s="1200"/>
      <c r="H185" s="1201"/>
    </row>
    <row r="186" spans="2:8" ht="14.25">
      <c r="B186" t="str">
        <f>IF(AND(Projektgrundlagen!$I$21,'StB-D1 Besondere Lstg'!M141=TRUE),'StB-D1 Besondere Lstg'!C141&amp;" "&amp;'StB-D1 Besondere Lstg'!F141&amp;" "&amp;'StB-D1 Besondere Lstg'!F142,IF(AND(Projektgrundlagen!$I$22,'HB-D1 Besondere Lstg Land'!M141=TRUE),'HB-D1 Besondere Lstg Land'!C141&amp;" "&amp;'HB-D1 Besondere Lstg Land'!F141&amp;" "&amp;'HB-D1 Besondere Lstg Land'!F142,IF(AND(Projektgrundlagen!$I$23,'HB-D2 Besondere Lstg Bund'!M141=TRUE),'HB-D2 Besondere Lstg Bund'!C141&amp;" "&amp;'HB-D2 Besondere Lstg Bund'!F141&amp;" "&amp;'HB-D2 Besondere Lstg Bund'!F142,"")))</f>
        <v/>
      </c>
      <c r="C186" s="1192" t="str">
        <f>IF(AND(Projektgrundlagen!$I$21,'StB-D1 Besondere Lstg'!M141=TRUE),'StB-D1 Besondere Lstg'!H141,"")</f>
        <v/>
      </c>
      <c r="D186" s="1192" t="str">
        <f>IF(AND(Projektgrundlagen!$I$21,'StB-D1 Besondere Lstg'!M141=TRUE),'StB-D1 Besondere Lstg'!I141,IF(AND(Projektgrundlagen!$I$22,'HB-D1 Besondere Lstg Land'!M141=TRUE),(IF('HB-D1 Besondere Lstg Land'!H141&gt;0,"v.H.","pauschal")),IF(AND(Projektgrundlagen!$I$23,'HB-D2 Besondere Lstg Bund'!M141=TRUE),(IF('HB-D2 Besondere Lstg Bund'!H141&gt;0,"v.H.","pauschal")),"")))</f>
        <v/>
      </c>
      <c r="E186" s="1192" t="str">
        <f>IF(AND(Projektgrundlagen!$I$21,'StB-D1 Besondere Lstg'!M141=TRUE),'StB-D1 Besondere Lstg'!J141,IF(AND(Projektgrundlagen!$I$22,'HB-D1 Besondere Lstg Land'!M141=TRUE),'HB-D1 Besondere Lstg Land'!H141+'HB-D1 Besondere Lstg Land'!J141,IF(AND(Projektgrundlagen!$I$23,'HB-D2 Besondere Lstg Bund'!M141=TRUE),'HB-D2 Besondere Lstg Bund'!H141+'HB-D2 Besondere Lstg Bund'!J141,"")))</f>
        <v/>
      </c>
      <c r="F186" s="1192" t="str">
        <f>IF(AND(Projektgrundlagen!$I$21,'StB-D1 Besondere Lstg'!M141=TRUE),'StB-D1 Besondere Lstg'!K141,IF(AND(Projektgrundlagen!$I$22,'HB-D1 Besondere Lstg Land'!M141=TRUE),'HB-D1 Besondere Lstg Land'!K141,IF(AND(Projektgrundlagen!$I$23,'HB-D2 Besondere Lstg Bund'!M141=TRUE),'HB-D2 Besondere Lstg Bund'!K141,"")))</f>
        <v/>
      </c>
      <c r="G186" s="1200"/>
      <c r="H186" s="1201"/>
    </row>
    <row r="187" spans="2:8" ht="14.25">
      <c r="B187" t="str">
        <f>IF(AND(Projektgrundlagen!$I$21,'StB-D1 Besondere Lstg'!M142=TRUE),'StB-D1 Besondere Lstg'!C142&amp;" "&amp;'StB-D1 Besondere Lstg'!F142&amp;" "&amp;'StB-D1 Besondere Lstg'!F143,IF(AND(Projektgrundlagen!$I$22,'HB-D1 Besondere Lstg Land'!M142=TRUE),'HB-D1 Besondere Lstg Land'!C142&amp;" "&amp;'HB-D1 Besondere Lstg Land'!F142&amp;" "&amp;'HB-D1 Besondere Lstg Land'!F143,IF(AND(Projektgrundlagen!$I$23,'HB-D2 Besondere Lstg Bund'!M142=TRUE),'HB-D2 Besondere Lstg Bund'!C142&amp;" "&amp;'HB-D2 Besondere Lstg Bund'!F142&amp;" "&amp;'HB-D2 Besondere Lstg Bund'!F143,"")))</f>
        <v/>
      </c>
      <c r="C187" s="1192" t="str">
        <f>IF(AND(Projektgrundlagen!$I$21,'StB-D1 Besondere Lstg'!M142=TRUE),'StB-D1 Besondere Lstg'!H142,"")</f>
        <v/>
      </c>
      <c r="D187" s="1192" t="str">
        <f>IF(AND(Projektgrundlagen!$I$21,'StB-D1 Besondere Lstg'!M142=TRUE),'StB-D1 Besondere Lstg'!I142,IF(AND(Projektgrundlagen!$I$22,'HB-D1 Besondere Lstg Land'!M142=TRUE),(IF('HB-D1 Besondere Lstg Land'!H142&gt;0,"v.H.","pauschal")),IF(AND(Projektgrundlagen!$I$23,'HB-D2 Besondere Lstg Bund'!M142=TRUE),(IF('HB-D2 Besondere Lstg Bund'!H142&gt;0,"v.H.","pauschal")),"")))</f>
        <v/>
      </c>
      <c r="E187" s="1192" t="str">
        <f>IF(AND(Projektgrundlagen!$I$21,'StB-D1 Besondere Lstg'!M142=TRUE),'StB-D1 Besondere Lstg'!J142,IF(AND(Projektgrundlagen!$I$22,'HB-D1 Besondere Lstg Land'!M142=TRUE),'HB-D1 Besondere Lstg Land'!H142+'HB-D1 Besondere Lstg Land'!J142,IF(AND(Projektgrundlagen!$I$23,'HB-D2 Besondere Lstg Bund'!M142=TRUE),'HB-D2 Besondere Lstg Bund'!H142+'HB-D2 Besondere Lstg Bund'!J142,"")))</f>
        <v/>
      </c>
      <c r="F187" s="1192" t="str">
        <f>IF(AND(Projektgrundlagen!$I$21,'StB-D1 Besondere Lstg'!M142=TRUE),'StB-D1 Besondere Lstg'!K142,IF(AND(Projektgrundlagen!$I$22,'HB-D1 Besondere Lstg Land'!M142=TRUE),'HB-D1 Besondere Lstg Land'!K142,IF(AND(Projektgrundlagen!$I$23,'HB-D2 Besondere Lstg Bund'!M142=TRUE),'HB-D2 Besondere Lstg Bund'!K142,"")))</f>
        <v/>
      </c>
      <c r="G187" s="1200"/>
      <c r="H187" s="1201"/>
    </row>
    <row r="188" spans="2:8" ht="14.25">
      <c r="B188" t="str">
        <f>IF(AND(Projektgrundlagen!$I$21,'StB-D1 Besondere Lstg'!M143=TRUE),'StB-D1 Besondere Lstg'!C143&amp;" "&amp;'StB-D1 Besondere Lstg'!F143&amp;" "&amp;'StB-D1 Besondere Lstg'!F144,IF(AND(Projektgrundlagen!$I$22,'HB-D1 Besondere Lstg Land'!M143=TRUE),'HB-D1 Besondere Lstg Land'!C143&amp;" "&amp;'HB-D1 Besondere Lstg Land'!F143&amp;" "&amp;'HB-D1 Besondere Lstg Land'!F144,IF(AND(Projektgrundlagen!$I$23,'HB-D2 Besondere Lstg Bund'!M143=TRUE),'HB-D2 Besondere Lstg Bund'!C143&amp;" "&amp;'HB-D2 Besondere Lstg Bund'!F143&amp;" "&amp;'HB-D2 Besondere Lstg Bund'!F144,"")))</f>
        <v/>
      </c>
      <c r="C188" s="1192" t="str">
        <f>IF(AND(Projektgrundlagen!$I$21,'StB-D1 Besondere Lstg'!M143=TRUE),'StB-D1 Besondere Lstg'!H143,"")</f>
        <v/>
      </c>
      <c r="D188" s="1192" t="str">
        <f>IF(AND(Projektgrundlagen!$I$21,'StB-D1 Besondere Lstg'!M143=TRUE),'StB-D1 Besondere Lstg'!I143,IF(AND(Projektgrundlagen!$I$22,'HB-D1 Besondere Lstg Land'!M143=TRUE),(IF('HB-D1 Besondere Lstg Land'!H143&gt;0,"v.H.","pauschal")),IF(AND(Projektgrundlagen!$I$23,'HB-D2 Besondere Lstg Bund'!M143=TRUE),(IF('HB-D2 Besondere Lstg Bund'!H143&gt;0,"v.H.","pauschal")),"")))</f>
        <v/>
      </c>
      <c r="E188" s="1192" t="str">
        <f>IF(AND(Projektgrundlagen!$I$21,'StB-D1 Besondere Lstg'!M143=TRUE),'StB-D1 Besondere Lstg'!J143,IF(AND(Projektgrundlagen!$I$22,'HB-D1 Besondere Lstg Land'!M143=TRUE),'HB-D1 Besondere Lstg Land'!H143+'HB-D1 Besondere Lstg Land'!J143,IF(AND(Projektgrundlagen!$I$23,'HB-D2 Besondere Lstg Bund'!M143=TRUE),'HB-D2 Besondere Lstg Bund'!H143+'HB-D2 Besondere Lstg Bund'!J143,"")))</f>
        <v/>
      </c>
      <c r="F188" s="1192" t="str">
        <f>IF(AND(Projektgrundlagen!$I$21,'StB-D1 Besondere Lstg'!M143=TRUE),'StB-D1 Besondere Lstg'!K143,IF(AND(Projektgrundlagen!$I$22,'HB-D1 Besondere Lstg Land'!M143=TRUE),'HB-D1 Besondere Lstg Land'!K143,IF(AND(Projektgrundlagen!$I$23,'HB-D2 Besondere Lstg Bund'!M143=TRUE),'HB-D2 Besondere Lstg Bund'!K143,"")))</f>
        <v/>
      </c>
      <c r="G188" s="1200"/>
      <c r="H188" s="1201"/>
    </row>
    <row r="189" spans="2:8" ht="14.25">
      <c r="B189" t="str">
        <f>IF(AND(Projektgrundlagen!$I$21,'StB-D1 Besondere Lstg'!M144=TRUE),'StB-D1 Besondere Lstg'!C144&amp;" "&amp;'StB-D1 Besondere Lstg'!F144&amp;" "&amp;'StB-D1 Besondere Lstg'!F145,IF(AND(Projektgrundlagen!$I$22,'HB-D1 Besondere Lstg Land'!M144=TRUE),'HB-D1 Besondere Lstg Land'!C144&amp;" "&amp;'HB-D1 Besondere Lstg Land'!F144&amp;" "&amp;'HB-D1 Besondere Lstg Land'!F145,IF(AND(Projektgrundlagen!$I$23,'HB-D2 Besondere Lstg Bund'!M144=TRUE),'HB-D2 Besondere Lstg Bund'!C144&amp;" "&amp;'HB-D2 Besondere Lstg Bund'!F144&amp;" "&amp;'HB-D2 Besondere Lstg Bund'!F145,"")))</f>
        <v/>
      </c>
      <c r="C189" s="1192" t="str">
        <f>IF(AND(Projektgrundlagen!$I$21,'StB-D1 Besondere Lstg'!M144=TRUE),'StB-D1 Besondere Lstg'!H144,"")</f>
        <v/>
      </c>
      <c r="D189" s="1192" t="str">
        <f>IF(AND(Projektgrundlagen!$I$21,'StB-D1 Besondere Lstg'!M144=TRUE),'StB-D1 Besondere Lstg'!I144,IF(AND(Projektgrundlagen!$I$22,'HB-D1 Besondere Lstg Land'!M144=TRUE),(IF('HB-D1 Besondere Lstg Land'!H144&gt;0,"v.H.","pauschal")),IF(AND(Projektgrundlagen!$I$23,'HB-D2 Besondere Lstg Bund'!M144=TRUE),(IF('HB-D2 Besondere Lstg Bund'!H144&gt;0,"v.H.","pauschal")),"")))</f>
        <v/>
      </c>
      <c r="E189" s="1192" t="str">
        <f>IF(AND(Projektgrundlagen!$I$21,'StB-D1 Besondere Lstg'!M144=TRUE),'StB-D1 Besondere Lstg'!J144,IF(AND(Projektgrundlagen!$I$22,'HB-D1 Besondere Lstg Land'!M144=TRUE),'HB-D1 Besondere Lstg Land'!H144+'HB-D1 Besondere Lstg Land'!J144,IF(AND(Projektgrundlagen!$I$23,'HB-D2 Besondere Lstg Bund'!M144=TRUE),'HB-D2 Besondere Lstg Bund'!H144+'HB-D2 Besondere Lstg Bund'!J144,"")))</f>
        <v/>
      </c>
      <c r="F189" s="1192" t="str">
        <f>IF(AND(Projektgrundlagen!$I$21,'StB-D1 Besondere Lstg'!M144=TRUE),'StB-D1 Besondere Lstg'!K144,IF(AND(Projektgrundlagen!$I$22,'HB-D1 Besondere Lstg Land'!M144=TRUE),'HB-D1 Besondere Lstg Land'!K144,IF(AND(Projektgrundlagen!$I$23,'HB-D2 Besondere Lstg Bund'!M144=TRUE),'HB-D2 Besondere Lstg Bund'!K144,"")))</f>
        <v/>
      </c>
      <c r="G189" s="1200"/>
      <c r="H189" s="1201"/>
    </row>
    <row r="190" spans="2:8" ht="14.25">
      <c r="B190" t="str">
        <f>IF(AND(Projektgrundlagen!$I$21,'StB-D1 Besondere Lstg'!M145=TRUE),'StB-D1 Besondere Lstg'!C145&amp;" "&amp;'StB-D1 Besondere Lstg'!F145&amp;" "&amp;'StB-D1 Besondere Lstg'!F146,IF(AND(Projektgrundlagen!$I$22,'HB-D1 Besondere Lstg Land'!M145=TRUE),'HB-D1 Besondere Lstg Land'!C145&amp;" "&amp;'HB-D1 Besondere Lstg Land'!F145&amp;" "&amp;'HB-D1 Besondere Lstg Land'!F146,IF(AND(Projektgrundlagen!$I$23,'HB-D2 Besondere Lstg Bund'!M145=TRUE),'HB-D2 Besondere Lstg Bund'!C145&amp;" "&amp;'HB-D2 Besondere Lstg Bund'!F145&amp;" "&amp;'HB-D2 Besondere Lstg Bund'!F146,"")))</f>
        <v/>
      </c>
      <c r="C190" s="1192" t="str">
        <f>IF(AND(Projektgrundlagen!$I$21,'StB-D1 Besondere Lstg'!M145=TRUE),'StB-D1 Besondere Lstg'!H145,"")</f>
        <v/>
      </c>
      <c r="D190" s="1192" t="str">
        <f>IF(AND(Projektgrundlagen!$I$21,'StB-D1 Besondere Lstg'!M145=TRUE),'StB-D1 Besondere Lstg'!I145,IF(AND(Projektgrundlagen!$I$22,'HB-D1 Besondere Lstg Land'!M145=TRUE),(IF('HB-D1 Besondere Lstg Land'!H145&gt;0,"v.H.","pauschal")),IF(AND(Projektgrundlagen!$I$23,'HB-D2 Besondere Lstg Bund'!M145=TRUE),(IF('HB-D2 Besondere Lstg Bund'!H145&gt;0,"v.H.","pauschal")),"")))</f>
        <v/>
      </c>
      <c r="E190" s="1192" t="str">
        <f>IF(AND(Projektgrundlagen!$I$21,'StB-D1 Besondere Lstg'!M145=TRUE),'StB-D1 Besondere Lstg'!J145,IF(AND(Projektgrundlagen!$I$22,'HB-D1 Besondere Lstg Land'!M145=TRUE),'HB-D1 Besondere Lstg Land'!H145+'HB-D1 Besondere Lstg Land'!J145,IF(AND(Projektgrundlagen!$I$23,'HB-D2 Besondere Lstg Bund'!M145=TRUE),'HB-D2 Besondere Lstg Bund'!H145+'HB-D2 Besondere Lstg Bund'!J145,"")))</f>
        <v/>
      </c>
      <c r="F190" s="1192" t="str">
        <f>IF(AND(Projektgrundlagen!$I$21,'StB-D1 Besondere Lstg'!M145=TRUE),'StB-D1 Besondere Lstg'!K145,IF(AND(Projektgrundlagen!$I$22,'HB-D1 Besondere Lstg Land'!M145=TRUE),'HB-D1 Besondere Lstg Land'!K145,IF(AND(Projektgrundlagen!$I$23,'HB-D2 Besondere Lstg Bund'!M145=TRUE),'HB-D2 Besondere Lstg Bund'!K145,"")))</f>
        <v/>
      </c>
      <c r="G190" s="1200"/>
      <c r="H190" s="1201"/>
    </row>
    <row r="191" spans="2:8" ht="14.25">
      <c r="B191" t="str">
        <f>IF(AND(Projektgrundlagen!$I$21,'StB-D1 Besondere Lstg'!M146=TRUE),'StB-D1 Besondere Lstg'!C146&amp;" "&amp;'StB-D1 Besondere Lstg'!F146&amp;" "&amp;'StB-D1 Besondere Lstg'!F147,IF(AND(Projektgrundlagen!$I$22,'HB-D1 Besondere Lstg Land'!M146=TRUE),'HB-D1 Besondere Lstg Land'!C146&amp;" "&amp;'HB-D1 Besondere Lstg Land'!F146&amp;" "&amp;'HB-D1 Besondere Lstg Land'!F147,IF(AND(Projektgrundlagen!$I$23,'HB-D2 Besondere Lstg Bund'!M146=TRUE),'HB-D2 Besondere Lstg Bund'!C146&amp;" "&amp;'HB-D2 Besondere Lstg Bund'!F146&amp;" "&amp;'HB-D2 Besondere Lstg Bund'!F147,"")))</f>
        <v/>
      </c>
      <c r="C191" s="1192" t="str">
        <f>IF(AND(Projektgrundlagen!$I$21,'StB-D1 Besondere Lstg'!M146=TRUE),'StB-D1 Besondere Lstg'!H146,"")</f>
        <v/>
      </c>
      <c r="D191" s="1192" t="str">
        <f>IF(AND(Projektgrundlagen!$I$21,'StB-D1 Besondere Lstg'!M146=TRUE),'StB-D1 Besondere Lstg'!I146,IF(AND(Projektgrundlagen!$I$22,'HB-D1 Besondere Lstg Land'!M146=TRUE),(IF('HB-D1 Besondere Lstg Land'!H146&gt;0,"v.H.","pauschal")),IF(AND(Projektgrundlagen!$I$23,'HB-D2 Besondere Lstg Bund'!M146=TRUE),(IF('HB-D2 Besondere Lstg Bund'!H146&gt;0,"v.H.","pauschal")),"")))</f>
        <v/>
      </c>
      <c r="E191" s="1192" t="str">
        <f>IF(AND(Projektgrundlagen!$I$21,'StB-D1 Besondere Lstg'!M146=TRUE),'StB-D1 Besondere Lstg'!J146,IF(AND(Projektgrundlagen!$I$22,'HB-D1 Besondere Lstg Land'!M146=TRUE),'HB-D1 Besondere Lstg Land'!H146+'HB-D1 Besondere Lstg Land'!J146,IF(AND(Projektgrundlagen!$I$23,'HB-D2 Besondere Lstg Bund'!M146=TRUE),'HB-D2 Besondere Lstg Bund'!H146+'HB-D2 Besondere Lstg Bund'!J146,"")))</f>
        <v/>
      </c>
      <c r="F191" s="1192" t="str">
        <f>IF(AND(Projektgrundlagen!$I$21,'StB-D1 Besondere Lstg'!M146=TRUE),'StB-D1 Besondere Lstg'!K146,IF(AND(Projektgrundlagen!$I$22,'HB-D1 Besondere Lstg Land'!M146=TRUE),'HB-D1 Besondere Lstg Land'!K146,IF(AND(Projektgrundlagen!$I$23,'HB-D2 Besondere Lstg Bund'!M146=TRUE),'HB-D2 Besondere Lstg Bund'!K146,"")))</f>
        <v/>
      </c>
      <c r="G191" s="1200"/>
      <c r="H191" s="1201"/>
    </row>
    <row r="192" spans="2:8" ht="14.25">
      <c r="B192" t="str">
        <f>IF(AND(Projektgrundlagen!$I$21,'StB-D1 Besondere Lstg'!M147=TRUE),'StB-D1 Besondere Lstg'!C147&amp;" "&amp;'StB-D1 Besondere Lstg'!F147&amp;" "&amp;'StB-D1 Besondere Lstg'!F148,IF(AND(Projektgrundlagen!$I$22,'HB-D1 Besondere Lstg Land'!M147=TRUE),'HB-D1 Besondere Lstg Land'!C147&amp;" "&amp;'HB-D1 Besondere Lstg Land'!F147&amp;" "&amp;'HB-D1 Besondere Lstg Land'!F148,IF(AND(Projektgrundlagen!$I$23,'HB-D2 Besondere Lstg Bund'!M147=TRUE),'HB-D2 Besondere Lstg Bund'!C147&amp;" "&amp;'HB-D2 Besondere Lstg Bund'!F147&amp;" "&amp;'HB-D2 Besondere Lstg Bund'!F148,"")))</f>
        <v/>
      </c>
      <c r="C192" s="1192" t="str">
        <f>IF(AND(Projektgrundlagen!$I$21,'StB-D1 Besondere Lstg'!M147=TRUE),'StB-D1 Besondere Lstg'!H147,"")</f>
        <v/>
      </c>
      <c r="D192" s="1192" t="str">
        <f>IF(AND(Projektgrundlagen!$I$21,'StB-D1 Besondere Lstg'!M147=TRUE),'StB-D1 Besondere Lstg'!I147,IF(AND(Projektgrundlagen!$I$22,'HB-D1 Besondere Lstg Land'!M147=TRUE),(IF('HB-D1 Besondere Lstg Land'!H147&gt;0,"v.H.","pauschal")),IF(AND(Projektgrundlagen!$I$23,'HB-D2 Besondere Lstg Bund'!M147=TRUE),(IF('HB-D2 Besondere Lstg Bund'!H147&gt;0,"v.H.","pauschal")),"")))</f>
        <v/>
      </c>
      <c r="E192" s="1192" t="str">
        <f>IF(AND(Projektgrundlagen!$I$21,'StB-D1 Besondere Lstg'!M147=TRUE),'StB-D1 Besondere Lstg'!J147,IF(AND(Projektgrundlagen!$I$22,'HB-D1 Besondere Lstg Land'!M147=TRUE),'HB-D1 Besondere Lstg Land'!H147+'HB-D1 Besondere Lstg Land'!J147,IF(AND(Projektgrundlagen!$I$23,'HB-D2 Besondere Lstg Bund'!M147=TRUE),'HB-D2 Besondere Lstg Bund'!H147+'HB-D2 Besondere Lstg Bund'!J147,"")))</f>
        <v/>
      </c>
      <c r="F192" s="1192" t="str">
        <f>IF(AND(Projektgrundlagen!$I$21,'StB-D1 Besondere Lstg'!M147=TRUE),'StB-D1 Besondere Lstg'!K147,IF(AND(Projektgrundlagen!$I$22,'HB-D1 Besondere Lstg Land'!M147=TRUE),'HB-D1 Besondere Lstg Land'!K147,IF(AND(Projektgrundlagen!$I$23,'HB-D2 Besondere Lstg Bund'!M147=TRUE),'HB-D2 Besondere Lstg Bund'!K147,"")))</f>
        <v/>
      </c>
      <c r="G192" s="1200"/>
      <c r="H192" s="1201"/>
    </row>
    <row r="193" spans="2:8" ht="14.25">
      <c r="B193" t="str">
        <f>IF(AND(Projektgrundlagen!$I$21,'StB-D1 Besondere Lstg'!M148=TRUE),'StB-D1 Besondere Lstg'!C148&amp;" "&amp;'StB-D1 Besondere Lstg'!F148&amp;" "&amp;'StB-D1 Besondere Lstg'!F149,IF(AND(Projektgrundlagen!$I$22,'HB-D1 Besondere Lstg Land'!M148=TRUE),'HB-D1 Besondere Lstg Land'!C148&amp;" "&amp;'HB-D1 Besondere Lstg Land'!F148&amp;" "&amp;'HB-D1 Besondere Lstg Land'!F149,IF(AND(Projektgrundlagen!$I$23,'HB-D2 Besondere Lstg Bund'!M148=TRUE),'HB-D2 Besondere Lstg Bund'!C148&amp;" "&amp;'HB-D2 Besondere Lstg Bund'!F148&amp;" "&amp;'HB-D2 Besondere Lstg Bund'!F149,"")))</f>
        <v/>
      </c>
      <c r="C193" s="1192" t="str">
        <f>IF(AND(Projektgrundlagen!$I$21,'StB-D1 Besondere Lstg'!M148=TRUE),'StB-D1 Besondere Lstg'!H148,"")</f>
        <v/>
      </c>
      <c r="D193" s="1192" t="str">
        <f>IF(AND(Projektgrundlagen!$I$21,'StB-D1 Besondere Lstg'!M148=TRUE),'StB-D1 Besondere Lstg'!I148,IF(AND(Projektgrundlagen!$I$22,'HB-D1 Besondere Lstg Land'!M148=TRUE),(IF('HB-D1 Besondere Lstg Land'!H148&gt;0,"v.H.","pauschal")),IF(AND(Projektgrundlagen!$I$23,'HB-D2 Besondere Lstg Bund'!M148=TRUE),(IF('HB-D2 Besondere Lstg Bund'!H148&gt;0,"v.H.","pauschal")),"")))</f>
        <v/>
      </c>
      <c r="E193" s="1192" t="str">
        <f>IF(AND(Projektgrundlagen!$I$21,'StB-D1 Besondere Lstg'!M148=TRUE),'StB-D1 Besondere Lstg'!J148,IF(AND(Projektgrundlagen!$I$22,'HB-D1 Besondere Lstg Land'!M148=TRUE),'HB-D1 Besondere Lstg Land'!H148+'HB-D1 Besondere Lstg Land'!J148,IF(AND(Projektgrundlagen!$I$23,'HB-D2 Besondere Lstg Bund'!M148=TRUE),'HB-D2 Besondere Lstg Bund'!H148+'HB-D2 Besondere Lstg Bund'!J148,"")))</f>
        <v/>
      </c>
      <c r="F193" s="1192" t="str">
        <f>IF(AND(Projektgrundlagen!$I$21,'StB-D1 Besondere Lstg'!M148=TRUE),'StB-D1 Besondere Lstg'!K148,IF(AND(Projektgrundlagen!$I$22,'HB-D1 Besondere Lstg Land'!M148=TRUE),'HB-D1 Besondere Lstg Land'!K148,IF(AND(Projektgrundlagen!$I$23,'HB-D2 Besondere Lstg Bund'!M148=TRUE),'HB-D2 Besondere Lstg Bund'!K148,"")))</f>
        <v/>
      </c>
      <c r="G193" s="1200"/>
      <c r="H193" s="1201"/>
    </row>
    <row r="194" spans="2:8" ht="14.25">
      <c r="B194" t="str">
        <f>IF(AND(Projektgrundlagen!$I$21,'StB-D1 Besondere Lstg'!M149=TRUE),'StB-D1 Besondere Lstg'!C149&amp;" "&amp;'StB-D1 Besondere Lstg'!F149&amp;" "&amp;'StB-D1 Besondere Lstg'!F150,IF(AND(Projektgrundlagen!$I$22,'HB-D1 Besondere Lstg Land'!M149=TRUE),'HB-D1 Besondere Lstg Land'!C149&amp;" "&amp;'HB-D1 Besondere Lstg Land'!F149&amp;" "&amp;'HB-D1 Besondere Lstg Land'!F150,IF(AND(Projektgrundlagen!$I$23,'HB-D2 Besondere Lstg Bund'!M149=TRUE),'HB-D2 Besondere Lstg Bund'!C149&amp;" "&amp;'HB-D2 Besondere Lstg Bund'!F149&amp;" "&amp;'HB-D2 Besondere Lstg Bund'!F150,"")))</f>
        <v/>
      </c>
      <c r="C194" s="1192" t="str">
        <f>IF(AND(Projektgrundlagen!$I$21,'StB-D1 Besondere Lstg'!M149=TRUE),'StB-D1 Besondere Lstg'!H149,"")</f>
        <v/>
      </c>
      <c r="D194" s="1192" t="str">
        <f>IF(AND(Projektgrundlagen!$I$21,'StB-D1 Besondere Lstg'!M149=TRUE),'StB-D1 Besondere Lstg'!I149,IF(AND(Projektgrundlagen!$I$22,'HB-D1 Besondere Lstg Land'!M149=TRUE),(IF('HB-D1 Besondere Lstg Land'!H149&gt;0,"v.H.","pauschal")),IF(AND(Projektgrundlagen!$I$23,'HB-D2 Besondere Lstg Bund'!M149=TRUE),(IF('HB-D2 Besondere Lstg Bund'!H149&gt;0,"v.H.","pauschal")),"")))</f>
        <v/>
      </c>
      <c r="E194" s="1192" t="str">
        <f>IF(AND(Projektgrundlagen!$I$21,'StB-D1 Besondere Lstg'!M149=TRUE),'StB-D1 Besondere Lstg'!J149,IF(AND(Projektgrundlagen!$I$22,'HB-D1 Besondere Lstg Land'!M149=TRUE),'HB-D1 Besondere Lstg Land'!H149+'HB-D1 Besondere Lstg Land'!J149,IF(AND(Projektgrundlagen!$I$23,'HB-D2 Besondere Lstg Bund'!M149=TRUE),'HB-D2 Besondere Lstg Bund'!H149+'HB-D2 Besondere Lstg Bund'!J149,"")))</f>
        <v/>
      </c>
      <c r="F194" s="1192" t="str">
        <f>IF(AND(Projektgrundlagen!$I$21,'StB-D1 Besondere Lstg'!M149=TRUE),'StB-D1 Besondere Lstg'!K149,IF(AND(Projektgrundlagen!$I$22,'HB-D1 Besondere Lstg Land'!M149=TRUE),'HB-D1 Besondere Lstg Land'!K149,IF(AND(Projektgrundlagen!$I$23,'HB-D2 Besondere Lstg Bund'!M149=TRUE),'HB-D2 Besondere Lstg Bund'!K149,"")))</f>
        <v/>
      </c>
      <c r="G194" s="1200"/>
      <c r="H194" s="1201"/>
    </row>
    <row r="195" spans="2:8" ht="14.25">
      <c r="B195" t="str">
        <f>IF(AND(Projektgrundlagen!$I$21,'StB-D1 Besondere Lstg'!M150=TRUE),'StB-D1 Besondere Lstg'!C150&amp;" "&amp;'StB-D1 Besondere Lstg'!F150&amp;" "&amp;'StB-D1 Besondere Lstg'!F151,IF(AND(Projektgrundlagen!$I$22,'HB-D1 Besondere Lstg Land'!M150=TRUE),'HB-D1 Besondere Lstg Land'!C150&amp;" "&amp;'HB-D1 Besondere Lstg Land'!F150&amp;" "&amp;'HB-D1 Besondere Lstg Land'!F151,IF(AND(Projektgrundlagen!$I$23,'HB-D2 Besondere Lstg Bund'!M150=TRUE),'HB-D2 Besondere Lstg Bund'!C150&amp;" "&amp;'HB-D2 Besondere Lstg Bund'!F150&amp;" "&amp;'HB-D2 Besondere Lstg Bund'!F151,"")))</f>
        <v/>
      </c>
      <c r="C195" s="1192" t="str">
        <f>IF(AND(Projektgrundlagen!$I$21,'StB-D1 Besondere Lstg'!M150=TRUE),'StB-D1 Besondere Lstg'!H150,"")</f>
        <v/>
      </c>
      <c r="D195" s="1192" t="str">
        <f>IF(AND(Projektgrundlagen!$I$21,'StB-D1 Besondere Lstg'!M150=TRUE),'StB-D1 Besondere Lstg'!I150,IF(AND(Projektgrundlagen!$I$22,'HB-D1 Besondere Lstg Land'!M150=TRUE),(IF('HB-D1 Besondere Lstg Land'!H150&gt;0,"v.H.","pauschal")),IF(AND(Projektgrundlagen!$I$23,'HB-D2 Besondere Lstg Bund'!M150=TRUE),(IF('HB-D2 Besondere Lstg Bund'!H150&gt;0,"v.H.","pauschal")),"")))</f>
        <v/>
      </c>
      <c r="E195" s="1192" t="str">
        <f>IF(AND(Projektgrundlagen!$I$21,'StB-D1 Besondere Lstg'!M150=TRUE),'StB-D1 Besondere Lstg'!J150,IF(AND(Projektgrundlagen!$I$22,'HB-D1 Besondere Lstg Land'!M150=TRUE),'HB-D1 Besondere Lstg Land'!H150+'HB-D1 Besondere Lstg Land'!J150,IF(AND(Projektgrundlagen!$I$23,'HB-D2 Besondere Lstg Bund'!M150=TRUE),'HB-D2 Besondere Lstg Bund'!H150+'HB-D2 Besondere Lstg Bund'!J150,"")))</f>
        <v/>
      </c>
      <c r="F195" s="1192" t="str">
        <f>IF(AND(Projektgrundlagen!$I$21,'StB-D1 Besondere Lstg'!M150=TRUE),'StB-D1 Besondere Lstg'!K150,IF(AND(Projektgrundlagen!$I$22,'HB-D1 Besondere Lstg Land'!M150=TRUE),'HB-D1 Besondere Lstg Land'!K150,IF(AND(Projektgrundlagen!$I$23,'HB-D2 Besondere Lstg Bund'!M150=TRUE),'HB-D2 Besondere Lstg Bund'!K150,"")))</f>
        <v/>
      </c>
      <c r="G195" s="1200"/>
      <c r="H195" s="1201"/>
    </row>
    <row r="196" spans="2:8" ht="14.25">
      <c r="B196" t="str">
        <f>IF(AND(Projektgrundlagen!$I$21,'StB-D1 Besondere Lstg'!M151=TRUE),'StB-D1 Besondere Lstg'!C151&amp;" "&amp;'StB-D1 Besondere Lstg'!F151&amp;" "&amp;'StB-D1 Besondere Lstg'!F152,IF(AND(Projektgrundlagen!$I$22,'HB-D1 Besondere Lstg Land'!M151=TRUE),'HB-D1 Besondere Lstg Land'!C151&amp;" "&amp;'HB-D1 Besondere Lstg Land'!F151&amp;" "&amp;'HB-D1 Besondere Lstg Land'!F152,IF(AND(Projektgrundlagen!$I$23,'HB-D2 Besondere Lstg Bund'!M151=TRUE),'HB-D2 Besondere Lstg Bund'!C151&amp;" "&amp;'HB-D2 Besondere Lstg Bund'!F151&amp;" "&amp;'HB-D2 Besondere Lstg Bund'!F152,"")))</f>
        <v/>
      </c>
      <c r="C196" s="1192" t="str">
        <f>IF(AND(Projektgrundlagen!$I$21,'StB-D1 Besondere Lstg'!M151=TRUE),'StB-D1 Besondere Lstg'!H151,"")</f>
        <v/>
      </c>
      <c r="D196" s="1192" t="str">
        <f>IF(AND(Projektgrundlagen!$I$21,'StB-D1 Besondere Lstg'!M151=TRUE),'StB-D1 Besondere Lstg'!I151,IF(AND(Projektgrundlagen!$I$22,'HB-D1 Besondere Lstg Land'!M151=TRUE),(IF('HB-D1 Besondere Lstg Land'!H151&gt;0,"v.H.","pauschal")),IF(AND(Projektgrundlagen!$I$23,'HB-D2 Besondere Lstg Bund'!M151=TRUE),(IF('HB-D2 Besondere Lstg Bund'!H151&gt;0,"v.H.","pauschal")),"")))</f>
        <v/>
      </c>
      <c r="E196" s="1192" t="str">
        <f>IF(AND(Projektgrundlagen!$I$21,'StB-D1 Besondere Lstg'!M151=TRUE),'StB-D1 Besondere Lstg'!J151,IF(AND(Projektgrundlagen!$I$22,'HB-D1 Besondere Lstg Land'!M151=TRUE),'HB-D1 Besondere Lstg Land'!H151+'HB-D1 Besondere Lstg Land'!J151,IF(AND(Projektgrundlagen!$I$23,'HB-D2 Besondere Lstg Bund'!M151=TRUE),'HB-D2 Besondere Lstg Bund'!H151+'HB-D2 Besondere Lstg Bund'!J151,"")))</f>
        <v/>
      </c>
      <c r="F196" s="1192" t="str">
        <f>IF(AND(Projektgrundlagen!$I$21,'StB-D1 Besondere Lstg'!M151=TRUE),'StB-D1 Besondere Lstg'!K151,IF(AND(Projektgrundlagen!$I$22,'HB-D1 Besondere Lstg Land'!M151=TRUE),'HB-D1 Besondere Lstg Land'!K151,IF(AND(Projektgrundlagen!$I$23,'HB-D2 Besondere Lstg Bund'!M151=TRUE),'HB-D2 Besondere Lstg Bund'!K151,"")))</f>
        <v/>
      </c>
      <c r="G196" s="1200"/>
      <c r="H196" s="1201"/>
    </row>
    <row r="197" spans="2:8" ht="14.25">
      <c r="B197" t="str">
        <f>IF(AND(Projektgrundlagen!$I$21,'StB-D1 Besondere Lstg'!M152=TRUE),'StB-D1 Besondere Lstg'!C152&amp;" "&amp;'StB-D1 Besondere Lstg'!F152&amp;" "&amp;'StB-D1 Besondere Lstg'!F153,IF(AND(Projektgrundlagen!$I$22,'HB-D1 Besondere Lstg Land'!M152=TRUE),'HB-D1 Besondere Lstg Land'!C152&amp;" "&amp;'HB-D1 Besondere Lstg Land'!F152&amp;" "&amp;'HB-D1 Besondere Lstg Land'!F153,IF(AND(Projektgrundlagen!$I$23,'HB-D2 Besondere Lstg Bund'!M152=TRUE),'HB-D2 Besondere Lstg Bund'!C152&amp;" "&amp;'HB-D2 Besondere Lstg Bund'!F152&amp;" "&amp;'HB-D2 Besondere Lstg Bund'!F153,"")))</f>
        <v/>
      </c>
      <c r="C197" s="1192" t="str">
        <f>IF(AND(Projektgrundlagen!$I$21,'StB-D1 Besondere Lstg'!M152=TRUE),'StB-D1 Besondere Lstg'!H152,"")</f>
        <v/>
      </c>
      <c r="D197" s="1192" t="str">
        <f>IF(AND(Projektgrundlagen!$I$21,'StB-D1 Besondere Lstg'!M152=TRUE),'StB-D1 Besondere Lstg'!I152,IF(AND(Projektgrundlagen!$I$22,'HB-D1 Besondere Lstg Land'!M152=TRUE),(IF('HB-D1 Besondere Lstg Land'!H152&gt;0,"v.H.","pauschal")),IF(AND(Projektgrundlagen!$I$23,'HB-D2 Besondere Lstg Bund'!M152=TRUE),(IF('HB-D2 Besondere Lstg Bund'!H152&gt;0,"v.H.","pauschal")),"")))</f>
        <v/>
      </c>
      <c r="E197" s="1192" t="str">
        <f>IF(AND(Projektgrundlagen!$I$21,'StB-D1 Besondere Lstg'!M152=TRUE),'StB-D1 Besondere Lstg'!J152,IF(AND(Projektgrundlagen!$I$22,'HB-D1 Besondere Lstg Land'!M152=TRUE),'HB-D1 Besondere Lstg Land'!H152+'HB-D1 Besondere Lstg Land'!J152,IF(AND(Projektgrundlagen!$I$23,'HB-D2 Besondere Lstg Bund'!M152=TRUE),'HB-D2 Besondere Lstg Bund'!H152+'HB-D2 Besondere Lstg Bund'!J152,"")))</f>
        <v/>
      </c>
      <c r="F197" s="1192" t="str">
        <f>IF(AND(Projektgrundlagen!$I$21,'StB-D1 Besondere Lstg'!M152=TRUE),'StB-D1 Besondere Lstg'!K152,IF(AND(Projektgrundlagen!$I$22,'HB-D1 Besondere Lstg Land'!M152=TRUE),'HB-D1 Besondere Lstg Land'!K152,IF(AND(Projektgrundlagen!$I$23,'HB-D2 Besondere Lstg Bund'!M152=TRUE),'HB-D2 Besondere Lstg Bund'!K152,"")))</f>
        <v/>
      </c>
      <c r="G197" s="1200"/>
      <c r="H197" s="1201"/>
    </row>
    <row r="198" spans="2:8" ht="14.25">
      <c r="B198" t="str">
        <f>IF(AND(Projektgrundlagen!$I$21,'StB-D1 Besondere Lstg'!M153=TRUE),'StB-D1 Besondere Lstg'!C153&amp;" "&amp;'StB-D1 Besondere Lstg'!F153&amp;" "&amp;'StB-D1 Besondere Lstg'!F154,IF(AND(Projektgrundlagen!$I$22,'HB-D1 Besondere Lstg Land'!M153=TRUE),'HB-D1 Besondere Lstg Land'!C153&amp;" "&amp;'HB-D1 Besondere Lstg Land'!F153&amp;" "&amp;'HB-D1 Besondere Lstg Land'!F154,IF(AND(Projektgrundlagen!$I$23,'HB-D2 Besondere Lstg Bund'!M153=TRUE),'HB-D2 Besondere Lstg Bund'!C153&amp;" "&amp;'HB-D2 Besondere Lstg Bund'!F153&amp;" "&amp;'HB-D2 Besondere Lstg Bund'!F154,"")))</f>
        <v/>
      </c>
      <c r="C198" s="1192" t="str">
        <f>IF(AND(Projektgrundlagen!$I$21,'StB-D1 Besondere Lstg'!M153=TRUE),'StB-D1 Besondere Lstg'!H153,"")</f>
        <v/>
      </c>
      <c r="D198" s="1192" t="str">
        <f>IF(AND(Projektgrundlagen!$I$21,'StB-D1 Besondere Lstg'!M153=TRUE),'StB-D1 Besondere Lstg'!I153,IF(AND(Projektgrundlagen!$I$22,'HB-D1 Besondere Lstg Land'!M153=TRUE),(IF('HB-D1 Besondere Lstg Land'!H153&gt;0,"v.H.","pauschal")),IF(AND(Projektgrundlagen!$I$23,'HB-D2 Besondere Lstg Bund'!M153=TRUE),(IF('HB-D2 Besondere Lstg Bund'!H153&gt;0,"v.H.","pauschal")),"")))</f>
        <v/>
      </c>
      <c r="E198" s="1192" t="str">
        <f>IF(AND(Projektgrundlagen!$I$21,'StB-D1 Besondere Lstg'!M153=TRUE),'StB-D1 Besondere Lstg'!J153,IF(AND(Projektgrundlagen!$I$22,'HB-D1 Besondere Lstg Land'!M153=TRUE),'HB-D1 Besondere Lstg Land'!H153+'HB-D1 Besondere Lstg Land'!J153,IF(AND(Projektgrundlagen!$I$23,'HB-D2 Besondere Lstg Bund'!M153=TRUE),'HB-D2 Besondere Lstg Bund'!H153+'HB-D2 Besondere Lstg Bund'!J153,"")))</f>
        <v/>
      </c>
      <c r="F198" s="1192" t="str">
        <f>IF(AND(Projektgrundlagen!$I$21,'StB-D1 Besondere Lstg'!M153=TRUE),'StB-D1 Besondere Lstg'!K153,IF(AND(Projektgrundlagen!$I$22,'HB-D1 Besondere Lstg Land'!M153=TRUE),'HB-D1 Besondere Lstg Land'!K153,IF(AND(Projektgrundlagen!$I$23,'HB-D2 Besondere Lstg Bund'!M153=TRUE),'HB-D2 Besondere Lstg Bund'!K153,"")))</f>
        <v/>
      </c>
      <c r="G198" s="1200"/>
      <c r="H198" s="1201"/>
    </row>
    <row r="199" spans="2:8" ht="14.25">
      <c r="B199" t="str">
        <f>IF(AND(Projektgrundlagen!$I$21,'StB-D1 Besondere Lstg'!M154=TRUE),'StB-D1 Besondere Lstg'!C154&amp;" "&amp;'StB-D1 Besondere Lstg'!F154&amp;" "&amp;'StB-D1 Besondere Lstg'!F155,IF(AND(Projektgrundlagen!$I$22,'HB-D1 Besondere Lstg Land'!M154=TRUE),'HB-D1 Besondere Lstg Land'!C154&amp;" "&amp;'HB-D1 Besondere Lstg Land'!F154&amp;" "&amp;'HB-D1 Besondere Lstg Land'!F155,IF(AND(Projektgrundlagen!$I$23,'HB-D2 Besondere Lstg Bund'!M154=TRUE),'HB-D2 Besondere Lstg Bund'!C154&amp;" "&amp;'HB-D2 Besondere Lstg Bund'!F154&amp;" "&amp;'HB-D2 Besondere Lstg Bund'!F155,"")))</f>
        <v/>
      </c>
      <c r="C199" s="1192" t="str">
        <f>IF(AND(Projektgrundlagen!$I$21,'StB-D1 Besondere Lstg'!M154=TRUE),'StB-D1 Besondere Lstg'!H154,"")</f>
        <v/>
      </c>
      <c r="D199" s="1192" t="str">
        <f>IF(AND(Projektgrundlagen!$I$21,'StB-D1 Besondere Lstg'!M154=TRUE),'StB-D1 Besondere Lstg'!I154,IF(AND(Projektgrundlagen!$I$22,'HB-D1 Besondere Lstg Land'!M154=TRUE),(IF('HB-D1 Besondere Lstg Land'!H154&gt;0,"v.H.","pauschal")),IF(AND(Projektgrundlagen!$I$23,'HB-D2 Besondere Lstg Bund'!M154=TRUE),(IF('HB-D2 Besondere Lstg Bund'!H154&gt;0,"v.H.","pauschal")),"")))</f>
        <v/>
      </c>
      <c r="E199" s="1192" t="str">
        <f>IF(AND(Projektgrundlagen!$I$21,'StB-D1 Besondere Lstg'!M154=TRUE),'StB-D1 Besondere Lstg'!J154,IF(AND(Projektgrundlagen!$I$22,'HB-D1 Besondere Lstg Land'!M154=TRUE),'HB-D1 Besondere Lstg Land'!H154+'HB-D1 Besondere Lstg Land'!J154,IF(AND(Projektgrundlagen!$I$23,'HB-D2 Besondere Lstg Bund'!M154=TRUE),'HB-D2 Besondere Lstg Bund'!H154+'HB-D2 Besondere Lstg Bund'!J154,"")))</f>
        <v/>
      </c>
      <c r="F199" s="1192" t="str">
        <f>IF(AND(Projektgrundlagen!$I$21,'StB-D1 Besondere Lstg'!M154=TRUE),'StB-D1 Besondere Lstg'!K154,IF(AND(Projektgrundlagen!$I$22,'HB-D1 Besondere Lstg Land'!M154=TRUE),'HB-D1 Besondere Lstg Land'!K154,IF(AND(Projektgrundlagen!$I$23,'HB-D2 Besondere Lstg Bund'!M154=TRUE),'HB-D2 Besondere Lstg Bund'!K154,"")))</f>
        <v/>
      </c>
      <c r="G199" s="1200"/>
      <c r="H199" s="1201"/>
    </row>
    <row r="200" spans="2:8" ht="14.25">
      <c r="B200" t="str">
        <f>IF(AND(Projektgrundlagen!$I$21,'StB-D1 Besondere Lstg'!M155=TRUE),'StB-D1 Besondere Lstg'!C155&amp;" "&amp;'StB-D1 Besondere Lstg'!F155&amp;" "&amp;'StB-D1 Besondere Lstg'!F156,IF(AND(Projektgrundlagen!$I$22,'HB-D1 Besondere Lstg Land'!M155=TRUE),'HB-D1 Besondere Lstg Land'!C155&amp;" "&amp;'HB-D1 Besondere Lstg Land'!F155&amp;" "&amp;'HB-D1 Besondere Lstg Land'!F156,IF(AND(Projektgrundlagen!$I$23,'HB-D2 Besondere Lstg Bund'!M155=TRUE),'HB-D2 Besondere Lstg Bund'!C155&amp;" "&amp;'HB-D2 Besondere Lstg Bund'!F155&amp;" "&amp;'HB-D2 Besondere Lstg Bund'!F156,"")))</f>
        <v/>
      </c>
      <c r="C200" s="1192" t="str">
        <f>IF(AND(Projektgrundlagen!$I$21,'StB-D1 Besondere Lstg'!M155=TRUE),'StB-D1 Besondere Lstg'!H155,"")</f>
        <v/>
      </c>
      <c r="D200" s="1192" t="str">
        <f>IF(AND(Projektgrundlagen!$I$21,'StB-D1 Besondere Lstg'!M155=TRUE),'StB-D1 Besondere Lstg'!I155,IF(AND(Projektgrundlagen!$I$22,'HB-D1 Besondere Lstg Land'!M155=TRUE),(IF('HB-D1 Besondere Lstg Land'!H155&gt;0,"v.H.","pauschal")),IF(AND(Projektgrundlagen!$I$23,'HB-D2 Besondere Lstg Bund'!M155=TRUE),(IF('HB-D2 Besondere Lstg Bund'!H155&gt;0,"v.H.","pauschal")),"")))</f>
        <v/>
      </c>
      <c r="E200" s="1192" t="str">
        <f>IF(AND(Projektgrundlagen!$I$21,'StB-D1 Besondere Lstg'!M155=TRUE),'StB-D1 Besondere Lstg'!J155,IF(AND(Projektgrundlagen!$I$22,'HB-D1 Besondere Lstg Land'!M155=TRUE),'HB-D1 Besondere Lstg Land'!H155+'HB-D1 Besondere Lstg Land'!J155,IF(AND(Projektgrundlagen!$I$23,'HB-D2 Besondere Lstg Bund'!M155=TRUE),'HB-D2 Besondere Lstg Bund'!H155+'HB-D2 Besondere Lstg Bund'!J155,"")))</f>
        <v/>
      </c>
      <c r="F200" s="1192" t="str">
        <f>IF(AND(Projektgrundlagen!$I$21,'StB-D1 Besondere Lstg'!M155=TRUE),'StB-D1 Besondere Lstg'!K155,IF(AND(Projektgrundlagen!$I$22,'HB-D1 Besondere Lstg Land'!M155=TRUE),'HB-D1 Besondere Lstg Land'!K155,IF(AND(Projektgrundlagen!$I$23,'HB-D2 Besondere Lstg Bund'!M155=TRUE),'HB-D2 Besondere Lstg Bund'!K155,"")))</f>
        <v/>
      </c>
      <c r="G200" s="1200"/>
      <c r="H200" s="1201"/>
    </row>
    <row r="201" spans="2:8" ht="14.25">
      <c r="B201" t="str">
        <f>IF(AND(Projektgrundlagen!$I$21,'StB-D1 Besondere Lstg'!M156=TRUE),'StB-D1 Besondere Lstg'!C156&amp;" "&amp;'StB-D1 Besondere Lstg'!F156&amp;" "&amp;'StB-D1 Besondere Lstg'!F157,IF(AND(Projektgrundlagen!$I$22,'HB-D1 Besondere Lstg Land'!M156=TRUE),'HB-D1 Besondere Lstg Land'!C156&amp;" "&amp;'HB-D1 Besondere Lstg Land'!F156&amp;" "&amp;'HB-D1 Besondere Lstg Land'!F157,IF(AND(Projektgrundlagen!$I$23,'HB-D2 Besondere Lstg Bund'!M156=TRUE),'HB-D2 Besondere Lstg Bund'!C156&amp;" "&amp;'HB-D2 Besondere Lstg Bund'!F156&amp;" "&amp;'HB-D2 Besondere Lstg Bund'!F157,"")))</f>
        <v/>
      </c>
      <c r="C201" s="1192" t="str">
        <f>IF(AND(Projektgrundlagen!$I$21,'StB-D1 Besondere Lstg'!M156=TRUE),'StB-D1 Besondere Lstg'!H156,"")</f>
        <v/>
      </c>
      <c r="D201" s="1192" t="str">
        <f>IF(AND(Projektgrundlagen!$I$21,'StB-D1 Besondere Lstg'!M156=TRUE),'StB-D1 Besondere Lstg'!I156,IF(AND(Projektgrundlagen!$I$22,'HB-D1 Besondere Lstg Land'!M156=TRUE),(IF('HB-D1 Besondere Lstg Land'!H156&gt;0,"v.H.","pauschal")),IF(AND(Projektgrundlagen!$I$23,'HB-D2 Besondere Lstg Bund'!M156=TRUE),(IF('HB-D2 Besondere Lstg Bund'!H156&gt;0,"v.H.","pauschal")),"")))</f>
        <v/>
      </c>
      <c r="E201" s="1192" t="str">
        <f>IF(AND(Projektgrundlagen!$I$21,'StB-D1 Besondere Lstg'!M156=TRUE),'StB-D1 Besondere Lstg'!J156,IF(AND(Projektgrundlagen!$I$22,'HB-D1 Besondere Lstg Land'!M156=TRUE),'HB-D1 Besondere Lstg Land'!H156+'HB-D1 Besondere Lstg Land'!J156,IF(AND(Projektgrundlagen!$I$23,'HB-D2 Besondere Lstg Bund'!M156=TRUE),'HB-D2 Besondere Lstg Bund'!H156+'HB-D2 Besondere Lstg Bund'!J156,"")))</f>
        <v/>
      </c>
      <c r="F201" s="1192" t="str">
        <f>IF(AND(Projektgrundlagen!$I$21,'StB-D1 Besondere Lstg'!M156=TRUE),'StB-D1 Besondere Lstg'!K156,IF(AND(Projektgrundlagen!$I$22,'HB-D1 Besondere Lstg Land'!M156=TRUE),'HB-D1 Besondere Lstg Land'!K156,IF(AND(Projektgrundlagen!$I$23,'HB-D2 Besondere Lstg Bund'!M156=TRUE),'HB-D2 Besondere Lstg Bund'!K156,"")))</f>
        <v/>
      </c>
      <c r="G201" s="1200"/>
      <c r="H201" s="1201"/>
    </row>
    <row r="202" spans="2:8" ht="14.25">
      <c r="B202" t="str">
        <f>IF(AND(Projektgrundlagen!$I$21,'StB-D1 Besondere Lstg'!M157=TRUE),'StB-D1 Besondere Lstg'!C157&amp;" "&amp;'StB-D1 Besondere Lstg'!F157&amp;" "&amp;'StB-D1 Besondere Lstg'!F158,IF(AND(Projektgrundlagen!$I$22,'HB-D1 Besondere Lstg Land'!M157=TRUE),'HB-D1 Besondere Lstg Land'!C157&amp;" "&amp;'HB-D1 Besondere Lstg Land'!F157&amp;" "&amp;'HB-D1 Besondere Lstg Land'!F158,IF(AND(Projektgrundlagen!$I$23,'HB-D2 Besondere Lstg Bund'!M157=TRUE),'HB-D2 Besondere Lstg Bund'!C157&amp;" "&amp;'HB-D2 Besondere Lstg Bund'!F157&amp;" "&amp;'HB-D2 Besondere Lstg Bund'!F158,"")))</f>
        <v/>
      </c>
      <c r="C202" s="1192" t="str">
        <f>IF(AND(Projektgrundlagen!$I$21,'StB-D1 Besondere Lstg'!M157=TRUE),'StB-D1 Besondere Lstg'!H157,"")</f>
        <v/>
      </c>
      <c r="D202" s="1192" t="str">
        <f>IF(AND(Projektgrundlagen!$I$21,'StB-D1 Besondere Lstg'!M157=TRUE),'StB-D1 Besondere Lstg'!I157,IF(AND(Projektgrundlagen!$I$22,'HB-D1 Besondere Lstg Land'!M157=TRUE),(IF('HB-D1 Besondere Lstg Land'!H157&gt;0,"v.H.","pauschal")),IF(AND(Projektgrundlagen!$I$23,'HB-D2 Besondere Lstg Bund'!M157=TRUE),(IF('HB-D2 Besondere Lstg Bund'!H157&gt;0,"v.H.","pauschal")),"")))</f>
        <v/>
      </c>
      <c r="E202" s="1192" t="str">
        <f>IF(AND(Projektgrundlagen!$I$21,'StB-D1 Besondere Lstg'!M157=TRUE),'StB-D1 Besondere Lstg'!J157,IF(AND(Projektgrundlagen!$I$22,'HB-D1 Besondere Lstg Land'!M157=TRUE),'HB-D1 Besondere Lstg Land'!H157+'HB-D1 Besondere Lstg Land'!J157,IF(AND(Projektgrundlagen!$I$23,'HB-D2 Besondere Lstg Bund'!M157=TRUE),'HB-D2 Besondere Lstg Bund'!H157+'HB-D2 Besondere Lstg Bund'!J157,"")))</f>
        <v/>
      </c>
      <c r="F202" s="1192" t="str">
        <f>IF(AND(Projektgrundlagen!$I$21,'StB-D1 Besondere Lstg'!M157=TRUE),'StB-D1 Besondere Lstg'!K157,IF(AND(Projektgrundlagen!$I$22,'HB-D1 Besondere Lstg Land'!M157=TRUE),'HB-D1 Besondere Lstg Land'!K157,IF(AND(Projektgrundlagen!$I$23,'HB-D2 Besondere Lstg Bund'!M157=TRUE),'HB-D2 Besondere Lstg Bund'!K157,"")))</f>
        <v/>
      </c>
      <c r="G202" s="1200"/>
      <c r="H202" s="1201"/>
    </row>
    <row r="203" spans="2:8" ht="14.25">
      <c r="B203" t="str">
        <f>IF(AND(Projektgrundlagen!$I$21,'StB-D1 Besondere Lstg'!M158=TRUE),'StB-D1 Besondere Lstg'!C158&amp;" "&amp;'StB-D1 Besondere Lstg'!F158&amp;" "&amp;'StB-D1 Besondere Lstg'!F159,IF(AND(Projektgrundlagen!$I$22,'HB-D1 Besondere Lstg Land'!M158=TRUE),'HB-D1 Besondere Lstg Land'!C158&amp;" "&amp;'HB-D1 Besondere Lstg Land'!F158&amp;" "&amp;'HB-D1 Besondere Lstg Land'!F159,IF(AND(Projektgrundlagen!$I$23,'HB-D2 Besondere Lstg Bund'!M158=TRUE),'HB-D2 Besondere Lstg Bund'!C158&amp;" "&amp;'HB-D2 Besondere Lstg Bund'!F158&amp;" "&amp;'HB-D2 Besondere Lstg Bund'!F159,"")))</f>
        <v/>
      </c>
      <c r="C203" s="1192" t="str">
        <f>IF(AND(Projektgrundlagen!$I$21,'StB-D1 Besondere Lstg'!M158=TRUE),'StB-D1 Besondere Lstg'!H158,"")</f>
        <v/>
      </c>
      <c r="D203" s="1192" t="str">
        <f>IF(AND(Projektgrundlagen!$I$21,'StB-D1 Besondere Lstg'!M158=TRUE),'StB-D1 Besondere Lstg'!I158,IF(AND(Projektgrundlagen!$I$22,'HB-D1 Besondere Lstg Land'!M158=TRUE),(IF('HB-D1 Besondere Lstg Land'!H158&gt;0,"v.H.","pauschal")),IF(AND(Projektgrundlagen!$I$23,'HB-D2 Besondere Lstg Bund'!M158=TRUE),(IF('HB-D2 Besondere Lstg Bund'!H158&gt;0,"v.H.","pauschal")),"")))</f>
        <v/>
      </c>
      <c r="E203" s="1192" t="str">
        <f>IF(AND(Projektgrundlagen!$I$21,'StB-D1 Besondere Lstg'!M158=TRUE),'StB-D1 Besondere Lstg'!J158,IF(AND(Projektgrundlagen!$I$22,'HB-D1 Besondere Lstg Land'!M158=TRUE),'HB-D1 Besondere Lstg Land'!H158+'HB-D1 Besondere Lstg Land'!J158,IF(AND(Projektgrundlagen!$I$23,'HB-D2 Besondere Lstg Bund'!M158=TRUE),'HB-D2 Besondere Lstg Bund'!H158+'HB-D2 Besondere Lstg Bund'!J158,"")))</f>
        <v/>
      </c>
      <c r="F203" s="1192" t="str">
        <f>IF(AND(Projektgrundlagen!$I$21,'StB-D1 Besondere Lstg'!M158=TRUE),'StB-D1 Besondere Lstg'!K158,IF(AND(Projektgrundlagen!$I$22,'HB-D1 Besondere Lstg Land'!M158=TRUE),'HB-D1 Besondere Lstg Land'!K158,IF(AND(Projektgrundlagen!$I$23,'HB-D2 Besondere Lstg Bund'!M158=TRUE),'HB-D2 Besondere Lstg Bund'!K158,"")))</f>
        <v/>
      </c>
      <c r="G203" s="1200"/>
      <c r="H203" s="1201"/>
    </row>
    <row r="204" spans="2:8" ht="14.25">
      <c r="B204" t="str">
        <f>IF(AND(Projektgrundlagen!$I$21,'StB-D1 Besondere Lstg'!M159=TRUE),'StB-D1 Besondere Lstg'!C159&amp;" "&amp;'StB-D1 Besondere Lstg'!F159&amp;" "&amp;'StB-D1 Besondere Lstg'!F160,IF(AND(Projektgrundlagen!$I$22,'HB-D1 Besondere Lstg Land'!M159=TRUE),'HB-D1 Besondere Lstg Land'!C159&amp;" "&amp;'HB-D1 Besondere Lstg Land'!F159&amp;" "&amp;'HB-D1 Besondere Lstg Land'!F160,IF(AND(Projektgrundlagen!$I$23,'HB-D2 Besondere Lstg Bund'!M159=TRUE),'HB-D2 Besondere Lstg Bund'!C159&amp;" "&amp;'HB-D2 Besondere Lstg Bund'!F159&amp;" "&amp;'HB-D2 Besondere Lstg Bund'!F160,"")))</f>
        <v/>
      </c>
      <c r="C204" s="1192" t="str">
        <f>IF(AND(Projektgrundlagen!$I$21,'StB-D1 Besondere Lstg'!M159=TRUE),'StB-D1 Besondere Lstg'!H159,"")</f>
        <v/>
      </c>
      <c r="D204" s="1192" t="str">
        <f>IF(AND(Projektgrundlagen!$I$21,'StB-D1 Besondere Lstg'!M159=TRUE),'StB-D1 Besondere Lstg'!I159,IF(AND(Projektgrundlagen!$I$22,'HB-D1 Besondere Lstg Land'!M159=TRUE),(IF('HB-D1 Besondere Lstg Land'!H159&gt;0,"v.H.","pauschal")),IF(AND(Projektgrundlagen!$I$23,'HB-D2 Besondere Lstg Bund'!M159=TRUE),(IF('HB-D2 Besondere Lstg Bund'!H159&gt;0,"v.H.","pauschal")),"")))</f>
        <v/>
      </c>
      <c r="E204" s="1192" t="str">
        <f>IF(AND(Projektgrundlagen!$I$21,'StB-D1 Besondere Lstg'!M159=TRUE),'StB-D1 Besondere Lstg'!J159,IF(AND(Projektgrundlagen!$I$22,'HB-D1 Besondere Lstg Land'!M159=TRUE),'HB-D1 Besondere Lstg Land'!H159+'HB-D1 Besondere Lstg Land'!J159,IF(AND(Projektgrundlagen!$I$23,'HB-D2 Besondere Lstg Bund'!M159=TRUE),'HB-D2 Besondere Lstg Bund'!H159+'HB-D2 Besondere Lstg Bund'!J159,"")))</f>
        <v/>
      </c>
      <c r="F204" s="1192" t="str">
        <f>IF(AND(Projektgrundlagen!$I$21,'StB-D1 Besondere Lstg'!M159=TRUE),'StB-D1 Besondere Lstg'!K159,IF(AND(Projektgrundlagen!$I$22,'HB-D1 Besondere Lstg Land'!M159=TRUE),'HB-D1 Besondere Lstg Land'!K159,IF(AND(Projektgrundlagen!$I$23,'HB-D2 Besondere Lstg Bund'!M159=TRUE),'HB-D2 Besondere Lstg Bund'!K159,"")))</f>
        <v/>
      </c>
      <c r="G204" s="1200"/>
      <c r="H204" s="1201"/>
    </row>
    <row r="205" spans="2:8" ht="14.25">
      <c r="B205" t="str">
        <f>IF(AND(Projektgrundlagen!$I$21,'StB-D1 Besondere Lstg'!M160=TRUE),'StB-D1 Besondere Lstg'!C160&amp;" "&amp;'StB-D1 Besondere Lstg'!F160&amp;" "&amp;'StB-D1 Besondere Lstg'!F161,IF(AND(Projektgrundlagen!$I$22,'HB-D1 Besondere Lstg Land'!M160=TRUE),'HB-D1 Besondere Lstg Land'!C160&amp;" "&amp;'HB-D1 Besondere Lstg Land'!F160&amp;" "&amp;'HB-D1 Besondere Lstg Land'!F161,IF(AND(Projektgrundlagen!$I$23,'HB-D2 Besondere Lstg Bund'!M160=TRUE),'HB-D2 Besondere Lstg Bund'!C160&amp;" "&amp;'HB-D2 Besondere Lstg Bund'!F160&amp;" "&amp;'HB-D2 Besondere Lstg Bund'!F161,"")))</f>
        <v/>
      </c>
      <c r="C205" s="1192" t="str">
        <f>IF(AND(Projektgrundlagen!$I$21,'StB-D1 Besondere Lstg'!M160=TRUE),'StB-D1 Besondere Lstg'!H160,"")</f>
        <v/>
      </c>
      <c r="D205" s="1192" t="str">
        <f>IF(AND(Projektgrundlagen!$I$21,'StB-D1 Besondere Lstg'!M160=TRUE),'StB-D1 Besondere Lstg'!I160,IF(AND(Projektgrundlagen!$I$22,'HB-D1 Besondere Lstg Land'!M160=TRUE),(IF('HB-D1 Besondere Lstg Land'!H160&gt;0,"v.H.","pauschal")),IF(AND(Projektgrundlagen!$I$23,'HB-D2 Besondere Lstg Bund'!M160=TRUE),(IF('HB-D2 Besondere Lstg Bund'!H160&gt;0,"v.H.","pauschal")),"")))</f>
        <v/>
      </c>
      <c r="E205" s="1192" t="str">
        <f>IF(AND(Projektgrundlagen!$I$21,'StB-D1 Besondere Lstg'!M160=TRUE),'StB-D1 Besondere Lstg'!J160,IF(AND(Projektgrundlagen!$I$22,'HB-D1 Besondere Lstg Land'!M160=TRUE),'HB-D1 Besondere Lstg Land'!H160+'HB-D1 Besondere Lstg Land'!J160,IF(AND(Projektgrundlagen!$I$23,'HB-D2 Besondere Lstg Bund'!M160=TRUE),'HB-D2 Besondere Lstg Bund'!H160+'HB-D2 Besondere Lstg Bund'!J160,"")))</f>
        <v/>
      </c>
      <c r="F205" s="1192" t="str">
        <f>IF(AND(Projektgrundlagen!$I$21,'StB-D1 Besondere Lstg'!M160=TRUE),'StB-D1 Besondere Lstg'!K160,IF(AND(Projektgrundlagen!$I$22,'HB-D1 Besondere Lstg Land'!M160=TRUE),'HB-D1 Besondere Lstg Land'!K160,IF(AND(Projektgrundlagen!$I$23,'HB-D2 Besondere Lstg Bund'!M160=TRUE),'HB-D2 Besondere Lstg Bund'!K160,"")))</f>
        <v/>
      </c>
      <c r="G205" s="1200"/>
      <c r="H205" s="1201"/>
    </row>
    <row r="206" spans="2:8" ht="14.25">
      <c r="B206" t="str">
        <f>IF(AND(Projektgrundlagen!$I$21,'StB-D1 Besondere Lstg'!M161=TRUE),'StB-D1 Besondere Lstg'!C161&amp;" "&amp;'StB-D1 Besondere Lstg'!F161&amp;" "&amp;'StB-D1 Besondere Lstg'!F162,IF(AND(Projektgrundlagen!$I$22,'HB-D1 Besondere Lstg Land'!M161=TRUE),'HB-D1 Besondere Lstg Land'!C161&amp;" "&amp;'HB-D1 Besondere Lstg Land'!F161&amp;" "&amp;'HB-D1 Besondere Lstg Land'!F162,IF(AND(Projektgrundlagen!$I$23,'HB-D2 Besondere Lstg Bund'!M161=TRUE),'HB-D2 Besondere Lstg Bund'!C161&amp;" "&amp;'HB-D2 Besondere Lstg Bund'!F161&amp;" "&amp;'HB-D2 Besondere Lstg Bund'!F162,"")))</f>
        <v/>
      </c>
      <c r="C206" s="1192" t="str">
        <f>IF(AND(Projektgrundlagen!$I$21,'StB-D1 Besondere Lstg'!M161=TRUE),'StB-D1 Besondere Lstg'!H161,"")</f>
        <v/>
      </c>
      <c r="D206" s="1192" t="str">
        <f>IF(AND(Projektgrundlagen!$I$21,'StB-D1 Besondere Lstg'!M161=TRUE),'StB-D1 Besondere Lstg'!I161,IF(AND(Projektgrundlagen!$I$22,'HB-D1 Besondere Lstg Land'!M161=TRUE),(IF('HB-D1 Besondere Lstg Land'!H161&gt;0,"v.H.","pauschal")),IF(AND(Projektgrundlagen!$I$23,'HB-D2 Besondere Lstg Bund'!M161=TRUE),(IF('HB-D2 Besondere Lstg Bund'!H161&gt;0,"v.H.","pauschal")),"")))</f>
        <v/>
      </c>
      <c r="E206" s="1192" t="str">
        <f>IF(AND(Projektgrundlagen!$I$21,'StB-D1 Besondere Lstg'!M161=TRUE),'StB-D1 Besondere Lstg'!J161,IF(AND(Projektgrundlagen!$I$22,'HB-D1 Besondere Lstg Land'!M161=TRUE),'HB-D1 Besondere Lstg Land'!H161+'HB-D1 Besondere Lstg Land'!J161,IF(AND(Projektgrundlagen!$I$23,'HB-D2 Besondere Lstg Bund'!M161=TRUE),'HB-D2 Besondere Lstg Bund'!H161+'HB-D2 Besondere Lstg Bund'!J161,"")))</f>
        <v/>
      </c>
      <c r="F206" s="1192" t="str">
        <f>IF(AND(Projektgrundlagen!$I$21,'StB-D1 Besondere Lstg'!M161=TRUE),'StB-D1 Besondere Lstg'!K161,IF(AND(Projektgrundlagen!$I$22,'HB-D1 Besondere Lstg Land'!M161=TRUE),'HB-D1 Besondere Lstg Land'!K161,IF(AND(Projektgrundlagen!$I$23,'HB-D2 Besondere Lstg Bund'!M161=TRUE),'HB-D2 Besondere Lstg Bund'!K161,"")))</f>
        <v/>
      </c>
      <c r="G206" s="1200"/>
      <c r="H206" s="1201"/>
    </row>
    <row r="207" spans="2:8" ht="14.25">
      <c r="B207" t="str">
        <f>IF(AND(Projektgrundlagen!$I$21,'StB-D1 Besondere Lstg'!M162=TRUE),'StB-D1 Besondere Lstg'!C162&amp;" "&amp;'StB-D1 Besondere Lstg'!F162&amp;" "&amp;'StB-D1 Besondere Lstg'!F163,IF(AND(Projektgrundlagen!$I$22,'HB-D1 Besondere Lstg Land'!M162=TRUE),'HB-D1 Besondere Lstg Land'!C162&amp;" "&amp;'HB-D1 Besondere Lstg Land'!F162&amp;" "&amp;'HB-D1 Besondere Lstg Land'!F163,IF(AND(Projektgrundlagen!$I$23,'HB-D2 Besondere Lstg Bund'!M162=TRUE),'HB-D2 Besondere Lstg Bund'!C162&amp;" "&amp;'HB-D2 Besondere Lstg Bund'!F162&amp;" "&amp;'HB-D2 Besondere Lstg Bund'!F163,"")))</f>
        <v/>
      </c>
      <c r="C207" s="1192" t="str">
        <f>IF(AND(Projektgrundlagen!$I$21,'StB-D1 Besondere Lstg'!M162=TRUE),'StB-D1 Besondere Lstg'!H162,"")</f>
        <v/>
      </c>
      <c r="D207" s="1192" t="str">
        <f>IF(AND(Projektgrundlagen!$I$21,'StB-D1 Besondere Lstg'!M162=TRUE),'StB-D1 Besondere Lstg'!I162,IF(AND(Projektgrundlagen!$I$22,'HB-D1 Besondere Lstg Land'!M162=TRUE),(IF('HB-D1 Besondere Lstg Land'!H162&gt;0,"v.H.","pauschal")),IF(AND(Projektgrundlagen!$I$23,'HB-D2 Besondere Lstg Bund'!M162=TRUE),(IF('HB-D2 Besondere Lstg Bund'!H162&gt;0,"v.H.","pauschal")),"")))</f>
        <v/>
      </c>
      <c r="E207" s="1192" t="str">
        <f>IF(AND(Projektgrundlagen!$I$21,'StB-D1 Besondere Lstg'!M162=TRUE),'StB-D1 Besondere Lstg'!J162,IF(AND(Projektgrundlagen!$I$22,'HB-D1 Besondere Lstg Land'!M162=TRUE),'HB-D1 Besondere Lstg Land'!H162+'HB-D1 Besondere Lstg Land'!J162,IF(AND(Projektgrundlagen!$I$23,'HB-D2 Besondere Lstg Bund'!M162=TRUE),'HB-D2 Besondere Lstg Bund'!H162+'HB-D2 Besondere Lstg Bund'!J162,"")))</f>
        <v/>
      </c>
      <c r="F207" s="1192" t="str">
        <f>IF(AND(Projektgrundlagen!$I$21,'StB-D1 Besondere Lstg'!M162=TRUE),'StB-D1 Besondere Lstg'!K162,IF(AND(Projektgrundlagen!$I$22,'HB-D1 Besondere Lstg Land'!M162=TRUE),'HB-D1 Besondere Lstg Land'!K162,IF(AND(Projektgrundlagen!$I$23,'HB-D2 Besondere Lstg Bund'!M162=TRUE),'HB-D2 Besondere Lstg Bund'!K162,"")))</f>
        <v/>
      </c>
      <c r="G207" s="1200"/>
      <c r="H207" s="1201"/>
    </row>
    <row r="208" spans="2:8" ht="14.25">
      <c r="B208" t="str">
        <f>IF(AND(Projektgrundlagen!$I$21,'StB-D1 Besondere Lstg'!M163=TRUE),'StB-D1 Besondere Lstg'!C163&amp;" "&amp;'StB-D1 Besondere Lstg'!F163&amp;" "&amp;'StB-D1 Besondere Lstg'!F164,IF(AND(Projektgrundlagen!$I$22,'HB-D1 Besondere Lstg Land'!M163=TRUE),'HB-D1 Besondere Lstg Land'!C163&amp;" "&amp;'HB-D1 Besondere Lstg Land'!F163&amp;" "&amp;'HB-D1 Besondere Lstg Land'!F164,IF(AND(Projektgrundlagen!$I$23,'HB-D2 Besondere Lstg Bund'!M163=TRUE),'HB-D2 Besondere Lstg Bund'!C163&amp;" "&amp;'HB-D2 Besondere Lstg Bund'!F163&amp;" "&amp;'HB-D2 Besondere Lstg Bund'!F164,"")))</f>
        <v/>
      </c>
      <c r="C208" s="1192" t="str">
        <f>IF(AND(Projektgrundlagen!$I$21,'StB-D1 Besondere Lstg'!M163=TRUE),'StB-D1 Besondere Lstg'!H163,"")</f>
        <v/>
      </c>
      <c r="D208" s="1192" t="str">
        <f>IF(AND(Projektgrundlagen!$I$21,'StB-D1 Besondere Lstg'!M163=TRUE),'StB-D1 Besondere Lstg'!I163,IF(AND(Projektgrundlagen!$I$22,'HB-D1 Besondere Lstg Land'!M163=TRUE),(IF('HB-D1 Besondere Lstg Land'!H163&gt;0,"v.H.","pauschal")),IF(AND(Projektgrundlagen!$I$23,'HB-D2 Besondere Lstg Bund'!M163=TRUE),(IF('HB-D2 Besondere Lstg Bund'!H163&gt;0,"v.H.","pauschal")),"")))</f>
        <v/>
      </c>
      <c r="E208" s="1192" t="str">
        <f>IF(AND(Projektgrundlagen!$I$21,'StB-D1 Besondere Lstg'!M163=TRUE),'StB-D1 Besondere Lstg'!J163,IF(AND(Projektgrundlagen!$I$22,'HB-D1 Besondere Lstg Land'!M163=TRUE),'HB-D1 Besondere Lstg Land'!H163+'HB-D1 Besondere Lstg Land'!J163,IF(AND(Projektgrundlagen!$I$23,'HB-D2 Besondere Lstg Bund'!M163=TRUE),'HB-D2 Besondere Lstg Bund'!H163+'HB-D2 Besondere Lstg Bund'!J163,"")))</f>
        <v/>
      </c>
      <c r="F208" s="1192" t="str">
        <f>IF(AND(Projektgrundlagen!$I$21,'StB-D1 Besondere Lstg'!M163=TRUE),'StB-D1 Besondere Lstg'!K163,IF(AND(Projektgrundlagen!$I$22,'HB-D1 Besondere Lstg Land'!M163=TRUE),'HB-D1 Besondere Lstg Land'!K163,IF(AND(Projektgrundlagen!$I$23,'HB-D2 Besondere Lstg Bund'!M163=TRUE),'HB-D2 Besondere Lstg Bund'!K163,"")))</f>
        <v/>
      </c>
      <c r="G208" s="1200"/>
      <c r="H208" s="1201"/>
    </row>
    <row r="209" spans="2:8" ht="14.25">
      <c r="B209" t="str">
        <f>IF(AND(Projektgrundlagen!$I$21,'StB-D1 Besondere Lstg'!M164=TRUE),'StB-D1 Besondere Lstg'!C164&amp;" "&amp;'StB-D1 Besondere Lstg'!F164&amp;" "&amp;'StB-D1 Besondere Lstg'!F165,IF(AND(Projektgrundlagen!$I$22,'HB-D1 Besondere Lstg Land'!M164=TRUE),'HB-D1 Besondere Lstg Land'!C164&amp;" "&amp;'HB-D1 Besondere Lstg Land'!F164&amp;" "&amp;'HB-D1 Besondere Lstg Land'!F165,IF(AND(Projektgrundlagen!$I$23,'HB-D2 Besondere Lstg Bund'!M164=TRUE),'HB-D2 Besondere Lstg Bund'!C164&amp;" "&amp;'HB-D2 Besondere Lstg Bund'!F164&amp;" "&amp;'HB-D2 Besondere Lstg Bund'!F165,"")))</f>
        <v/>
      </c>
      <c r="C209" s="1192" t="str">
        <f>IF(AND(Projektgrundlagen!$I$21,'StB-D1 Besondere Lstg'!M164=TRUE),'StB-D1 Besondere Lstg'!H164,"")</f>
        <v/>
      </c>
      <c r="D209" s="1192" t="str">
        <f>IF(AND(Projektgrundlagen!$I$21,'StB-D1 Besondere Lstg'!M164=TRUE),'StB-D1 Besondere Lstg'!I164,IF(AND(Projektgrundlagen!$I$22,'HB-D1 Besondere Lstg Land'!M164=TRUE),(IF('HB-D1 Besondere Lstg Land'!H164&gt;0,"v.H.","pauschal")),IF(AND(Projektgrundlagen!$I$23,'HB-D2 Besondere Lstg Bund'!M164=TRUE),(IF('HB-D2 Besondere Lstg Bund'!H164&gt;0,"v.H.","pauschal")),"")))</f>
        <v/>
      </c>
      <c r="E209" s="1192" t="str">
        <f>IF(AND(Projektgrundlagen!$I$21,'StB-D1 Besondere Lstg'!M164=TRUE),'StB-D1 Besondere Lstg'!J164,IF(AND(Projektgrundlagen!$I$22,'HB-D1 Besondere Lstg Land'!M164=TRUE),'HB-D1 Besondere Lstg Land'!H164+'HB-D1 Besondere Lstg Land'!J164,IF(AND(Projektgrundlagen!$I$23,'HB-D2 Besondere Lstg Bund'!M164=TRUE),'HB-D2 Besondere Lstg Bund'!H164+'HB-D2 Besondere Lstg Bund'!J164,"")))</f>
        <v/>
      </c>
      <c r="F209" s="1192" t="str">
        <f>IF(AND(Projektgrundlagen!$I$21,'StB-D1 Besondere Lstg'!M164=TRUE),'StB-D1 Besondere Lstg'!K164,IF(AND(Projektgrundlagen!$I$22,'HB-D1 Besondere Lstg Land'!M164=TRUE),'HB-D1 Besondere Lstg Land'!K164,IF(AND(Projektgrundlagen!$I$23,'HB-D2 Besondere Lstg Bund'!M164=TRUE),'HB-D2 Besondere Lstg Bund'!K164,"")))</f>
        <v/>
      </c>
      <c r="G209" s="1200"/>
      <c r="H209" s="1201"/>
    </row>
    <row r="210" spans="2:8" ht="14.25">
      <c r="B210" t="str">
        <f>IF(AND(Projektgrundlagen!$I$21,'StB-D1 Besondere Lstg'!M165=TRUE),'StB-D1 Besondere Lstg'!C165&amp;" "&amp;'StB-D1 Besondere Lstg'!F165&amp;" "&amp;'StB-D1 Besondere Lstg'!F166,IF(AND(Projektgrundlagen!$I$22,'HB-D1 Besondere Lstg Land'!M165=TRUE),'HB-D1 Besondere Lstg Land'!C165&amp;" "&amp;'HB-D1 Besondere Lstg Land'!F165&amp;" "&amp;'HB-D1 Besondere Lstg Land'!F166,IF(AND(Projektgrundlagen!$I$23,'HB-D2 Besondere Lstg Bund'!M165=TRUE),'HB-D2 Besondere Lstg Bund'!C165&amp;" "&amp;'HB-D2 Besondere Lstg Bund'!F165&amp;" "&amp;'HB-D2 Besondere Lstg Bund'!F166,"")))</f>
        <v/>
      </c>
      <c r="C210" s="1192" t="str">
        <f>IF(AND(Projektgrundlagen!$I$21,'StB-D1 Besondere Lstg'!M165=TRUE),'StB-D1 Besondere Lstg'!H165,"")</f>
        <v/>
      </c>
      <c r="D210" s="1192" t="str">
        <f>IF(AND(Projektgrundlagen!$I$21,'StB-D1 Besondere Lstg'!M165=TRUE),'StB-D1 Besondere Lstg'!I165,IF(AND(Projektgrundlagen!$I$22,'HB-D1 Besondere Lstg Land'!M165=TRUE),(IF('HB-D1 Besondere Lstg Land'!H165&gt;0,"v.H.","pauschal")),IF(AND(Projektgrundlagen!$I$23,'HB-D2 Besondere Lstg Bund'!M165=TRUE),(IF('HB-D2 Besondere Lstg Bund'!H165&gt;0,"v.H.","pauschal")),"")))</f>
        <v/>
      </c>
      <c r="E210" s="1192" t="str">
        <f>IF(AND(Projektgrundlagen!$I$21,'StB-D1 Besondere Lstg'!M165=TRUE),'StB-D1 Besondere Lstg'!J165,IF(AND(Projektgrundlagen!$I$22,'HB-D1 Besondere Lstg Land'!M165=TRUE),'HB-D1 Besondere Lstg Land'!H165+'HB-D1 Besondere Lstg Land'!J165,IF(AND(Projektgrundlagen!$I$23,'HB-D2 Besondere Lstg Bund'!M165=TRUE),'HB-D2 Besondere Lstg Bund'!H165+'HB-D2 Besondere Lstg Bund'!J165,"")))</f>
        <v/>
      </c>
      <c r="F210" s="1192" t="str">
        <f>IF(AND(Projektgrundlagen!$I$21,'StB-D1 Besondere Lstg'!M165=TRUE),'StB-D1 Besondere Lstg'!K165,IF(AND(Projektgrundlagen!$I$22,'HB-D1 Besondere Lstg Land'!M165=TRUE),'HB-D1 Besondere Lstg Land'!K165,IF(AND(Projektgrundlagen!$I$23,'HB-D2 Besondere Lstg Bund'!M165=TRUE),'HB-D2 Besondere Lstg Bund'!K165,"")))</f>
        <v/>
      </c>
      <c r="G210" s="1200"/>
      <c r="H210" s="1201"/>
    </row>
    <row r="211" spans="2:8" ht="14.25">
      <c r="B211" t="str">
        <f>IF(AND(Projektgrundlagen!$I$21,'StB-D1 Besondere Lstg'!M166=TRUE),'StB-D1 Besondere Lstg'!C166&amp;" "&amp;'StB-D1 Besondere Lstg'!F166&amp;" "&amp;'StB-D1 Besondere Lstg'!F167,IF(AND(Projektgrundlagen!$I$22,'HB-D1 Besondere Lstg Land'!M166=TRUE),'HB-D1 Besondere Lstg Land'!C166&amp;" "&amp;'HB-D1 Besondere Lstg Land'!F166&amp;" "&amp;'HB-D1 Besondere Lstg Land'!F167,IF(AND(Projektgrundlagen!$I$23,'HB-D2 Besondere Lstg Bund'!M166=TRUE),'HB-D2 Besondere Lstg Bund'!C166&amp;" "&amp;'HB-D2 Besondere Lstg Bund'!F166&amp;" "&amp;'HB-D2 Besondere Lstg Bund'!F167,"")))</f>
        <v/>
      </c>
      <c r="C211" s="1192" t="str">
        <f>IF(AND(Projektgrundlagen!$I$21,'StB-D1 Besondere Lstg'!M166=TRUE),'StB-D1 Besondere Lstg'!H166,"")</f>
        <v/>
      </c>
      <c r="D211" s="1192" t="str">
        <f>IF(AND(Projektgrundlagen!$I$21,'StB-D1 Besondere Lstg'!M166=TRUE),'StB-D1 Besondere Lstg'!I166,IF(AND(Projektgrundlagen!$I$22,'HB-D1 Besondere Lstg Land'!M166=TRUE),(IF('HB-D1 Besondere Lstg Land'!H166&gt;0,"v.H.","pauschal")),IF(AND(Projektgrundlagen!$I$23,'HB-D2 Besondere Lstg Bund'!M166=TRUE),(IF('HB-D2 Besondere Lstg Bund'!H166&gt;0,"v.H.","pauschal")),"")))</f>
        <v/>
      </c>
      <c r="E211" s="1192" t="str">
        <f>IF(AND(Projektgrundlagen!$I$21,'StB-D1 Besondere Lstg'!M166=TRUE),'StB-D1 Besondere Lstg'!J166,IF(AND(Projektgrundlagen!$I$22,'HB-D1 Besondere Lstg Land'!M166=TRUE),'HB-D1 Besondere Lstg Land'!H166+'HB-D1 Besondere Lstg Land'!J166,IF(AND(Projektgrundlagen!$I$23,'HB-D2 Besondere Lstg Bund'!M166=TRUE),'HB-D2 Besondere Lstg Bund'!H166+'HB-D2 Besondere Lstg Bund'!J166,"")))</f>
        <v/>
      </c>
      <c r="F211" s="1192" t="str">
        <f>IF(AND(Projektgrundlagen!$I$21,'StB-D1 Besondere Lstg'!M166=TRUE),'StB-D1 Besondere Lstg'!K166,IF(AND(Projektgrundlagen!$I$22,'HB-D1 Besondere Lstg Land'!M166=TRUE),'HB-D1 Besondere Lstg Land'!K166,IF(AND(Projektgrundlagen!$I$23,'HB-D2 Besondere Lstg Bund'!M166=TRUE),'HB-D2 Besondere Lstg Bund'!K166,"")))</f>
        <v/>
      </c>
      <c r="G211" s="1200"/>
      <c r="H211" s="1201"/>
    </row>
    <row r="212" spans="2:8" ht="14.25">
      <c r="B212" t="str">
        <f>IF(AND(Projektgrundlagen!$I$21,'StB-D1 Besondere Lstg'!M167=TRUE),'StB-D1 Besondere Lstg'!C167&amp;" "&amp;'StB-D1 Besondere Lstg'!F167&amp;" "&amp;'StB-D1 Besondere Lstg'!F168,IF(AND(Projektgrundlagen!$I$22,'HB-D1 Besondere Lstg Land'!M167=TRUE),'HB-D1 Besondere Lstg Land'!C167&amp;" "&amp;'HB-D1 Besondere Lstg Land'!F167&amp;" "&amp;'HB-D1 Besondere Lstg Land'!F168,IF(AND(Projektgrundlagen!$I$23,'HB-D2 Besondere Lstg Bund'!M167=TRUE),'HB-D2 Besondere Lstg Bund'!C167&amp;" "&amp;'HB-D2 Besondere Lstg Bund'!F167&amp;" "&amp;'HB-D2 Besondere Lstg Bund'!F168,"")))</f>
        <v/>
      </c>
      <c r="C212" s="1192" t="str">
        <f>IF(AND(Projektgrundlagen!$I$21,'StB-D1 Besondere Lstg'!M167=TRUE),'StB-D1 Besondere Lstg'!H167,"")</f>
        <v/>
      </c>
      <c r="D212" s="1192" t="str">
        <f>IF(AND(Projektgrundlagen!$I$21,'StB-D1 Besondere Lstg'!M167=TRUE),'StB-D1 Besondere Lstg'!I167,IF(AND(Projektgrundlagen!$I$22,'HB-D1 Besondere Lstg Land'!M167=TRUE),(IF('HB-D1 Besondere Lstg Land'!H167&gt;0,"v.H.","pauschal")),IF(AND(Projektgrundlagen!$I$23,'HB-D2 Besondere Lstg Bund'!M167=TRUE),(IF('HB-D2 Besondere Lstg Bund'!H167&gt;0,"v.H.","pauschal")),"")))</f>
        <v/>
      </c>
      <c r="E212" s="1192" t="str">
        <f>IF(AND(Projektgrundlagen!$I$21,'StB-D1 Besondere Lstg'!M167=TRUE),'StB-D1 Besondere Lstg'!J167,IF(AND(Projektgrundlagen!$I$22,'HB-D1 Besondere Lstg Land'!M167=TRUE),'HB-D1 Besondere Lstg Land'!H167+'HB-D1 Besondere Lstg Land'!J167,IF(AND(Projektgrundlagen!$I$23,'HB-D2 Besondere Lstg Bund'!M167=TRUE),'HB-D2 Besondere Lstg Bund'!H167+'HB-D2 Besondere Lstg Bund'!J167,"")))</f>
        <v/>
      </c>
      <c r="F212" s="1192" t="str">
        <f>IF(AND(Projektgrundlagen!$I$21,'StB-D1 Besondere Lstg'!M167=TRUE),'StB-D1 Besondere Lstg'!K167,IF(AND(Projektgrundlagen!$I$22,'HB-D1 Besondere Lstg Land'!M167=TRUE),'HB-D1 Besondere Lstg Land'!K167,IF(AND(Projektgrundlagen!$I$23,'HB-D2 Besondere Lstg Bund'!M167=TRUE),'HB-D2 Besondere Lstg Bund'!K167,"")))</f>
        <v/>
      </c>
      <c r="G212" s="1200"/>
      <c r="H212" s="1201"/>
    </row>
    <row r="213" spans="2:8" ht="14.25">
      <c r="B213" t="str">
        <f>IF(AND(Projektgrundlagen!$I$21,'StB-D1 Besondere Lstg'!M168=TRUE),'StB-D1 Besondere Lstg'!C168&amp;" "&amp;'StB-D1 Besondere Lstg'!F168&amp;" "&amp;'StB-D1 Besondere Lstg'!F169,IF(AND(Projektgrundlagen!$I$22,'HB-D1 Besondere Lstg Land'!M168=TRUE),'HB-D1 Besondere Lstg Land'!C168&amp;" "&amp;'HB-D1 Besondere Lstg Land'!F168&amp;" "&amp;'HB-D1 Besondere Lstg Land'!F169,IF(AND(Projektgrundlagen!$I$23,'HB-D2 Besondere Lstg Bund'!M168=TRUE),'HB-D2 Besondere Lstg Bund'!C168&amp;" "&amp;'HB-D2 Besondere Lstg Bund'!F168&amp;" "&amp;'HB-D2 Besondere Lstg Bund'!F169,"")))</f>
        <v/>
      </c>
      <c r="C213" s="1192" t="str">
        <f>IF(AND(Projektgrundlagen!$I$21,'StB-D1 Besondere Lstg'!M168=TRUE),'StB-D1 Besondere Lstg'!H168,"")</f>
        <v/>
      </c>
      <c r="D213" s="1192" t="str">
        <f>IF(AND(Projektgrundlagen!$I$21,'StB-D1 Besondere Lstg'!M168=TRUE),'StB-D1 Besondere Lstg'!I168,IF(AND(Projektgrundlagen!$I$22,'HB-D1 Besondere Lstg Land'!M168=TRUE),(IF('HB-D1 Besondere Lstg Land'!H168&gt;0,"v.H.","pauschal")),IF(AND(Projektgrundlagen!$I$23,'HB-D2 Besondere Lstg Bund'!M168=TRUE),(IF('HB-D2 Besondere Lstg Bund'!H168&gt;0,"v.H.","pauschal")),"")))</f>
        <v/>
      </c>
      <c r="E213" s="1192" t="str">
        <f>IF(AND(Projektgrundlagen!$I$21,'StB-D1 Besondere Lstg'!M168=TRUE),'StB-D1 Besondere Lstg'!J168,IF(AND(Projektgrundlagen!$I$22,'HB-D1 Besondere Lstg Land'!M168=TRUE),'HB-D1 Besondere Lstg Land'!H168+'HB-D1 Besondere Lstg Land'!J168,IF(AND(Projektgrundlagen!$I$23,'HB-D2 Besondere Lstg Bund'!M168=TRUE),'HB-D2 Besondere Lstg Bund'!H168+'HB-D2 Besondere Lstg Bund'!J168,"")))</f>
        <v/>
      </c>
      <c r="F213" s="1192" t="str">
        <f>IF(AND(Projektgrundlagen!$I$21,'StB-D1 Besondere Lstg'!M168=TRUE),'StB-D1 Besondere Lstg'!K168,IF(AND(Projektgrundlagen!$I$22,'HB-D1 Besondere Lstg Land'!M168=TRUE),'HB-D1 Besondere Lstg Land'!K168,IF(AND(Projektgrundlagen!$I$23,'HB-D2 Besondere Lstg Bund'!M168=TRUE),'HB-D2 Besondere Lstg Bund'!K168,"")))</f>
        <v/>
      </c>
      <c r="G213" s="1200"/>
      <c r="H213" s="1201"/>
    </row>
    <row r="214" spans="2:8" ht="14.25">
      <c r="B214" t="str">
        <f>IF(AND(Projektgrundlagen!$I$21,'StB-D1 Besondere Lstg'!M169=TRUE),'StB-D1 Besondere Lstg'!C169&amp;" "&amp;'StB-D1 Besondere Lstg'!F169&amp;" "&amp;'StB-D1 Besondere Lstg'!F170,IF(AND(Projektgrundlagen!$I$22,'HB-D1 Besondere Lstg Land'!M169=TRUE),'HB-D1 Besondere Lstg Land'!C169&amp;" "&amp;'HB-D1 Besondere Lstg Land'!F169&amp;" "&amp;'HB-D1 Besondere Lstg Land'!F170,IF(AND(Projektgrundlagen!$I$23,'HB-D2 Besondere Lstg Bund'!M169=TRUE),'HB-D2 Besondere Lstg Bund'!C169&amp;" "&amp;'HB-D2 Besondere Lstg Bund'!F169&amp;" "&amp;'HB-D2 Besondere Lstg Bund'!F170,"")))</f>
        <v/>
      </c>
      <c r="C214" s="1192" t="str">
        <f>IF(AND(Projektgrundlagen!$I$21,'StB-D1 Besondere Lstg'!M169=TRUE),'StB-D1 Besondere Lstg'!H169,"")</f>
        <v/>
      </c>
      <c r="D214" s="1192" t="str">
        <f>IF(AND(Projektgrundlagen!$I$21,'StB-D1 Besondere Lstg'!M169=TRUE),'StB-D1 Besondere Lstg'!I169,IF(AND(Projektgrundlagen!$I$22,'HB-D1 Besondere Lstg Land'!M169=TRUE),(IF('HB-D1 Besondere Lstg Land'!H169&gt;0,"v.H.","pauschal")),IF(AND(Projektgrundlagen!$I$23,'HB-D2 Besondere Lstg Bund'!M169=TRUE),(IF('HB-D2 Besondere Lstg Bund'!H169&gt;0,"v.H.","pauschal")),"")))</f>
        <v/>
      </c>
      <c r="E214" s="1192" t="str">
        <f>IF(AND(Projektgrundlagen!$I$21,'StB-D1 Besondere Lstg'!M169=TRUE),'StB-D1 Besondere Lstg'!J169,IF(AND(Projektgrundlagen!$I$22,'HB-D1 Besondere Lstg Land'!M169=TRUE),'HB-D1 Besondere Lstg Land'!H169+'HB-D1 Besondere Lstg Land'!J169,IF(AND(Projektgrundlagen!$I$23,'HB-D2 Besondere Lstg Bund'!M169=TRUE),'HB-D2 Besondere Lstg Bund'!H169+'HB-D2 Besondere Lstg Bund'!J169,"")))</f>
        <v/>
      </c>
      <c r="F214" s="1192" t="str">
        <f>IF(AND(Projektgrundlagen!$I$21,'StB-D1 Besondere Lstg'!M169=TRUE),'StB-D1 Besondere Lstg'!K169,IF(AND(Projektgrundlagen!$I$22,'HB-D1 Besondere Lstg Land'!M169=TRUE),'HB-D1 Besondere Lstg Land'!K169,IF(AND(Projektgrundlagen!$I$23,'HB-D2 Besondere Lstg Bund'!M169=TRUE),'HB-D2 Besondere Lstg Bund'!K169,"")))</f>
        <v/>
      </c>
      <c r="G214" s="1200"/>
      <c r="H214" s="1201"/>
    </row>
    <row r="215" spans="2:8" ht="14.25">
      <c r="B215" t="str">
        <f>IF(AND(Projektgrundlagen!$I$21,'StB-D1 Besondere Lstg'!M170=TRUE),'StB-D1 Besondere Lstg'!C170&amp;" "&amp;'StB-D1 Besondere Lstg'!F170&amp;" "&amp;'StB-D1 Besondere Lstg'!F171,IF(AND(Projektgrundlagen!$I$22,'HB-D1 Besondere Lstg Land'!M170=TRUE),'HB-D1 Besondere Lstg Land'!C170&amp;" "&amp;'HB-D1 Besondere Lstg Land'!F170&amp;" "&amp;'HB-D1 Besondere Lstg Land'!F171,IF(AND(Projektgrundlagen!$I$23,'HB-D2 Besondere Lstg Bund'!M170=TRUE),'HB-D2 Besondere Lstg Bund'!C170&amp;" "&amp;'HB-D2 Besondere Lstg Bund'!F170&amp;" "&amp;'HB-D2 Besondere Lstg Bund'!F171,"")))</f>
        <v/>
      </c>
      <c r="C215" s="1192" t="str">
        <f>IF(AND(Projektgrundlagen!$I$21,'StB-D1 Besondere Lstg'!M170=TRUE),'StB-D1 Besondere Lstg'!H170,"")</f>
        <v/>
      </c>
      <c r="D215" s="1192" t="str">
        <f>IF(AND(Projektgrundlagen!$I$21,'StB-D1 Besondere Lstg'!M170=TRUE),'StB-D1 Besondere Lstg'!I170,IF(AND(Projektgrundlagen!$I$22,'HB-D1 Besondere Lstg Land'!M170=TRUE),(IF('HB-D1 Besondere Lstg Land'!H170&gt;0,"v.H.","pauschal")),IF(AND(Projektgrundlagen!$I$23,'HB-D2 Besondere Lstg Bund'!M170=TRUE),(IF('HB-D2 Besondere Lstg Bund'!H170&gt;0,"v.H.","pauschal")),"")))</f>
        <v/>
      </c>
      <c r="E215" s="1192" t="str">
        <f>IF(AND(Projektgrundlagen!$I$21,'StB-D1 Besondere Lstg'!M170=TRUE),'StB-D1 Besondere Lstg'!J170,IF(AND(Projektgrundlagen!$I$22,'HB-D1 Besondere Lstg Land'!M170=TRUE),'HB-D1 Besondere Lstg Land'!H170+'HB-D1 Besondere Lstg Land'!J170,IF(AND(Projektgrundlagen!$I$23,'HB-D2 Besondere Lstg Bund'!M170=TRUE),'HB-D2 Besondere Lstg Bund'!H170+'HB-D2 Besondere Lstg Bund'!J170,"")))</f>
        <v/>
      </c>
      <c r="F215" s="1192" t="str">
        <f>IF(AND(Projektgrundlagen!$I$21,'StB-D1 Besondere Lstg'!M170=TRUE),'StB-D1 Besondere Lstg'!K170,IF(AND(Projektgrundlagen!$I$22,'HB-D1 Besondere Lstg Land'!M170=TRUE),'HB-D1 Besondere Lstg Land'!K170,IF(AND(Projektgrundlagen!$I$23,'HB-D2 Besondere Lstg Bund'!M170=TRUE),'HB-D2 Besondere Lstg Bund'!K170,"")))</f>
        <v/>
      </c>
      <c r="G215" s="1200"/>
      <c r="H215" s="1201"/>
    </row>
    <row r="216" spans="2:8" ht="14.25">
      <c r="B216" t="str">
        <f>IF(AND(Projektgrundlagen!$I$21,'StB-D1 Besondere Lstg'!M171=TRUE),'StB-D1 Besondere Lstg'!C171&amp;" "&amp;'StB-D1 Besondere Lstg'!F171&amp;" "&amp;'StB-D1 Besondere Lstg'!F172,IF(AND(Projektgrundlagen!$I$22,'HB-D1 Besondere Lstg Land'!M171=TRUE),'HB-D1 Besondere Lstg Land'!C171&amp;" "&amp;'HB-D1 Besondere Lstg Land'!F171&amp;" "&amp;'HB-D1 Besondere Lstg Land'!F172,IF(AND(Projektgrundlagen!$I$23,'HB-D2 Besondere Lstg Bund'!M171=TRUE),'HB-D2 Besondere Lstg Bund'!C171&amp;" "&amp;'HB-D2 Besondere Lstg Bund'!F171&amp;" "&amp;'HB-D2 Besondere Lstg Bund'!F172,"")))</f>
        <v/>
      </c>
      <c r="C216" s="1192" t="str">
        <f>IF(AND(Projektgrundlagen!$I$21,'StB-D1 Besondere Lstg'!M171=TRUE),'StB-D1 Besondere Lstg'!H171,"")</f>
        <v/>
      </c>
      <c r="D216" s="1192" t="str">
        <f>IF(AND(Projektgrundlagen!$I$21,'StB-D1 Besondere Lstg'!M171=TRUE),'StB-D1 Besondere Lstg'!I171,IF(AND(Projektgrundlagen!$I$22,'HB-D1 Besondere Lstg Land'!M171=TRUE),(IF('HB-D1 Besondere Lstg Land'!H171&gt;0,"v.H.","pauschal")),IF(AND(Projektgrundlagen!$I$23,'HB-D2 Besondere Lstg Bund'!M171=TRUE),(IF('HB-D2 Besondere Lstg Bund'!H171&gt;0,"v.H.","pauschal")),"")))</f>
        <v/>
      </c>
      <c r="E216" s="1192" t="str">
        <f>IF(AND(Projektgrundlagen!$I$21,'StB-D1 Besondere Lstg'!M171=TRUE),'StB-D1 Besondere Lstg'!J171,IF(AND(Projektgrundlagen!$I$22,'HB-D1 Besondere Lstg Land'!M171=TRUE),'HB-D1 Besondere Lstg Land'!H171+'HB-D1 Besondere Lstg Land'!J171,IF(AND(Projektgrundlagen!$I$23,'HB-D2 Besondere Lstg Bund'!M171=TRUE),'HB-D2 Besondere Lstg Bund'!H171+'HB-D2 Besondere Lstg Bund'!J171,"")))</f>
        <v/>
      </c>
      <c r="F216" s="1192" t="str">
        <f>IF(AND(Projektgrundlagen!$I$21,'StB-D1 Besondere Lstg'!M171=TRUE),'StB-D1 Besondere Lstg'!K171,IF(AND(Projektgrundlagen!$I$22,'HB-D1 Besondere Lstg Land'!M171=TRUE),'HB-D1 Besondere Lstg Land'!K171,IF(AND(Projektgrundlagen!$I$23,'HB-D2 Besondere Lstg Bund'!M171=TRUE),'HB-D2 Besondere Lstg Bund'!K171,"")))</f>
        <v/>
      </c>
      <c r="G216" s="1200"/>
      <c r="H216" s="1201"/>
    </row>
    <row r="217" spans="2:8" ht="14.25">
      <c r="B217" t="str">
        <f>IF(AND(Projektgrundlagen!$I$21,'StB-D1 Besondere Lstg'!M172=TRUE),'StB-D1 Besondere Lstg'!C172&amp;" "&amp;'StB-D1 Besondere Lstg'!F172&amp;" "&amp;'StB-D1 Besondere Lstg'!F173,IF(AND(Projektgrundlagen!$I$22,'HB-D1 Besondere Lstg Land'!M172=TRUE),'HB-D1 Besondere Lstg Land'!C172&amp;" "&amp;'HB-D1 Besondere Lstg Land'!F172&amp;" "&amp;'HB-D1 Besondere Lstg Land'!F173,IF(AND(Projektgrundlagen!$I$23,'HB-D2 Besondere Lstg Bund'!M172=TRUE),'HB-D2 Besondere Lstg Bund'!C172&amp;" "&amp;'HB-D2 Besondere Lstg Bund'!F172&amp;" "&amp;'HB-D2 Besondere Lstg Bund'!F173,"")))</f>
        <v/>
      </c>
      <c r="C217" s="1192" t="str">
        <f>IF(AND(Projektgrundlagen!$I$21,'StB-D1 Besondere Lstg'!M172=TRUE),'StB-D1 Besondere Lstg'!H172,"")</f>
        <v/>
      </c>
      <c r="D217" s="1192" t="str">
        <f>IF(AND(Projektgrundlagen!$I$21,'StB-D1 Besondere Lstg'!M172=TRUE),'StB-D1 Besondere Lstg'!I172,IF(AND(Projektgrundlagen!$I$22,'HB-D1 Besondere Lstg Land'!M172=TRUE),(IF('HB-D1 Besondere Lstg Land'!H172&gt;0,"v.H.","pauschal")),IF(AND(Projektgrundlagen!$I$23,'HB-D2 Besondere Lstg Bund'!M172=TRUE),(IF('HB-D2 Besondere Lstg Bund'!H172&gt;0,"v.H.","pauschal")),"")))</f>
        <v/>
      </c>
      <c r="E217" s="1192" t="str">
        <f>IF(AND(Projektgrundlagen!$I$21,'StB-D1 Besondere Lstg'!M172=TRUE),'StB-D1 Besondere Lstg'!J172,IF(AND(Projektgrundlagen!$I$22,'HB-D1 Besondere Lstg Land'!M172=TRUE),'HB-D1 Besondere Lstg Land'!H172+'HB-D1 Besondere Lstg Land'!J172,IF(AND(Projektgrundlagen!$I$23,'HB-D2 Besondere Lstg Bund'!M172=TRUE),'HB-D2 Besondere Lstg Bund'!H172+'HB-D2 Besondere Lstg Bund'!J172,"")))</f>
        <v/>
      </c>
      <c r="F217" s="1192" t="str">
        <f>IF(AND(Projektgrundlagen!$I$21,'StB-D1 Besondere Lstg'!M172=TRUE),'StB-D1 Besondere Lstg'!K172,IF(AND(Projektgrundlagen!$I$22,'HB-D1 Besondere Lstg Land'!M172=TRUE),'HB-D1 Besondere Lstg Land'!K172,IF(AND(Projektgrundlagen!$I$23,'HB-D2 Besondere Lstg Bund'!M172=TRUE),'HB-D2 Besondere Lstg Bund'!K172,"")))</f>
        <v/>
      </c>
      <c r="G217" s="1200"/>
      <c r="H217" s="1201"/>
    </row>
    <row r="218" spans="2:8" ht="14.25">
      <c r="B218" t="str">
        <f>IF(AND(Projektgrundlagen!$I$21,'StB-D1 Besondere Lstg'!M173=TRUE),'StB-D1 Besondere Lstg'!C173&amp;" "&amp;'StB-D1 Besondere Lstg'!F173&amp;" "&amp;'StB-D1 Besondere Lstg'!F174,IF(AND(Projektgrundlagen!$I$22,'HB-D1 Besondere Lstg Land'!M173=TRUE),'HB-D1 Besondere Lstg Land'!C173&amp;" "&amp;'HB-D1 Besondere Lstg Land'!F173&amp;" "&amp;'HB-D1 Besondere Lstg Land'!F174,IF(AND(Projektgrundlagen!$I$23,'HB-D2 Besondere Lstg Bund'!M173=TRUE),'HB-D2 Besondere Lstg Bund'!C173&amp;" "&amp;'HB-D2 Besondere Lstg Bund'!F173&amp;" "&amp;'HB-D2 Besondere Lstg Bund'!F174,"")))</f>
        <v/>
      </c>
      <c r="C218" s="1192" t="str">
        <f>IF(AND(Projektgrundlagen!$I$21,'StB-D1 Besondere Lstg'!M173=TRUE),'StB-D1 Besondere Lstg'!H173,"")</f>
        <v/>
      </c>
      <c r="D218" s="1192" t="str">
        <f>IF(AND(Projektgrundlagen!$I$21,'StB-D1 Besondere Lstg'!M173=TRUE),'StB-D1 Besondere Lstg'!I173,IF(AND(Projektgrundlagen!$I$22,'HB-D1 Besondere Lstg Land'!M173=TRUE),(IF('HB-D1 Besondere Lstg Land'!H173&gt;0,"v.H.","pauschal")),IF(AND(Projektgrundlagen!$I$23,'HB-D2 Besondere Lstg Bund'!M173=TRUE),(IF('HB-D2 Besondere Lstg Bund'!H173&gt;0,"v.H.","pauschal")),"")))</f>
        <v/>
      </c>
      <c r="E218" s="1192" t="str">
        <f>IF(AND(Projektgrundlagen!$I$21,'StB-D1 Besondere Lstg'!M173=TRUE),'StB-D1 Besondere Lstg'!J173,IF(AND(Projektgrundlagen!$I$22,'HB-D1 Besondere Lstg Land'!M173=TRUE),'HB-D1 Besondere Lstg Land'!H173+'HB-D1 Besondere Lstg Land'!J173,IF(AND(Projektgrundlagen!$I$23,'HB-D2 Besondere Lstg Bund'!M173=TRUE),'HB-D2 Besondere Lstg Bund'!H173+'HB-D2 Besondere Lstg Bund'!J173,"")))</f>
        <v/>
      </c>
      <c r="F218" s="1192" t="str">
        <f>IF(AND(Projektgrundlagen!$I$21,'StB-D1 Besondere Lstg'!M173=TRUE),'StB-D1 Besondere Lstg'!K173,IF(AND(Projektgrundlagen!$I$22,'HB-D1 Besondere Lstg Land'!M173=TRUE),'HB-D1 Besondere Lstg Land'!K173,IF(AND(Projektgrundlagen!$I$23,'HB-D2 Besondere Lstg Bund'!M173=TRUE),'HB-D2 Besondere Lstg Bund'!K173,"")))</f>
        <v/>
      </c>
      <c r="G218" s="1200"/>
      <c r="H218" s="1201"/>
    </row>
    <row r="219" spans="2:8" ht="14.25">
      <c r="B219" t="str">
        <f>IF(AND(Projektgrundlagen!$I$21,'StB-D1 Besondere Lstg'!M174=TRUE),'StB-D1 Besondere Lstg'!C174&amp;" "&amp;'StB-D1 Besondere Lstg'!F174&amp;" "&amp;'StB-D1 Besondere Lstg'!F175,IF(AND(Projektgrundlagen!$I$22,'HB-D1 Besondere Lstg Land'!M174=TRUE),'HB-D1 Besondere Lstg Land'!C174&amp;" "&amp;'HB-D1 Besondere Lstg Land'!F174&amp;" "&amp;'HB-D1 Besondere Lstg Land'!F175,IF(AND(Projektgrundlagen!$I$23,'HB-D2 Besondere Lstg Bund'!M174=TRUE),'HB-D2 Besondere Lstg Bund'!C174&amp;" "&amp;'HB-D2 Besondere Lstg Bund'!F174&amp;" "&amp;'HB-D2 Besondere Lstg Bund'!F175,"")))</f>
        <v/>
      </c>
      <c r="C219" s="1192" t="str">
        <f>IF(AND(Projektgrundlagen!$I$21,'StB-D1 Besondere Lstg'!M174=TRUE),'StB-D1 Besondere Lstg'!H174,"")</f>
        <v/>
      </c>
      <c r="D219" s="1192" t="str">
        <f>IF(AND(Projektgrundlagen!$I$21,'StB-D1 Besondere Lstg'!M174=TRUE),'StB-D1 Besondere Lstg'!I174,IF(AND(Projektgrundlagen!$I$22,'HB-D1 Besondere Lstg Land'!M174=TRUE),(IF('HB-D1 Besondere Lstg Land'!H174&gt;0,"v.H.","pauschal")),IF(AND(Projektgrundlagen!$I$23,'HB-D2 Besondere Lstg Bund'!M174=TRUE),(IF('HB-D2 Besondere Lstg Bund'!H174&gt;0,"v.H.","pauschal")),"")))</f>
        <v/>
      </c>
      <c r="E219" s="1192" t="str">
        <f>IF(AND(Projektgrundlagen!$I$21,'StB-D1 Besondere Lstg'!M174=TRUE),'StB-D1 Besondere Lstg'!J174,IF(AND(Projektgrundlagen!$I$22,'HB-D1 Besondere Lstg Land'!M174=TRUE),'HB-D1 Besondere Lstg Land'!H174+'HB-D1 Besondere Lstg Land'!J174,IF(AND(Projektgrundlagen!$I$23,'HB-D2 Besondere Lstg Bund'!M174=TRUE),'HB-D2 Besondere Lstg Bund'!H174+'HB-D2 Besondere Lstg Bund'!J174,"")))</f>
        <v/>
      </c>
      <c r="F219" s="1192" t="str">
        <f>IF(AND(Projektgrundlagen!$I$21,'StB-D1 Besondere Lstg'!M174=TRUE),'StB-D1 Besondere Lstg'!K174,IF(AND(Projektgrundlagen!$I$22,'HB-D1 Besondere Lstg Land'!M174=TRUE),'HB-D1 Besondere Lstg Land'!K174,IF(AND(Projektgrundlagen!$I$23,'HB-D2 Besondere Lstg Bund'!M174=TRUE),'HB-D2 Besondere Lstg Bund'!K174,"")))</f>
        <v/>
      </c>
      <c r="G219" s="1200"/>
      <c r="H219" s="1201"/>
    </row>
    <row r="220" spans="2:8" ht="14.25">
      <c r="B220" t="str">
        <f>IF(AND(Projektgrundlagen!$I$21,'StB-D1 Besondere Lstg'!M175=TRUE),'StB-D1 Besondere Lstg'!C175&amp;" "&amp;'StB-D1 Besondere Lstg'!F175&amp;" "&amp;'StB-D1 Besondere Lstg'!F176,IF(AND(Projektgrundlagen!$I$22,'HB-D1 Besondere Lstg Land'!M175=TRUE),'HB-D1 Besondere Lstg Land'!C175&amp;" "&amp;'HB-D1 Besondere Lstg Land'!F175&amp;" "&amp;'HB-D1 Besondere Lstg Land'!F176,IF(AND(Projektgrundlagen!$I$23,'HB-D2 Besondere Lstg Bund'!M175=TRUE),'HB-D2 Besondere Lstg Bund'!C175&amp;" "&amp;'HB-D2 Besondere Lstg Bund'!F175&amp;" "&amp;'HB-D2 Besondere Lstg Bund'!F176,"")))</f>
        <v/>
      </c>
      <c r="C220" s="1192" t="str">
        <f>IF(AND(Projektgrundlagen!$I$21,'StB-D1 Besondere Lstg'!M175=TRUE),'StB-D1 Besondere Lstg'!H175,"")</f>
        <v/>
      </c>
      <c r="D220" s="1192" t="str">
        <f>IF(AND(Projektgrundlagen!$I$21,'StB-D1 Besondere Lstg'!M175=TRUE),'StB-D1 Besondere Lstg'!I175,IF(AND(Projektgrundlagen!$I$22,'HB-D1 Besondere Lstg Land'!M175=TRUE),(IF('HB-D1 Besondere Lstg Land'!H175&gt;0,"v.H.","pauschal")),IF(AND(Projektgrundlagen!$I$23,'HB-D2 Besondere Lstg Bund'!M175=TRUE),(IF('HB-D2 Besondere Lstg Bund'!H175&gt;0,"v.H.","pauschal")),"")))</f>
        <v/>
      </c>
      <c r="E220" s="1192" t="str">
        <f>IF(AND(Projektgrundlagen!$I$21,'StB-D1 Besondere Lstg'!M175=TRUE),'StB-D1 Besondere Lstg'!J175,IF(AND(Projektgrundlagen!$I$22,'HB-D1 Besondere Lstg Land'!M175=TRUE),'HB-D1 Besondere Lstg Land'!H175+'HB-D1 Besondere Lstg Land'!J175,IF(AND(Projektgrundlagen!$I$23,'HB-D2 Besondere Lstg Bund'!M175=TRUE),'HB-D2 Besondere Lstg Bund'!H175+'HB-D2 Besondere Lstg Bund'!J175,"")))</f>
        <v/>
      </c>
      <c r="F220" s="1192" t="str">
        <f>IF(AND(Projektgrundlagen!$I$21,'StB-D1 Besondere Lstg'!M175=TRUE),'StB-D1 Besondere Lstg'!K175,IF(AND(Projektgrundlagen!$I$22,'HB-D1 Besondere Lstg Land'!M175=TRUE),'HB-D1 Besondere Lstg Land'!K175,IF(AND(Projektgrundlagen!$I$23,'HB-D2 Besondere Lstg Bund'!M175=TRUE),'HB-D2 Besondere Lstg Bund'!K175,"")))</f>
        <v/>
      </c>
      <c r="G220" s="1200"/>
      <c r="H220" s="1201"/>
    </row>
    <row r="221" spans="2:8" ht="14.25">
      <c r="B221" t="str">
        <f>IF(AND(Projektgrundlagen!$I$21,'StB-D1 Besondere Lstg'!M176=TRUE),'StB-D1 Besondere Lstg'!C176&amp;" "&amp;'StB-D1 Besondere Lstg'!F176&amp;" "&amp;'StB-D1 Besondere Lstg'!F177,IF(AND(Projektgrundlagen!$I$22,'HB-D1 Besondere Lstg Land'!M176=TRUE),'HB-D1 Besondere Lstg Land'!C176&amp;" "&amp;'HB-D1 Besondere Lstg Land'!F176&amp;" "&amp;'HB-D1 Besondere Lstg Land'!F177,IF(AND(Projektgrundlagen!$I$23,'HB-D2 Besondere Lstg Bund'!M176=TRUE),'HB-D2 Besondere Lstg Bund'!C176&amp;" "&amp;'HB-D2 Besondere Lstg Bund'!F176&amp;" "&amp;'HB-D2 Besondere Lstg Bund'!F177,"")))</f>
        <v/>
      </c>
      <c r="C221" s="1192" t="str">
        <f>IF(AND(Projektgrundlagen!$I$21,'StB-D1 Besondere Lstg'!M176=TRUE),'StB-D1 Besondere Lstg'!H176,"")</f>
        <v/>
      </c>
      <c r="D221" s="1192" t="str">
        <f>IF(AND(Projektgrundlagen!$I$21,'StB-D1 Besondere Lstg'!M176=TRUE),'StB-D1 Besondere Lstg'!I176,IF(AND(Projektgrundlagen!$I$22,'HB-D1 Besondere Lstg Land'!M176=TRUE),(IF('HB-D1 Besondere Lstg Land'!H176&gt;0,"v.H.","pauschal")),IF(AND(Projektgrundlagen!$I$23,'HB-D2 Besondere Lstg Bund'!M176=TRUE),(IF('HB-D2 Besondere Lstg Bund'!H176&gt;0,"v.H.","pauschal")),"")))</f>
        <v/>
      </c>
      <c r="E221" s="1192" t="str">
        <f>IF(AND(Projektgrundlagen!$I$21,'StB-D1 Besondere Lstg'!M176=TRUE),'StB-D1 Besondere Lstg'!J176,IF(AND(Projektgrundlagen!$I$22,'HB-D1 Besondere Lstg Land'!M176=TRUE),'HB-D1 Besondere Lstg Land'!H176+'HB-D1 Besondere Lstg Land'!J176,IF(AND(Projektgrundlagen!$I$23,'HB-D2 Besondere Lstg Bund'!M176=TRUE),'HB-D2 Besondere Lstg Bund'!H176+'HB-D2 Besondere Lstg Bund'!J176,"")))</f>
        <v/>
      </c>
      <c r="F221" s="1192" t="str">
        <f>IF(AND(Projektgrundlagen!$I$21,'StB-D1 Besondere Lstg'!M176=TRUE),'StB-D1 Besondere Lstg'!K176,IF(AND(Projektgrundlagen!$I$22,'HB-D1 Besondere Lstg Land'!M176=TRUE),'HB-D1 Besondere Lstg Land'!K176,IF(AND(Projektgrundlagen!$I$23,'HB-D2 Besondere Lstg Bund'!M176=TRUE),'HB-D2 Besondere Lstg Bund'!K176,"")))</f>
        <v/>
      </c>
      <c r="G221" s="1200"/>
      <c r="H221" s="1201"/>
    </row>
    <row r="222" spans="2:8" ht="14.25">
      <c r="B222" t="str">
        <f>IF(AND(Projektgrundlagen!$I$21,'StB-D1 Besondere Lstg'!M177=TRUE),'StB-D1 Besondere Lstg'!C177&amp;" "&amp;'StB-D1 Besondere Lstg'!F177&amp;" "&amp;'StB-D1 Besondere Lstg'!F178,IF(AND(Projektgrundlagen!$I$22,'HB-D1 Besondere Lstg Land'!M177=TRUE),'HB-D1 Besondere Lstg Land'!C177&amp;" "&amp;'HB-D1 Besondere Lstg Land'!F177&amp;" "&amp;'HB-D1 Besondere Lstg Land'!F178,IF(AND(Projektgrundlagen!$I$23,'HB-D2 Besondere Lstg Bund'!M177=TRUE),'HB-D2 Besondere Lstg Bund'!C177&amp;" "&amp;'HB-D2 Besondere Lstg Bund'!F177&amp;" "&amp;'HB-D2 Besondere Lstg Bund'!F178,"")))</f>
        <v/>
      </c>
      <c r="C222" s="1192" t="str">
        <f>IF(AND(Projektgrundlagen!$I$21,'StB-D1 Besondere Lstg'!M177=TRUE),'StB-D1 Besondere Lstg'!H177,"")</f>
        <v/>
      </c>
      <c r="D222" s="1192" t="str">
        <f>IF(AND(Projektgrundlagen!$I$21,'StB-D1 Besondere Lstg'!M177=TRUE),'StB-D1 Besondere Lstg'!I177,IF(AND(Projektgrundlagen!$I$22,'HB-D1 Besondere Lstg Land'!M177=TRUE),(IF('HB-D1 Besondere Lstg Land'!H177&gt;0,"v.H.","pauschal")),IF(AND(Projektgrundlagen!$I$23,'HB-D2 Besondere Lstg Bund'!M177=TRUE),(IF('HB-D2 Besondere Lstg Bund'!H177&gt;0,"v.H.","pauschal")),"")))</f>
        <v/>
      </c>
      <c r="E222" s="1192" t="str">
        <f>IF(AND(Projektgrundlagen!$I$21,'StB-D1 Besondere Lstg'!M177=TRUE),'StB-D1 Besondere Lstg'!J177,IF(AND(Projektgrundlagen!$I$22,'HB-D1 Besondere Lstg Land'!M177=TRUE),'HB-D1 Besondere Lstg Land'!H177+'HB-D1 Besondere Lstg Land'!J177,IF(AND(Projektgrundlagen!$I$23,'HB-D2 Besondere Lstg Bund'!M177=TRUE),'HB-D2 Besondere Lstg Bund'!H177+'HB-D2 Besondere Lstg Bund'!J177,"")))</f>
        <v/>
      </c>
      <c r="F222" s="1192" t="str">
        <f>IF(AND(Projektgrundlagen!$I$21,'StB-D1 Besondere Lstg'!M177=TRUE),'StB-D1 Besondere Lstg'!K177,IF(AND(Projektgrundlagen!$I$22,'HB-D1 Besondere Lstg Land'!M177=TRUE),'HB-D1 Besondere Lstg Land'!K177,IF(AND(Projektgrundlagen!$I$23,'HB-D2 Besondere Lstg Bund'!M177=TRUE),'HB-D2 Besondere Lstg Bund'!K177,"")))</f>
        <v/>
      </c>
      <c r="G222" s="1200"/>
      <c r="H222" s="1201"/>
    </row>
    <row r="223" spans="2:8" ht="14.25">
      <c r="B223" t="str">
        <f>IF(AND(Projektgrundlagen!$I$21,'StB-D1 Besondere Lstg'!M178=TRUE),'StB-D1 Besondere Lstg'!C178&amp;" "&amp;'StB-D1 Besondere Lstg'!F178&amp;" "&amp;'StB-D1 Besondere Lstg'!F179,IF(AND(Projektgrundlagen!$I$22,'HB-D1 Besondere Lstg Land'!M178=TRUE),'HB-D1 Besondere Lstg Land'!C178&amp;" "&amp;'HB-D1 Besondere Lstg Land'!F178&amp;" "&amp;'HB-D1 Besondere Lstg Land'!F179,IF(AND(Projektgrundlagen!$I$23,'HB-D2 Besondere Lstg Bund'!M178=TRUE),'HB-D2 Besondere Lstg Bund'!C178&amp;" "&amp;'HB-D2 Besondere Lstg Bund'!F178&amp;" "&amp;'HB-D2 Besondere Lstg Bund'!F179,"")))</f>
        <v/>
      </c>
      <c r="C223" s="1192" t="str">
        <f>IF(AND(Projektgrundlagen!$I$21,'StB-D1 Besondere Lstg'!M178=TRUE),'StB-D1 Besondere Lstg'!H178,"")</f>
        <v/>
      </c>
      <c r="D223" s="1192" t="str">
        <f>IF(AND(Projektgrundlagen!$I$21,'StB-D1 Besondere Lstg'!M178=TRUE),'StB-D1 Besondere Lstg'!I178,IF(AND(Projektgrundlagen!$I$22,'HB-D1 Besondere Lstg Land'!M178=TRUE),(IF('HB-D1 Besondere Lstg Land'!H178&gt;0,"v.H.","pauschal")),IF(AND(Projektgrundlagen!$I$23,'HB-D2 Besondere Lstg Bund'!M178=TRUE),(IF('HB-D2 Besondere Lstg Bund'!H178&gt;0,"v.H.","pauschal")),"")))</f>
        <v/>
      </c>
      <c r="E223" s="1192" t="str">
        <f>IF(AND(Projektgrundlagen!$I$21,'StB-D1 Besondere Lstg'!M178=TRUE),'StB-D1 Besondere Lstg'!J178,IF(AND(Projektgrundlagen!$I$22,'HB-D1 Besondere Lstg Land'!M178=TRUE),'HB-D1 Besondere Lstg Land'!H178+'HB-D1 Besondere Lstg Land'!J178,IF(AND(Projektgrundlagen!$I$23,'HB-D2 Besondere Lstg Bund'!M178=TRUE),'HB-D2 Besondere Lstg Bund'!H178+'HB-D2 Besondere Lstg Bund'!J178,"")))</f>
        <v/>
      </c>
      <c r="F223" s="1192" t="str">
        <f>IF(AND(Projektgrundlagen!$I$21,'StB-D1 Besondere Lstg'!M178=TRUE),'StB-D1 Besondere Lstg'!K178,IF(AND(Projektgrundlagen!$I$22,'HB-D1 Besondere Lstg Land'!M178=TRUE),'HB-D1 Besondere Lstg Land'!K178,IF(AND(Projektgrundlagen!$I$23,'HB-D2 Besondere Lstg Bund'!M178=TRUE),'HB-D2 Besondere Lstg Bund'!K178,"")))</f>
        <v/>
      </c>
      <c r="G223" s="1200"/>
      <c r="H223" s="1201"/>
    </row>
    <row r="224" spans="2:8" ht="14.25">
      <c r="B224" t="str">
        <f>IF(AND(Projektgrundlagen!$I$21,'StB-D1 Besondere Lstg'!M179=TRUE),'StB-D1 Besondere Lstg'!C179&amp;" "&amp;'StB-D1 Besondere Lstg'!F179&amp;" "&amp;'StB-D1 Besondere Lstg'!F180,IF(AND(Projektgrundlagen!$I$22,'HB-D1 Besondere Lstg Land'!M179=TRUE),'HB-D1 Besondere Lstg Land'!C179&amp;" "&amp;'HB-D1 Besondere Lstg Land'!F179&amp;" "&amp;'HB-D1 Besondere Lstg Land'!F180,IF(AND(Projektgrundlagen!$I$23,'HB-D2 Besondere Lstg Bund'!M179=TRUE),'HB-D2 Besondere Lstg Bund'!C179&amp;" "&amp;'HB-D2 Besondere Lstg Bund'!F179&amp;" "&amp;'HB-D2 Besondere Lstg Bund'!F180,"")))</f>
        <v/>
      </c>
      <c r="C224" s="1192" t="str">
        <f>IF(AND(Projektgrundlagen!$I$21,'StB-D1 Besondere Lstg'!M179=TRUE),'StB-D1 Besondere Lstg'!H179,"")</f>
        <v/>
      </c>
      <c r="D224" s="1192" t="str">
        <f>IF(AND(Projektgrundlagen!$I$21,'StB-D1 Besondere Lstg'!M179=TRUE),'StB-D1 Besondere Lstg'!I179,IF(AND(Projektgrundlagen!$I$22,'HB-D1 Besondere Lstg Land'!M179=TRUE),(IF('HB-D1 Besondere Lstg Land'!H179&gt;0,"v.H.","pauschal")),IF(AND(Projektgrundlagen!$I$23,'HB-D2 Besondere Lstg Bund'!M179=TRUE),(IF('HB-D2 Besondere Lstg Bund'!H179&gt;0,"v.H.","pauschal")),"")))</f>
        <v/>
      </c>
      <c r="E224" s="1192" t="str">
        <f>IF(AND(Projektgrundlagen!$I$21,'StB-D1 Besondere Lstg'!M179=TRUE),'StB-D1 Besondere Lstg'!J179,IF(AND(Projektgrundlagen!$I$22,'HB-D1 Besondere Lstg Land'!M179=TRUE),'HB-D1 Besondere Lstg Land'!H179+'HB-D1 Besondere Lstg Land'!J179,IF(AND(Projektgrundlagen!$I$23,'HB-D2 Besondere Lstg Bund'!M179=TRUE),'HB-D2 Besondere Lstg Bund'!H179+'HB-D2 Besondere Lstg Bund'!J179,"")))</f>
        <v/>
      </c>
      <c r="F224" s="1192" t="str">
        <f>IF(AND(Projektgrundlagen!$I$21,'StB-D1 Besondere Lstg'!M179=TRUE),'StB-D1 Besondere Lstg'!K179,IF(AND(Projektgrundlagen!$I$22,'HB-D1 Besondere Lstg Land'!M179=TRUE),'HB-D1 Besondere Lstg Land'!K179,IF(AND(Projektgrundlagen!$I$23,'HB-D2 Besondere Lstg Bund'!M179=TRUE),'HB-D2 Besondere Lstg Bund'!K179,"")))</f>
        <v/>
      </c>
      <c r="G224" s="1200"/>
      <c r="H224" s="1201"/>
    </row>
    <row r="225" spans="2:8" ht="14.25">
      <c r="B225" t="str">
        <f>IF(AND(Projektgrundlagen!$I$21,'StB-D1 Besondere Lstg'!M180=TRUE),'StB-D1 Besondere Lstg'!C180&amp;" "&amp;'StB-D1 Besondere Lstg'!F180&amp;" "&amp;'StB-D1 Besondere Lstg'!F181,IF(AND(Projektgrundlagen!$I$22,'HB-D1 Besondere Lstg Land'!M180=TRUE),'HB-D1 Besondere Lstg Land'!C180&amp;" "&amp;'HB-D1 Besondere Lstg Land'!F180&amp;" "&amp;'HB-D1 Besondere Lstg Land'!F181,IF(AND(Projektgrundlagen!$I$23,'HB-D2 Besondere Lstg Bund'!M180=TRUE),'HB-D2 Besondere Lstg Bund'!C180&amp;" "&amp;'HB-D2 Besondere Lstg Bund'!F180&amp;" "&amp;'HB-D2 Besondere Lstg Bund'!F181,"")))</f>
        <v/>
      </c>
      <c r="C225" s="1192" t="str">
        <f>IF(AND(Projektgrundlagen!$I$21,'StB-D1 Besondere Lstg'!M180=TRUE),'StB-D1 Besondere Lstg'!H180,"")</f>
        <v/>
      </c>
      <c r="D225" s="1192" t="str">
        <f>IF(AND(Projektgrundlagen!$I$21,'StB-D1 Besondere Lstg'!M180=TRUE),'StB-D1 Besondere Lstg'!I180,IF(AND(Projektgrundlagen!$I$22,'HB-D1 Besondere Lstg Land'!M180=TRUE),(IF('HB-D1 Besondere Lstg Land'!H180&gt;0,"v.H.","pauschal")),IF(AND(Projektgrundlagen!$I$23,'HB-D2 Besondere Lstg Bund'!M180=TRUE),(IF('HB-D2 Besondere Lstg Bund'!H180&gt;0,"v.H.","pauschal")),"")))</f>
        <v/>
      </c>
      <c r="E225" s="1192" t="str">
        <f>IF(AND(Projektgrundlagen!$I$21,'StB-D1 Besondere Lstg'!M180=TRUE),'StB-D1 Besondere Lstg'!J180,IF(AND(Projektgrundlagen!$I$22,'HB-D1 Besondere Lstg Land'!M180=TRUE),'HB-D1 Besondere Lstg Land'!H180+'HB-D1 Besondere Lstg Land'!J180,IF(AND(Projektgrundlagen!$I$23,'HB-D2 Besondere Lstg Bund'!M180=TRUE),'HB-D2 Besondere Lstg Bund'!H180+'HB-D2 Besondere Lstg Bund'!J180,"")))</f>
        <v/>
      </c>
      <c r="F225" s="1192" t="str">
        <f>IF(AND(Projektgrundlagen!$I$21,'StB-D1 Besondere Lstg'!M180=TRUE),'StB-D1 Besondere Lstg'!K180,IF(AND(Projektgrundlagen!$I$22,'HB-D1 Besondere Lstg Land'!M180=TRUE),'HB-D1 Besondere Lstg Land'!K180,IF(AND(Projektgrundlagen!$I$23,'HB-D2 Besondere Lstg Bund'!M180=TRUE),'HB-D2 Besondere Lstg Bund'!K180,"")))</f>
        <v/>
      </c>
      <c r="G225" s="1200"/>
      <c r="H225" s="1201"/>
    </row>
    <row r="226" spans="2:8" ht="14.25">
      <c r="B226" t="str">
        <f>IF(AND(Projektgrundlagen!$I$21,'StB-D1 Besondere Lstg'!M181=TRUE),'StB-D1 Besondere Lstg'!C181&amp;" "&amp;'StB-D1 Besondere Lstg'!F181&amp;" "&amp;'StB-D1 Besondere Lstg'!F182,IF(AND(Projektgrundlagen!$I$22,'HB-D1 Besondere Lstg Land'!M181=TRUE),'HB-D1 Besondere Lstg Land'!C181&amp;" "&amp;'HB-D1 Besondere Lstg Land'!F181&amp;" "&amp;'HB-D1 Besondere Lstg Land'!F182,IF(AND(Projektgrundlagen!$I$23,'HB-D2 Besondere Lstg Bund'!M181=TRUE),'HB-D2 Besondere Lstg Bund'!C181&amp;" "&amp;'HB-D2 Besondere Lstg Bund'!F181&amp;" "&amp;'HB-D2 Besondere Lstg Bund'!F182,"")))</f>
        <v/>
      </c>
      <c r="C226" s="1192" t="str">
        <f>IF(AND(Projektgrundlagen!$I$21,'StB-D1 Besondere Lstg'!M181=TRUE),'StB-D1 Besondere Lstg'!H181,"")</f>
        <v/>
      </c>
      <c r="D226" s="1192" t="str">
        <f>IF(AND(Projektgrundlagen!$I$21,'StB-D1 Besondere Lstg'!M181=TRUE),'StB-D1 Besondere Lstg'!I181,IF(AND(Projektgrundlagen!$I$22,'HB-D1 Besondere Lstg Land'!M181=TRUE),(IF('HB-D1 Besondere Lstg Land'!H181&gt;0,"v.H.","pauschal")),IF(AND(Projektgrundlagen!$I$23,'HB-D2 Besondere Lstg Bund'!M181=TRUE),(IF('HB-D2 Besondere Lstg Bund'!H181&gt;0,"v.H.","pauschal")),"")))</f>
        <v/>
      </c>
      <c r="E226" s="1192" t="str">
        <f>IF(AND(Projektgrundlagen!$I$21,'StB-D1 Besondere Lstg'!M181=TRUE),'StB-D1 Besondere Lstg'!J181,IF(AND(Projektgrundlagen!$I$22,'HB-D1 Besondere Lstg Land'!M181=TRUE),'HB-D1 Besondere Lstg Land'!H181+'HB-D1 Besondere Lstg Land'!J181,IF(AND(Projektgrundlagen!$I$23,'HB-D2 Besondere Lstg Bund'!M181=TRUE),'HB-D2 Besondere Lstg Bund'!H181+'HB-D2 Besondere Lstg Bund'!J181,"")))</f>
        <v/>
      </c>
      <c r="F226" s="1192" t="str">
        <f>IF(AND(Projektgrundlagen!$I$21,'StB-D1 Besondere Lstg'!M181=TRUE),'StB-D1 Besondere Lstg'!K181,IF(AND(Projektgrundlagen!$I$22,'HB-D1 Besondere Lstg Land'!M181=TRUE),'HB-D1 Besondere Lstg Land'!K181,IF(AND(Projektgrundlagen!$I$23,'HB-D2 Besondere Lstg Bund'!M181=TRUE),'HB-D2 Besondere Lstg Bund'!K181,"")))</f>
        <v/>
      </c>
      <c r="G226" s="1200"/>
      <c r="H226" s="1201"/>
    </row>
    <row r="227" spans="2:8" ht="14.25">
      <c r="B227" t="str">
        <f>IF(AND(Projektgrundlagen!$I$21,'StB-D1 Besondere Lstg'!M182=TRUE),'StB-D1 Besondere Lstg'!C182&amp;" "&amp;'StB-D1 Besondere Lstg'!F182&amp;" "&amp;'StB-D1 Besondere Lstg'!F183,IF(AND(Projektgrundlagen!$I$22,'HB-D1 Besondere Lstg Land'!M182=TRUE),'HB-D1 Besondere Lstg Land'!C182&amp;" "&amp;'HB-D1 Besondere Lstg Land'!F182&amp;" "&amp;'HB-D1 Besondere Lstg Land'!F183,IF(AND(Projektgrundlagen!$I$23,'HB-D2 Besondere Lstg Bund'!M182=TRUE),'HB-D2 Besondere Lstg Bund'!C182&amp;" "&amp;'HB-D2 Besondere Lstg Bund'!F182&amp;" "&amp;'HB-D2 Besondere Lstg Bund'!F183,"")))</f>
        <v/>
      </c>
      <c r="C227" s="1192" t="str">
        <f>IF(AND(Projektgrundlagen!$I$21,'StB-D1 Besondere Lstg'!M182=TRUE),'StB-D1 Besondere Lstg'!H182,"")</f>
        <v/>
      </c>
      <c r="D227" s="1192" t="str">
        <f>IF(AND(Projektgrundlagen!$I$21,'StB-D1 Besondere Lstg'!M182=TRUE),'StB-D1 Besondere Lstg'!I182,IF(AND(Projektgrundlagen!$I$22,'HB-D1 Besondere Lstg Land'!M182=TRUE),(IF('HB-D1 Besondere Lstg Land'!H182&gt;0,"v.H.","pauschal")),IF(AND(Projektgrundlagen!$I$23,'HB-D2 Besondere Lstg Bund'!M182=TRUE),(IF('HB-D2 Besondere Lstg Bund'!H182&gt;0,"v.H.","pauschal")),"")))</f>
        <v/>
      </c>
      <c r="E227" s="1192" t="str">
        <f>IF(AND(Projektgrundlagen!$I$21,'StB-D1 Besondere Lstg'!M182=TRUE),'StB-D1 Besondere Lstg'!J182,IF(AND(Projektgrundlagen!$I$22,'HB-D1 Besondere Lstg Land'!M182=TRUE),'HB-D1 Besondere Lstg Land'!H182+'HB-D1 Besondere Lstg Land'!J182,IF(AND(Projektgrundlagen!$I$23,'HB-D2 Besondere Lstg Bund'!M182=TRUE),'HB-D2 Besondere Lstg Bund'!H182+'HB-D2 Besondere Lstg Bund'!J182,"")))</f>
        <v/>
      </c>
      <c r="F227" s="1192" t="str">
        <f>IF(AND(Projektgrundlagen!$I$21,'StB-D1 Besondere Lstg'!M182=TRUE),'StB-D1 Besondere Lstg'!K182,IF(AND(Projektgrundlagen!$I$22,'HB-D1 Besondere Lstg Land'!M182=TRUE),'HB-D1 Besondere Lstg Land'!K182,IF(AND(Projektgrundlagen!$I$23,'HB-D2 Besondere Lstg Bund'!M182=TRUE),'HB-D2 Besondere Lstg Bund'!K182,"")))</f>
        <v/>
      </c>
      <c r="G227" s="1200"/>
      <c r="H227" s="1201"/>
    </row>
    <row r="228" spans="2:8" ht="14.25">
      <c r="B228" t="str">
        <f>IF(AND(Projektgrundlagen!$I$21,'StB-D1 Besondere Lstg'!M183=TRUE),'StB-D1 Besondere Lstg'!C183&amp;" "&amp;'StB-D1 Besondere Lstg'!F183&amp;" "&amp;'StB-D1 Besondere Lstg'!F184,IF(AND(Projektgrundlagen!$I$22,'HB-D1 Besondere Lstg Land'!M183=TRUE),'HB-D1 Besondere Lstg Land'!C183&amp;" "&amp;'HB-D1 Besondere Lstg Land'!F183&amp;" "&amp;'HB-D1 Besondere Lstg Land'!F184,IF(AND(Projektgrundlagen!$I$23,'HB-D2 Besondere Lstg Bund'!M183=TRUE),'HB-D2 Besondere Lstg Bund'!C183&amp;" "&amp;'HB-D2 Besondere Lstg Bund'!F183&amp;" "&amp;'HB-D2 Besondere Lstg Bund'!F184,"")))</f>
        <v/>
      </c>
      <c r="C228" s="1192" t="str">
        <f>IF(AND(Projektgrundlagen!$I$21,'StB-D1 Besondere Lstg'!M183=TRUE),'StB-D1 Besondere Lstg'!H183,"")</f>
        <v/>
      </c>
      <c r="D228" s="1192" t="str">
        <f>IF(AND(Projektgrundlagen!$I$21,'StB-D1 Besondere Lstg'!M183=TRUE),'StB-D1 Besondere Lstg'!I183,IF(AND(Projektgrundlagen!$I$22,'HB-D1 Besondere Lstg Land'!M183=TRUE),(IF('HB-D1 Besondere Lstg Land'!H183&gt;0,"v.H.","pauschal")),IF(AND(Projektgrundlagen!$I$23,'HB-D2 Besondere Lstg Bund'!M183=TRUE),(IF('HB-D2 Besondere Lstg Bund'!H183&gt;0,"v.H.","pauschal")),"")))</f>
        <v/>
      </c>
      <c r="E228" s="1192" t="str">
        <f>IF(AND(Projektgrundlagen!$I$21,'StB-D1 Besondere Lstg'!M183=TRUE),'StB-D1 Besondere Lstg'!J183,IF(AND(Projektgrundlagen!$I$22,'HB-D1 Besondere Lstg Land'!M183=TRUE),'HB-D1 Besondere Lstg Land'!H183+'HB-D1 Besondere Lstg Land'!J183,IF(AND(Projektgrundlagen!$I$23,'HB-D2 Besondere Lstg Bund'!M183=TRUE),'HB-D2 Besondere Lstg Bund'!H183+'HB-D2 Besondere Lstg Bund'!J183,"")))</f>
        <v/>
      </c>
      <c r="F228" s="1192" t="str">
        <f>IF(AND(Projektgrundlagen!$I$21,'StB-D1 Besondere Lstg'!M183=TRUE),'StB-D1 Besondere Lstg'!K183,IF(AND(Projektgrundlagen!$I$22,'HB-D1 Besondere Lstg Land'!M183=TRUE),'HB-D1 Besondere Lstg Land'!K183,IF(AND(Projektgrundlagen!$I$23,'HB-D2 Besondere Lstg Bund'!M183=TRUE),'HB-D2 Besondere Lstg Bund'!K183,"")))</f>
        <v/>
      </c>
      <c r="G228" s="1200"/>
      <c r="H228" s="1201"/>
    </row>
    <row r="229" spans="2:8" ht="14.25">
      <c r="B229" t="str">
        <f>IF(AND(Projektgrundlagen!$I$21,'StB-D1 Besondere Lstg'!M184=TRUE),'StB-D1 Besondere Lstg'!C184&amp;" "&amp;'StB-D1 Besondere Lstg'!F184&amp;" "&amp;'StB-D1 Besondere Lstg'!F185,IF(AND(Projektgrundlagen!$I$22,'HB-D1 Besondere Lstg Land'!M184=TRUE),'HB-D1 Besondere Lstg Land'!C184&amp;" "&amp;'HB-D1 Besondere Lstg Land'!F184&amp;" "&amp;'HB-D1 Besondere Lstg Land'!F185,IF(AND(Projektgrundlagen!$I$23,'HB-D2 Besondere Lstg Bund'!M184=TRUE),'HB-D2 Besondere Lstg Bund'!C184&amp;" "&amp;'HB-D2 Besondere Lstg Bund'!F184&amp;" "&amp;'HB-D2 Besondere Lstg Bund'!F185,"")))</f>
        <v/>
      </c>
      <c r="C229" s="1192" t="str">
        <f>IF(AND(Projektgrundlagen!$I$21,'StB-D1 Besondere Lstg'!M184=TRUE),'StB-D1 Besondere Lstg'!H184,"")</f>
        <v/>
      </c>
      <c r="D229" s="1192" t="str">
        <f>IF(AND(Projektgrundlagen!$I$21,'StB-D1 Besondere Lstg'!M184=TRUE),'StB-D1 Besondere Lstg'!I184,IF(AND(Projektgrundlagen!$I$22,'HB-D1 Besondere Lstg Land'!M184=TRUE),(IF('HB-D1 Besondere Lstg Land'!H184&gt;0,"v.H.","pauschal")),IF(AND(Projektgrundlagen!$I$23,'HB-D2 Besondere Lstg Bund'!M184=TRUE),(IF('HB-D2 Besondere Lstg Bund'!H184&gt;0,"v.H.","pauschal")),"")))</f>
        <v/>
      </c>
      <c r="E229" s="1192" t="str">
        <f>IF(AND(Projektgrundlagen!$I$21,'StB-D1 Besondere Lstg'!M184=TRUE),'StB-D1 Besondere Lstg'!J184,IF(AND(Projektgrundlagen!$I$22,'HB-D1 Besondere Lstg Land'!M184=TRUE),'HB-D1 Besondere Lstg Land'!H184+'HB-D1 Besondere Lstg Land'!J184,IF(AND(Projektgrundlagen!$I$23,'HB-D2 Besondere Lstg Bund'!M184=TRUE),'HB-D2 Besondere Lstg Bund'!H184+'HB-D2 Besondere Lstg Bund'!J184,"")))</f>
        <v/>
      </c>
      <c r="F229" s="1192" t="str">
        <f>IF(AND(Projektgrundlagen!$I$21,'StB-D1 Besondere Lstg'!M184=TRUE),'StB-D1 Besondere Lstg'!K184,IF(AND(Projektgrundlagen!$I$22,'HB-D1 Besondere Lstg Land'!M184=TRUE),'HB-D1 Besondere Lstg Land'!K184,IF(AND(Projektgrundlagen!$I$23,'HB-D2 Besondere Lstg Bund'!M184=TRUE),'HB-D2 Besondere Lstg Bund'!K184,"")))</f>
        <v/>
      </c>
      <c r="G229" s="1200"/>
      <c r="H229" s="1201"/>
    </row>
    <row r="230" spans="2:8" ht="14.25">
      <c r="B230" t="str">
        <f>IF(AND(Projektgrundlagen!$I$21,'StB-D1 Besondere Lstg'!M185=TRUE),'StB-D1 Besondere Lstg'!C185&amp;" "&amp;'StB-D1 Besondere Lstg'!F185&amp;" "&amp;'StB-D1 Besondere Lstg'!F186,IF(AND(Projektgrundlagen!$I$22,'HB-D1 Besondere Lstg Land'!M185=TRUE),'HB-D1 Besondere Lstg Land'!C185&amp;" "&amp;'HB-D1 Besondere Lstg Land'!F185&amp;" "&amp;'HB-D1 Besondere Lstg Land'!F186,IF(AND(Projektgrundlagen!$I$23,'HB-D2 Besondere Lstg Bund'!M185=TRUE),'HB-D2 Besondere Lstg Bund'!C185&amp;" "&amp;'HB-D2 Besondere Lstg Bund'!F185&amp;" "&amp;'HB-D2 Besondere Lstg Bund'!F186,"")))</f>
        <v/>
      </c>
      <c r="C230" s="1192" t="str">
        <f>IF(AND(Projektgrundlagen!$I$21,'StB-D1 Besondere Lstg'!M185=TRUE),'StB-D1 Besondere Lstg'!H185,"")</f>
        <v/>
      </c>
      <c r="D230" s="1192" t="str">
        <f>IF(AND(Projektgrundlagen!$I$21,'StB-D1 Besondere Lstg'!M185=TRUE),'StB-D1 Besondere Lstg'!I185,IF(AND(Projektgrundlagen!$I$22,'HB-D1 Besondere Lstg Land'!M185=TRUE),(IF('HB-D1 Besondere Lstg Land'!H185&gt;0,"v.H.","pauschal")),IF(AND(Projektgrundlagen!$I$23,'HB-D2 Besondere Lstg Bund'!M185=TRUE),(IF('HB-D2 Besondere Lstg Bund'!H185&gt;0,"v.H.","pauschal")),"")))</f>
        <v/>
      </c>
      <c r="E230" s="1192" t="str">
        <f>IF(AND(Projektgrundlagen!$I$21,'StB-D1 Besondere Lstg'!M185=TRUE),'StB-D1 Besondere Lstg'!J185,IF(AND(Projektgrundlagen!$I$22,'HB-D1 Besondere Lstg Land'!M185=TRUE),'HB-D1 Besondere Lstg Land'!H185+'HB-D1 Besondere Lstg Land'!J185,IF(AND(Projektgrundlagen!$I$23,'HB-D2 Besondere Lstg Bund'!M185=TRUE),'HB-D2 Besondere Lstg Bund'!H185+'HB-D2 Besondere Lstg Bund'!J185,"")))</f>
        <v/>
      </c>
      <c r="F230" s="1192" t="str">
        <f>IF(AND(Projektgrundlagen!$I$21,'StB-D1 Besondere Lstg'!M185=TRUE),'StB-D1 Besondere Lstg'!K185,IF(AND(Projektgrundlagen!$I$22,'HB-D1 Besondere Lstg Land'!M185=TRUE),'HB-D1 Besondere Lstg Land'!K185,IF(AND(Projektgrundlagen!$I$23,'HB-D2 Besondere Lstg Bund'!M185=TRUE),'HB-D2 Besondere Lstg Bund'!K185,"")))</f>
        <v/>
      </c>
      <c r="G230" s="1200"/>
      <c r="H230" s="1201"/>
    </row>
    <row r="231" spans="2:8" ht="14.25">
      <c r="B231" t="str">
        <f>IF(AND(Projektgrundlagen!$I$21,'StB-D1 Besondere Lstg'!M186=TRUE),'StB-D1 Besondere Lstg'!C186&amp;" "&amp;'StB-D1 Besondere Lstg'!F186&amp;" "&amp;'StB-D1 Besondere Lstg'!F187,IF(AND(Projektgrundlagen!$I$22,'HB-D1 Besondere Lstg Land'!M186=TRUE),'HB-D1 Besondere Lstg Land'!C186&amp;" "&amp;'HB-D1 Besondere Lstg Land'!F186&amp;" "&amp;'HB-D1 Besondere Lstg Land'!F187,IF(AND(Projektgrundlagen!$I$23,'HB-D2 Besondere Lstg Bund'!M186=TRUE),'HB-D2 Besondere Lstg Bund'!C186&amp;" "&amp;'HB-D2 Besondere Lstg Bund'!F186&amp;" "&amp;'HB-D2 Besondere Lstg Bund'!F187,"")))</f>
        <v/>
      </c>
      <c r="C231" s="1192" t="str">
        <f>IF(AND(Projektgrundlagen!$I$21,'StB-D1 Besondere Lstg'!M186=TRUE),'StB-D1 Besondere Lstg'!H186,"")</f>
        <v/>
      </c>
      <c r="D231" s="1192" t="str">
        <f>IF(AND(Projektgrundlagen!$I$21,'StB-D1 Besondere Lstg'!M186=TRUE),'StB-D1 Besondere Lstg'!I186,IF(AND(Projektgrundlagen!$I$22,'HB-D1 Besondere Lstg Land'!M186=TRUE),(IF('HB-D1 Besondere Lstg Land'!H186&gt;0,"v.H.","pauschal")),IF(AND(Projektgrundlagen!$I$23,'HB-D2 Besondere Lstg Bund'!M186=TRUE),(IF('HB-D2 Besondere Lstg Bund'!H186&gt;0,"v.H.","pauschal")),"")))</f>
        <v/>
      </c>
      <c r="E231" s="1192" t="str">
        <f>IF(AND(Projektgrundlagen!$I$21,'StB-D1 Besondere Lstg'!M186=TRUE),'StB-D1 Besondere Lstg'!J186,IF(AND(Projektgrundlagen!$I$22,'HB-D1 Besondere Lstg Land'!M186=TRUE),'HB-D1 Besondere Lstg Land'!H186+'HB-D1 Besondere Lstg Land'!J186,IF(AND(Projektgrundlagen!$I$23,'HB-D2 Besondere Lstg Bund'!M186=TRUE),'HB-D2 Besondere Lstg Bund'!H186+'HB-D2 Besondere Lstg Bund'!J186,"")))</f>
        <v/>
      </c>
      <c r="F231" s="1192" t="str">
        <f>IF(AND(Projektgrundlagen!$I$21,'StB-D1 Besondere Lstg'!M186=TRUE),'StB-D1 Besondere Lstg'!K186,IF(AND(Projektgrundlagen!$I$22,'HB-D1 Besondere Lstg Land'!M186=TRUE),'HB-D1 Besondere Lstg Land'!K186,IF(AND(Projektgrundlagen!$I$23,'HB-D2 Besondere Lstg Bund'!M186=TRUE),'HB-D2 Besondere Lstg Bund'!K186,"")))</f>
        <v/>
      </c>
      <c r="G231" s="1200"/>
      <c r="H231" s="1201"/>
    </row>
    <row r="232" spans="2:8" ht="14.25">
      <c r="B232" t="str">
        <f>IF(AND(Projektgrundlagen!$I$21,'StB-D1 Besondere Lstg'!M187=TRUE),'StB-D1 Besondere Lstg'!C187&amp;" "&amp;'StB-D1 Besondere Lstg'!F187&amp;" "&amp;'StB-D1 Besondere Lstg'!F188,IF(AND(Projektgrundlagen!$I$22,'HB-D1 Besondere Lstg Land'!M187=TRUE),'HB-D1 Besondere Lstg Land'!C187&amp;" "&amp;'HB-D1 Besondere Lstg Land'!F187&amp;" "&amp;'HB-D1 Besondere Lstg Land'!F188,IF(AND(Projektgrundlagen!$I$23,'HB-D2 Besondere Lstg Bund'!M187=TRUE),'HB-D2 Besondere Lstg Bund'!C187&amp;" "&amp;'HB-D2 Besondere Lstg Bund'!F187&amp;" "&amp;'HB-D2 Besondere Lstg Bund'!F188,"")))</f>
        <v/>
      </c>
      <c r="C232" s="1192" t="str">
        <f>IF(AND(Projektgrundlagen!$I$21,'StB-D1 Besondere Lstg'!M187=TRUE),'StB-D1 Besondere Lstg'!H187,"")</f>
        <v/>
      </c>
      <c r="D232" s="1192" t="str">
        <f>IF(AND(Projektgrundlagen!$I$21,'StB-D1 Besondere Lstg'!M187=TRUE),'StB-D1 Besondere Lstg'!I187,IF(AND(Projektgrundlagen!$I$22,'HB-D1 Besondere Lstg Land'!M187=TRUE),(IF('HB-D1 Besondere Lstg Land'!H187&gt;0,"v.H.","pauschal")),IF(AND(Projektgrundlagen!$I$23,'HB-D2 Besondere Lstg Bund'!M187=TRUE),(IF('HB-D2 Besondere Lstg Bund'!H187&gt;0,"v.H.","pauschal")),"")))</f>
        <v/>
      </c>
      <c r="E232" s="1192" t="str">
        <f>IF(AND(Projektgrundlagen!$I$21,'StB-D1 Besondere Lstg'!M187=TRUE),'StB-D1 Besondere Lstg'!J187,IF(AND(Projektgrundlagen!$I$22,'HB-D1 Besondere Lstg Land'!M187=TRUE),'HB-D1 Besondere Lstg Land'!H187+'HB-D1 Besondere Lstg Land'!J187,IF(AND(Projektgrundlagen!$I$23,'HB-D2 Besondere Lstg Bund'!M187=TRUE),'HB-D2 Besondere Lstg Bund'!H187+'HB-D2 Besondere Lstg Bund'!J187,"")))</f>
        <v/>
      </c>
      <c r="F232" s="1192" t="str">
        <f>IF(AND(Projektgrundlagen!$I$21,'StB-D1 Besondere Lstg'!M187=TRUE),'StB-D1 Besondere Lstg'!K187,IF(AND(Projektgrundlagen!$I$22,'HB-D1 Besondere Lstg Land'!M187=TRUE),'HB-D1 Besondere Lstg Land'!K187,IF(AND(Projektgrundlagen!$I$23,'HB-D2 Besondere Lstg Bund'!M187=TRUE),'HB-D2 Besondere Lstg Bund'!K187,"")))</f>
        <v/>
      </c>
      <c r="G232" s="1200"/>
      <c r="H232" s="1201"/>
    </row>
    <row r="233" spans="2:8" ht="14.25">
      <c r="B233" t="str">
        <f>IF(AND(Projektgrundlagen!$I$21,'StB-D1 Besondere Lstg'!M188=TRUE),'StB-D1 Besondere Lstg'!C188&amp;" "&amp;'StB-D1 Besondere Lstg'!F188&amp;" "&amp;'StB-D1 Besondere Lstg'!F189,IF(AND(Projektgrundlagen!$I$22,'HB-D1 Besondere Lstg Land'!M188=TRUE),'HB-D1 Besondere Lstg Land'!C188&amp;" "&amp;'HB-D1 Besondere Lstg Land'!F188&amp;" "&amp;'HB-D1 Besondere Lstg Land'!F189,IF(AND(Projektgrundlagen!$I$23,'HB-D2 Besondere Lstg Bund'!M188=TRUE),'HB-D2 Besondere Lstg Bund'!C188&amp;" "&amp;'HB-D2 Besondere Lstg Bund'!F188&amp;" "&amp;'HB-D2 Besondere Lstg Bund'!F189,"")))</f>
        <v/>
      </c>
      <c r="C233" s="1192" t="str">
        <f>IF(AND(Projektgrundlagen!$I$21,'StB-D1 Besondere Lstg'!M188=TRUE),'StB-D1 Besondere Lstg'!H188,"")</f>
        <v/>
      </c>
      <c r="D233" s="1192" t="str">
        <f>IF(AND(Projektgrundlagen!$I$21,'StB-D1 Besondere Lstg'!M188=TRUE),'StB-D1 Besondere Lstg'!I188,IF(AND(Projektgrundlagen!$I$22,'HB-D1 Besondere Lstg Land'!M188=TRUE),(IF('HB-D1 Besondere Lstg Land'!H188&gt;0,"v.H.","pauschal")),IF(AND(Projektgrundlagen!$I$23,'HB-D2 Besondere Lstg Bund'!M188=TRUE),(IF('HB-D2 Besondere Lstg Bund'!H188&gt;0,"v.H.","pauschal")),"")))</f>
        <v/>
      </c>
      <c r="E233" s="1192" t="str">
        <f>IF(AND(Projektgrundlagen!$I$21,'StB-D1 Besondere Lstg'!M188=TRUE),'StB-D1 Besondere Lstg'!J188,IF(AND(Projektgrundlagen!$I$22,'HB-D1 Besondere Lstg Land'!M188=TRUE),'HB-D1 Besondere Lstg Land'!H188+'HB-D1 Besondere Lstg Land'!J188,IF(AND(Projektgrundlagen!$I$23,'HB-D2 Besondere Lstg Bund'!M188=TRUE),'HB-D2 Besondere Lstg Bund'!H188+'HB-D2 Besondere Lstg Bund'!J188,"")))</f>
        <v/>
      </c>
      <c r="F233" s="1192" t="str">
        <f>IF(AND(Projektgrundlagen!$I$21,'StB-D1 Besondere Lstg'!M188=TRUE),'StB-D1 Besondere Lstg'!K188,IF(AND(Projektgrundlagen!$I$22,'HB-D1 Besondere Lstg Land'!M188=TRUE),'HB-D1 Besondere Lstg Land'!K188,IF(AND(Projektgrundlagen!$I$23,'HB-D2 Besondere Lstg Bund'!M188=TRUE),'HB-D2 Besondere Lstg Bund'!K188,"")))</f>
        <v/>
      </c>
      <c r="G233" s="1200"/>
      <c r="H233" s="1201"/>
    </row>
    <row r="234" spans="2:8" ht="14.25">
      <c r="B234" t="str">
        <f>IF(AND(Projektgrundlagen!$I$21,'StB-D1 Besondere Lstg'!M189=TRUE),'StB-D1 Besondere Lstg'!C189&amp;" "&amp;'StB-D1 Besondere Lstg'!F189&amp;" "&amp;'StB-D1 Besondere Lstg'!F190,IF(AND(Projektgrundlagen!$I$22,'HB-D1 Besondere Lstg Land'!M189=TRUE),'HB-D1 Besondere Lstg Land'!C189&amp;" "&amp;'HB-D1 Besondere Lstg Land'!F189&amp;" "&amp;'HB-D1 Besondere Lstg Land'!F190,IF(AND(Projektgrundlagen!$I$23,'HB-D2 Besondere Lstg Bund'!M189=TRUE),'HB-D2 Besondere Lstg Bund'!C189&amp;" "&amp;'HB-D2 Besondere Lstg Bund'!F189&amp;" "&amp;'HB-D2 Besondere Lstg Bund'!F190,"")))</f>
        <v/>
      </c>
      <c r="C234" s="1192" t="str">
        <f>IF(AND(Projektgrundlagen!$I$21,'StB-D1 Besondere Lstg'!M189=TRUE),'StB-D1 Besondere Lstg'!H189,"")</f>
        <v/>
      </c>
      <c r="D234" s="1192" t="str">
        <f>IF(AND(Projektgrundlagen!$I$21,'StB-D1 Besondere Lstg'!M189=TRUE),'StB-D1 Besondere Lstg'!I189,IF(AND(Projektgrundlagen!$I$22,'HB-D1 Besondere Lstg Land'!M189=TRUE),(IF('HB-D1 Besondere Lstg Land'!H189&gt;0,"v.H.","pauschal")),IF(AND(Projektgrundlagen!$I$23,'HB-D2 Besondere Lstg Bund'!M189=TRUE),(IF('HB-D2 Besondere Lstg Bund'!H189&gt;0,"v.H.","pauschal")),"")))</f>
        <v/>
      </c>
      <c r="E234" s="1192" t="str">
        <f>IF(AND(Projektgrundlagen!$I$21,'StB-D1 Besondere Lstg'!M189=TRUE),'StB-D1 Besondere Lstg'!J189,IF(AND(Projektgrundlagen!$I$22,'HB-D1 Besondere Lstg Land'!M189=TRUE),'HB-D1 Besondere Lstg Land'!H189+'HB-D1 Besondere Lstg Land'!J189,IF(AND(Projektgrundlagen!$I$23,'HB-D2 Besondere Lstg Bund'!M189=TRUE),'HB-D2 Besondere Lstg Bund'!H189+'HB-D2 Besondere Lstg Bund'!J189,"")))</f>
        <v/>
      </c>
      <c r="F234" s="1192" t="str">
        <f>IF(AND(Projektgrundlagen!$I$21,'StB-D1 Besondere Lstg'!M189=TRUE),'StB-D1 Besondere Lstg'!K189,IF(AND(Projektgrundlagen!$I$22,'HB-D1 Besondere Lstg Land'!M189=TRUE),'HB-D1 Besondere Lstg Land'!K189,IF(AND(Projektgrundlagen!$I$23,'HB-D2 Besondere Lstg Bund'!M189=TRUE),'HB-D2 Besondere Lstg Bund'!K189,"")))</f>
        <v/>
      </c>
      <c r="G234" s="1200"/>
      <c r="H234" s="1201"/>
    </row>
    <row r="235" spans="2:8" ht="14.25">
      <c r="B235" t="str">
        <f>IF(AND(Projektgrundlagen!$I$21,'StB-D1 Besondere Lstg'!M190=TRUE),'StB-D1 Besondere Lstg'!C190&amp;" "&amp;'StB-D1 Besondere Lstg'!F190&amp;" "&amp;'StB-D1 Besondere Lstg'!F191,IF(AND(Projektgrundlagen!$I$22,'HB-D1 Besondere Lstg Land'!M190=TRUE),'HB-D1 Besondere Lstg Land'!C190&amp;" "&amp;'HB-D1 Besondere Lstg Land'!F190&amp;" "&amp;'HB-D1 Besondere Lstg Land'!F191,IF(AND(Projektgrundlagen!$I$23,'HB-D2 Besondere Lstg Bund'!M190=TRUE),'HB-D2 Besondere Lstg Bund'!C190&amp;" "&amp;'HB-D2 Besondere Lstg Bund'!F190&amp;" "&amp;'HB-D2 Besondere Lstg Bund'!F191,"")))</f>
        <v/>
      </c>
      <c r="C235" s="1192" t="str">
        <f>IF(AND(Projektgrundlagen!$I$21,'StB-D1 Besondere Lstg'!M190=TRUE),'StB-D1 Besondere Lstg'!H190,"")</f>
        <v/>
      </c>
      <c r="D235" s="1192" t="str">
        <f>IF(AND(Projektgrundlagen!$I$21,'StB-D1 Besondere Lstg'!M190=TRUE),'StB-D1 Besondere Lstg'!I190,IF(AND(Projektgrundlagen!$I$22,'HB-D1 Besondere Lstg Land'!M190=TRUE),(IF('HB-D1 Besondere Lstg Land'!H190&gt;0,"v.H.","pauschal")),IF(AND(Projektgrundlagen!$I$23,'HB-D2 Besondere Lstg Bund'!M190=TRUE),(IF('HB-D2 Besondere Lstg Bund'!H190&gt;0,"v.H.","pauschal")),"")))</f>
        <v/>
      </c>
      <c r="E235" s="1192" t="str">
        <f>IF(AND(Projektgrundlagen!$I$21,'StB-D1 Besondere Lstg'!M190=TRUE),'StB-D1 Besondere Lstg'!J190,IF(AND(Projektgrundlagen!$I$22,'HB-D1 Besondere Lstg Land'!M190=TRUE),'HB-D1 Besondere Lstg Land'!H190+'HB-D1 Besondere Lstg Land'!J190,IF(AND(Projektgrundlagen!$I$23,'HB-D2 Besondere Lstg Bund'!M190=TRUE),'HB-D2 Besondere Lstg Bund'!H190+'HB-D2 Besondere Lstg Bund'!J190,"")))</f>
        <v/>
      </c>
      <c r="F235" s="1192" t="str">
        <f>IF(AND(Projektgrundlagen!$I$21,'StB-D1 Besondere Lstg'!M190=TRUE),'StB-D1 Besondere Lstg'!K190,IF(AND(Projektgrundlagen!$I$22,'HB-D1 Besondere Lstg Land'!M190=TRUE),'HB-D1 Besondere Lstg Land'!K190,IF(AND(Projektgrundlagen!$I$23,'HB-D2 Besondere Lstg Bund'!M190=TRUE),'HB-D2 Besondere Lstg Bund'!K190,"")))</f>
        <v/>
      </c>
      <c r="G235" s="1200"/>
      <c r="H235" s="1201"/>
    </row>
    <row r="236" spans="2:8" ht="14.25">
      <c r="B236" t="str">
        <f>IF(AND(Projektgrundlagen!$I$21,'StB-D1 Besondere Lstg'!M191=TRUE),'StB-D1 Besondere Lstg'!C191&amp;" "&amp;'StB-D1 Besondere Lstg'!F191&amp;" "&amp;'StB-D1 Besondere Lstg'!F192,IF(AND(Projektgrundlagen!$I$22,'HB-D1 Besondere Lstg Land'!M191=TRUE),'HB-D1 Besondere Lstg Land'!C191&amp;" "&amp;'HB-D1 Besondere Lstg Land'!F191&amp;" "&amp;'HB-D1 Besondere Lstg Land'!F192,IF(AND(Projektgrundlagen!$I$23,'HB-D2 Besondere Lstg Bund'!M191=TRUE),'HB-D2 Besondere Lstg Bund'!C191&amp;" "&amp;'HB-D2 Besondere Lstg Bund'!F191&amp;" "&amp;'HB-D2 Besondere Lstg Bund'!F192,"")))</f>
        <v/>
      </c>
      <c r="C236" s="1192" t="str">
        <f>IF(AND(Projektgrundlagen!$I$21,'StB-D1 Besondere Lstg'!M191=TRUE),'StB-D1 Besondere Lstg'!H191,"")</f>
        <v/>
      </c>
      <c r="D236" s="1192" t="str">
        <f>IF(AND(Projektgrundlagen!$I$21,'StB-D1 Besondere Lstg'!M191=TRUE),'StB-D1 Besondere Lstg'!I191,IF(AND(Projektgrundlagen!$I$22,'HB-D1 Besondere Lstg Land'!M191=TRUE),(IF('HB-D1 Besondere Lstg Land'!H191&gt;0,"v.H.","pauschal")),IF(AND(Projektgrundlagen!$I$23,'HB-D2 Besondere Lstg Bund'!M191=TRUE),(IF('HB-D2 Besondere Lstg Bund'!H191&gt;0,"v.H.","pauschal")),"")))</f>
        <v/>
      </c>
      <c r="E236" s="1192" t="str">
        <f>IF(AND(Projektgrundlagen!$I$21,'StB-D1 Besondere Lstg'!M191=TRUE),'StB-D1 Besondere Lstg'!J191,IF(AND(Projektgrundlagen!$I$22,'HB-D1 Besondere Lstg Land'!M191=TRUE),'HB-D1 Besondere Lstg Land'!H191+'HB-D1 Besondere Lstg Land'!J191,IF(AND(Projektgrundlagen!$I$23,'HB-D2 Besondere Lstg Bund'!M191=TRUE),'HB-D2 Besondere Lstg Bund'!H191+'HB-D2 Besondere Lstg Bund'!J191,"")))</f>
        <v/>
      </c>
      <c r="F236" s="1192" t="str">
        <f>IF(AND(Projektgrundlagen!$I$21,'StB-D1 Besondere Lstg'!M191=TRUE),'StB-D1 Besondere Lstg'!K191,IF(AND(Projektgrundlagen!$I$22,'HB-D1 Besondere Lstg Land'!M191=TRUE),'HB-D1 Besondere Lstg Land'!K191,IF(AND(Projektgrundlagen!$I$23,'HB-D2 Besondere Lstg Bund'!M191=TRUE),'HB-D2 Besondere Lstg Bund'!K191,"")))</f>
        <v/>
      </c>
      <c r="G236" s="1200"/>
      <c r="H236" s="1201"/>
    </row>
    <row r="237" spans="2:8" ht="14.25">
      <c r="B237" t="str">
        <f>IF(AND(Projektgrundlagen!$I$21,'StB-D1 Besondere Lstg'!M192=TRUE),'StB-D1 Besondere Lstg'!C192&amp;" "&amp;'StB-D1 Besondere Lstg'!F192&amp;" "&amp;'StB-D1 Besondere Lstg'!F193,IF(AND(Projektgrundlagen!$I$22,'HB-D1 Besondere Lstg Land'!M192=TRUE),'HB-D1 Besondere Lstg Land'!C192&amp;" "&amp;'HB-D1 Besondere Lstg Land'!F192&amp;" "&amp;'HB-D1 Besondere Lstg Land'!F193,IF(AND(Projektgrundlagen!$I$23,'HB-D2 Besondere Lstg Bund'!M192=TRUE),'HB-D2 Besondere Lstg Bund'!C192&amp;" "&amp;'HB-D2 Besondere Lstg Bund'!F192&amp;" "&amp;'HB-D2 Besondere Lstg Bund'!F193,"")))</f>
        <v/>
      </c>
      <c r="C237" s="1192" t="str">
        <f>IF(AND(Projektgrundlagen!$I$21,'StB-D1 Besondere Lstg'!M192=TRUE),'StB-D1 Besondere Lstg'!H192,"")</f>
        <v/>
      </c>
      <c r="D237" s="1192" t="str">
        <f>IF(AND(Projektgrundlagen!$I$21,'StB-D1 Besondere Lstg'!M192=TRUE),'StB-D1 Besondere Lstg'!I192,IF(AND(Projektgrundlagen!$I$22,'HB-D1 Besondere Lstg Land'!M192=TRUE),(IF('HB-D1 Besondere Lstg Land'!H192&gt;0,"v.H.","pauschal")),IF(AND(Projektgrundlagen!$I$23,'HB-D2 Besondere Lstg Bund'!M192=TRUE),(IF('HB-D2 Besondere Lstg Bund'!H192&gt;0,"v.H.","pauschal")),"")))</f>
        <v/>
      </c>
      <c r="E237" s="1192" t="str">
        <f>IF(AND(Projektgrundlagen!$I$21,'StB-D1 Besondere Lstg'!M192=TRUE),'StB-D1 Besondere Lstg'!J192,IF(AND(Projektgrundlagen!$I$22,'HB-D1 Besondere Lstg Land'!M192=TRUE),'HB-D1 Besondere Lstg Land'!H192+'HB-D1 Besondere Lstg Land'!J192,IF(AND(Projektgrundlagen!$I$23,'HB-D2 Besondere Lstg Bund'!M192=TRUE),'HB-D2 Besondere Lstg Bund'!H192+'HB-D2 Besondere Lstg Bund'!J192,"")))</f>
        <v/>
      </c>
      <c r="F237" s="1192" t="str">
        <f>IF(AND(Projektgrundlagen!$I$21,'StB-D1 Besondere Lstg'!M192=TRUE),'StB-D1 Besondere Lstg'!K192,IF(AND(Projektgrundlagen!$I$22,'HB-D1 Besondere Lstg Land'!M192=TRUE),'HB-D1 Besondere Lstg Land'!K192,IF(AND(Projektgrundlagen!$I$23,'HB-D2 Besondere Lstg Bund'!M192=TRUE),'HB-D2 Besondere Lstg Bund'!K192,"")))</f>
        <v/>
      </c>
      <c r="G237" s="1200"/>
      <c r="H237" s="1201"/>
    </row>
    <row r="238" spans="2:8" ht="14.25">
      <c r="B238" t="str">
        <f>IF(AND(Projektgrundlagen!$I$21,'StB-D1 Besondere Lstg'!M193=TRUE),'StB-D1 Besondere Lstg'!C193&amp;" "&amp;'StB-D1 Besondere Lstg'!F193&amp;" "&amp;'StB-D1 Besondere Lstg'!F194,IF(AND(Projektgrundlagen!$I$22,'HB-D1 Besondere Lstg Land'!M193=TRUE),'HB-D1 Besondere Lstg Land'!C193&amp;" "&amp;'HB-D1 Besondere Lstg Land'!F193&amp;" "&amp;'HB-D1 Besondere Lstg Land'!F194,IF(AND(Projektgrundlagen!$I$23,'HB-D2 Besondere Lstg Bund'!M193=TRUE),'HB-D2 Besondere Lstg Bund'!C193&amp;" "&amp;'HB-D2 Besondere Lstg Bund'!F193&amp;" "&amp;'HB-D2 Besondere Lstg Bund'!F194,"")))</f>
        <v/>
      </c>
      <c r="C238" s="1192" t="str">
        <f>IF(AND(Projektgrundlagen!$I$21,'StB-D1 Besondere Lstg'!M193=TRUE),'StB-D1 Besondere Lstg'!H193,"")</f>
        <v/>
      </c>
      <c r="D238" s="1192" t="str">
        <f>IF(AND(Projektgrundlagen!$I$21,'StB-D1 Besondere Lstg'!M193=TRUE),'StB-D1 Besondere Lstg'!I193,IF(AND(Projektgrundlagen!$I$22,'HB-D1 Besondere Lstg Land'!M193=TRUE),(IF('HB-D1 Besondere Lstg Land'!H193&gt;0,"v.H.","pauschal")),IF(AND(Projektgrundlagen!$I$23,'HB-D2 Besondere Lstg Bund'!M193=TRUE),(IF('HB-D2 Besondere Lstg Bund'!H193&gt;0,"v.H.","pauschal")),"")))</f>
        <v/>
      </c>
      <c r="E238" s="1192" t="str">
        <f>IF(AND(Projektgrundlagen!$I$21,'StB-D1 Besondere Lstg'!M193=TRUE),'StB-D1 Besondere Lstg'!J193,IF(AND(Projektgrundlagen!$I$22,'HB-D1 Besondere Lstg Land'!M193=TRUE),'HB-D1 Besondere Lstg Land'!H193+'HB-D1 Besondere Lstg Land'!J193,IF(AND(Projektgrundlagen!$I$23,'HB-D2 Besondere Lstg Bund'!M193=TRUE),'HB-D2 Besondere Lstg Bund'!H193+'HB-D2 Besondere Lstg Bund'!J193,"")))</f>
        <v/>
      </c>
      <c r="F238" s="1192" t="str">
        <f>IF(AND(Projektgrundlagen!$I$21,'StB-D1 Besondere Lstg'!M193=TRUE),'StB-D1 Besondere Lstg'!K193,IF(AND(Projektgrundlagen!$I$22,'HB-D1 Besondere Lstg Land'!M193=TRUE),'HB-D1 Besondere Lstg Land'!K193,IF(AND(Projektgrundlagen!$I$23,'HB-D2 Besondere Lstg Bund'!M193=TRUE),'HB-D2 Besondere Lstg Bund'!K193,"")))</f>
        <v/>
      </c>
      <c r="G238" s="1200"/>
      <c r="H238" s="1201"/>
    </row>
    <row r="239" spans="2:8" ht="14.25">
      <c r="B239" t="str">
        <f>IF(AND(Projektgrundlagen!$I$21,'StB-D1 Besondere Lstg'!M194=TRUE),'StB-D1 Besondere Lstg'!C194&amp;" "&amp;'StB-D1 Besondere Lstg'!F194&amp;" "&amp;'StB-D1 Besondere Lstg'!F195,IF(AND(Projektgrundlagen!$I$22,'HB-D1 Besondere Lstg Land'!M194=TRUE),'HB-D1 Besondere Lstg Land'!C194&amp;" "&amp;'HB-D1 Besondere Lstg Land'!F194&amp;" "&amp;'HB-D1 Besondere Lstg Land'!F195,IF(AND(Projektgrundlagen!$I$23,'HB-D2 Besondere Lstg Bund'!M194=TRUE),'HB-D2 Besondere Lstg Bund'!C194&amp;" "&amp;'HB-D2 Besondere Lstg Bund'!F194&amp;" "&amp;'HB-D2 Besondere Lstg Bund'!F195,"")))</f>
        <v/>
      </c>
      <c r="C239" s="1192" t="str">
        <f>IF(AND(Projektgrundlagen!$I$21,'StB-D1 Besondere Lstg'!M194=TRUE),'StB-D1 Besondere Lstg'!H194,"")</f>
        <v/>
      </c>
      <c r="D239" s="1192" t="str">
        <f>IF(AND(Projektgrundlagen!$I$21,'StB-D1 Besondere Lstg'!M194=TRUE),'StB-D1 Besondere Lstg'!I194,IF(AND(Projektgrundlagen!$I$22,'HB-D1 Besondere Lstg Land'!M194=TRUE),(IF('HB-D1 Besondere Lstg Land'!H194&gt;0,"v.H.","pauschal")),IF(AND(Projektgrundlagen!$I$23,'HB-D2 Besondere Lstg Bund'!M194=TRUE),(IF('HB-D2 Besondere Lstg Bund'!H194&gt;0,"v.H.","pauschal")),"")))</f>
        <v/>
      </c>
      <c r="E239" s="1192" t="str">
        <f>IF(AND(Projektgrundlagen!$I$21,'StB-D1 Besondere Lstg'!M194=TRUE),'StB-D1 Besondere Lstg'!J194,IF(AND(Projektgrundlagen!$I$22,'HB-D1 Besondere Lstg Land'!M194=TRUE),'HB-D1 Besondere Lstg Land'!H194+'HB-D1 Besondere Lstg Land'!J194,IF(AND(Projektgrundlagen!$I$23,'HB-D2 Besondere Lstg Bund'!M194=TRUE),'HB-D2 Besondere Lstg Bund'!H194+'HB-D2 Besondere Lstg Bund'!J194,"")))</f>
        <v/>
      </c>
      <c r="F239" s="1192" t="str">
        <f>IF(AND(Projektgrundlagen!$I$21,'StB-D1 Besondere Lstg'!M194=TRUE),'StB-D1 Besondere Lstg'!K194,IF(AND(Projektgrundlagen!$I$22,'HB-D1 Besondere Lstg Land'!M194=TRUE),'HB-D1 Besondere Lstg Land'!K194,IF(AND(Projektgrundlagen!$I$23,'HB-D2 Besondere Lstg Bund'!M194=TRUE),'HB-D2 Besondere Lstg Bund'!K194,"")))</f>
        <v/>
      </c>
      <c r="G239" s="1200"/>
      <c r="H239" s="1201"/>
    </row>
    <row r="240" spans="2:8" ht="14.25">
      <c r="B240" t="str">
        <f>IF(AND(Projektgrundlagen!$I$21,'StB-D1 Besondere Lstg'!M195=TRUE),'StB-D1 Besondere Lstg'!C195&amp;" "&amp;'StB-D1 Besondere Lstg'!F195&amp;" "&amp;'StB-D1 Besondere Lstg'!F196,IF(AND(Projektgrundlagen!$I$22,'HB-D1 Besondere Lstg Land'!M195=TRUE),'HB-D1 Besondere Lstg Land'!C195&amp;" "&amp;'HB-D1 Besondere Lstg Land'!F195&amp;" "&amp;'HB-D1 Besondere Lstg Land'!F196,IF(AND(Projektgrundlagen!$I$23,'HB-D2 Besondere Lstg Bund'!M195=TRUE),'HB-D2 Besondere Lstg Bund'!C195&amp;" "&amp;'HB-D2 Besondere Lstg Bund'!F195&amp;" "&amp;'HB-D2 Besondere Lstg Bund'!F196,"")))</f>
        <v/>
      </c>
      <c r="C240" s="1192" t="str">
        <f>IF(AND(Projektgrundlagen!$I$21,'StB-D1 Besondere Lstg'!M195=TRUE),'StB-D1 Besondere Lstg'!H195,"")</f>
        <v/>
      </c>
      <c r="D240" s="1192" t="str">
        <f>IF(AND(Projektgrundlagen!$I$21,'StB-D1 Besondere Lstg'!M195=TRUE),'StB-D1 Besondere Lstg'!I195,IF(AND(Projektgrundlagen!$I$22,'HB-D1 Besondere Lstg Land'!M195=TRUE),(IF('HB-D1 Besondere Lstg Land'!H195&gt;0,"v.H.","pauschal")),IF(AND(Projektgrundlagen!$I$23,'HB-D2 Besondere Lstg Bund'!M195=TRUE),(IF('HB-D2 Besondere Lstg Bund'!H195&gt;0,"v.H.","pauschal")),"")))</f>
        <v/>
      </c>
      <c r="E240" s="1192" t="str">
        <f>IF(AND(Projektgrundlagen!$I$21,'StB-D1 Besondere Lstg'!M195=TRUE),'StB-D1 Besondere Lstg'!J195,IF(AND(Projektgrundlagen!$I$22,'HB-D1 Besondere Lstg Land'!M195=TRUE),'HB-D1 Besondere Lstg Land'!H195+'HB-D1 Besondere Lstg Land'!J195,IF(AND(Projektgrundlagen!$I$23,'HB-D2 Besondere Lstg Bund'!M195=TRUE),'HB-D2 Besondere Lstg Bund'!H195+'HB-D2 Besondere Lstg Bund'!J195,"")))</f>
        <v/>
      </c>
      <c r="F240" s="1192" t="str">
        <f>IF(AND(Projektgrundlagen!$I$21,'StB-D1 Besondere Lstg'!M195=TRUE),'StB-D1 Besondere Lstg'!K195,IF(AND(Projektgrundlagen!$I$22,'HB-D1 Besondere Lstg Land'!M195=TRUE),'HB-D1 Besondere Lstg Land'!K195,IF(AND(Projektgrundlagen!$I$23,'HB-D2 Besondere Lstg Bund'!M195=TRUE),'HB-D2 Besondere Lstg Bund'!K195,"")))</f>
        <v/>
      </c>
      <c r="G240" s="1200"/>
      <c r="H240" s="1201"/>
    </row>
    <row r="241" spans="2:8" ht="14.25">
      <c r="B241" t="str">
        <f>IF(AND(Projektgrundlagen!$I$21,'StB-D1 Besondere Lstg'!M196=TRUE),'StB-D1 Besondere Lstg'!C196&amp;" "&amp;'StB-D1 Besondere Lstg'!F196&amp;" "&amp;'StB-D1 Besondere Lstg'!F197,IF(AND(Projektgrundlagen!$I$22,'HB-D1 Besondere Lstg Land'!M196=TRUE),'HB-D1 Besondere Lstg Land'!C196&amp;" "&amp;'HB-D1 Besondere Lstg Land'!F196&amp;" "&amp;'HB-D1 Besondere Lstg Land'!F197,IF(AND(Projektgrundlagen!$I$23,'HB-D2 Besondere Lstg Bund'!M196=TRUE),'HB-D2 Besondere Lstg Bund'!C196&amp;" "&amp;'HB-D2 Besondere Lstg Bund'!F196&amp;" "&amp;'HB-D2 Besondere Lstg Bund'!F197,"")))</f>
        <v/>
      </c>
      <c r="C241" s="1192" t="str">
        <f>IF(AND(Projektgrundlagen!$I$21,'StB-D1 Besondere Lstg'!M196=TRUE),'StB-D1 Besondere Lstg'!H196,"")</f>
        <v/>
      </c>
      <c r="D241" s="1192" t="str">
        <f>IF(AND(Projektgrundlagen!$I$21,'StB-D1 Besondere Lstg'!M196=TRUE),'StB-D1 Besondere Lstg'!I196,IF(AND(Projektgrundlagen!$I$22,'HB-D1 Besondere Lstg Land'!M196=TRUE),(IF('HB-D1 Besondere Lstg Land'!H196&gt;0,"v.H.","pauschal")),IF(AND(Projektgrundlagen!$I$23,'HB-D2 Besondere Lstg Bund'!M196=TRUE),(IF('HB-D2 Besondere Lstg Bund'!H196&gt;0,"v.H.","pauschal")),"")))</f>
        <v/>
      </c>
      <c r="E241" s="1192" t="str">
        <f>IF(AND(Projektgrundlagen!$I$21,'StB-D1 Besondere Lstg'!M196=TRUE),'StB-D1 Besondere Lstg'!J196,IF(AND(Projektgrundlagen!$I$22,'HB-D1 Besondere Lstg Land'!M196=TRUE),'HB-D1 Besondere Lstg Land'!H196+'HB-D1 Besondere Lstg Land'!J196,IF(AND(Projektgrundlagen!$I$23,'HB-D2 Besondere Lstg Bund'!M196=TRUE),'HB-D2 Besondere Lstg Bund'!H196+'HB-D2 Besondere Lstg Bund'!J196,"")))</f>
        <v/>
      </c>
      <c r="F241" s="1192" t="str">
        <f>IF(AND(Projektgrundlagen!$I$21,'StB-D1 Besondere Lstg'!M196=TRUE),'StB-D1 Besondere Lstg'!K196,IF(AND(Projektgrundlagen!$I$22,'HB-D1 Besondere Lstg Land'!M196=TRUE),'HB-D1 Besondere Lstg Land'!K196,IF(AND(Projektgrundlagen!$I$23,'HB-D2 Besondere Lstg Bund'!M196=TRUE),'HB-D2 Besondere Lstg Bund'!K196,"")))</f>
        <v/>
      </c>
      <c r="G241" s="1200"/>
      <c r="H241" s="1201"/>
    </row>
    <row r="242" spans="2:8" ht="14.25">
      <c r="B242" t="str">
        <f>IF(AND(Projektgrundlagen!$I$21,'StB-D1 Besondere Lstg'!M197=TRUE),'StB-D1 Besondere Lstg'!C197&amp;" "&amp;'StB-D1 Besondere Lstg'!F197&amp;" "&amp;'StB-D1 Besondere Lstg'!F198,IF(AND(Projektgrundlagen!$I$22,'HB-D1 Besondere Lstg Land'!M197=TRUE),'HB-D1 Besondere Lstg Land'!C197&amp;" "&amp;'HB-D1 Besondere Lstg Land'!F197&amp;" "&amp;'HB-D1 Besondere Lstg Land'!F198,IF(AND(Projektgrundlagen!$I$23,'HB-D2 Besondere Lstg Bund'!M197=TRUE),'HB-D2 Besondere Lstg Bund'!C197&amp;" "&amp;'HB-D2 Besondere Lstg Bund'!F197&amp;" "&amp;'HB-D2 Besondere Lstg Bund'!F198,"")))</f>
        <v/>
      </c>
      <c r="C242" s="1192" t="str">
        <f>IF(AND(Projektgrundlagen!$I$21,'StB-D1 Besondere Lstg'!M197=TRUE),'StB-D1 Besondere Lstg'!H197,"")</f>
        <v/>
      </c>
      <c r="D242" s="1192" t="str">
        <f>IF(AND(Projektgrundlagen!$I$21,'StB-D1 Besondere Lstg'!M197=TRUE),'StB-D1 Besondere Lstg'!I197,IF(AND(Projektgrundlagen!$I$22,'HB-D1 Besondere Lstg Land'!M197=TRUE),(IF('HB-D1 Besondere Lstg Land'!H197&gt;0,"v.H.","pauschal")),IF(AND(Projektgrundlagen!$I$23,'HB-D2 Besondere Lstg Bund'!M197=TRUE),(IF('HB-D2 Besondere Lstg Bund'!H197&gt;0,"v.H.","pauschal")),"")))</f>
        <v/>
      </c>
      <c r="E242" s="1192" t="str">
        <f>IF(AND(Projektgrundlagen!$I$21,'StB-D1 Besondere Lstg'!M197=TRUE),'StB-D1 Besondere Lstg'!J197,IF(AND(Projektgrundlagen!$I$22,'HB-D1 Besondere Lstg Land'!M197=TRUE),'HB-D1 Besondere Lstg Land'!H197+'HB-D1 Besondere Lstg Land'!J197,IF(AND(Projektgrundlagen!$I$23,'HB-D2 Besondere Lstg Bund'!M197=TRUE),'HB-D2 Besondere Lstg Bund'!H197+'HB-D2 Besondere Lstg Bund'!J197,"")))</f>
        <v/>
      </c>
      <c r="F242" s="1192" t="str">
        <f>IF(AND(Projektgrundlagen!$I$21,'StB-D1 Besondere Lstg'!M197=TRUE),'StB-D1 Besondere Lstg'!K197,IF(AND(Projektgrundlagen!$I$22,'HB-D1 Besondere Lstg Land'!M197=TRUE),'HB-D1 Besondere Lstg Land'!K197,IF(AND(Projektgrundlagen!$I$23,'HB-D2 Besondere Lstg Bund'!M197=TRUE),'HB-D2 Besondere Lstg Bund'!K197,"")))</f>
        <v/>
      </c>
      <c r="G242" s="1200"/>
      <c r="H242" s="1201"/>
    </row>
    <row r="243" spans="2:8" ht="14.25">
      <c r="B243" t="str">
        <f>IF(AND(Projektgrundlagen!$I$21,'StB-D1 Besondere Lstg'!M198=TRUE),'StB-D1 Besondere Lstg'!C198&amp;" "&amp;'StB-D1 Besondere Lstg'!F198&amp;" "&amp;'StB-D1 Besondere Lstg'!F199,IF(AND(Projektgrundlagen!$I$22,'HB-D1 Besondere Lstg Land'!M198=TRUE),'HB-D1 Besondere Lstg Land'!C198&amp;" "&amp;'HB-D1 Besondere Lstg Land'!F198&amp;" "&amp;'HB-D1 Besondere Lstg Land'!F199,IF(AND(Projektgrundlagen!$I$23,'HB-D2 Besondere Lstg Bund'!M198=TRUE),'HB-D2 Besondere Lstg Bund'!C198&amp;" "&amp;'HB-D2 Besondere Lstg Bund'!F198&amp;" "&amp;'HB-D2 Besondere Lstg Bund'!F199,"")))</f>
        <v/>
      </c>
      <c r="C243" s="1192" t="str">
        <f>IF(AND(Projektgrundlagen!$I$21,'StB-D1 Besondere Lstg'!M198=TRUE),'StB-D1 Besondere Lstg'!H198,"")</f>
        <v/>
      </c>
      <c r="D243" s="1192" t="str">
        <f>IF(AND(Projektgrundlagen!$I$21,'StB-D1 Besondere Lstg'!M198=TRUE),'StB-D1 Besondere Lstg'!I198,IF(AND(Projektgrundlagen!$I$22,'HB-D1 Besondere Lstg Land'!M198=TRUE),(IF('HB-D1 Besondere Lstg Land'!H198&gt;0,"v.H.","pauschal")),IF(AND(Projektgrundlagen!$I$23,'HB-D2 Besondere Lstg Bund'!M198=TRUE),(IF('HB-D2 Besondere Lstg Bund'!H198&gt;0,"v.H.","pauschal")),"")))</f>
        <v/>
      </c>
      <c r="E243" s="1192" t="str">
        <f>IF(AND(Projektgrundlagen!$I$21,'StB-D1 Besondere Lstg'!M198=TRUE),'StB-D1 Besondere Lstg'!J198,IF(AND(Projektgrundlagen!$I$22,'HB-D1 Besondere Lstg Land'!M198=TRUE),'HB-D1 Besondere Lstg Land'!H198+'HB-D1 Besondere Lstg Land'!J198,IF(AND(Projektgrundlagen!$I$23,'HB-D2 Besondere Lstg Bund'!M198=TRUE),'HB-D2 Besondere Lstg Bund'!H198+'HB-D2 Besondere Lstg Bund'!J198,"")))</f>
        <v/>
      </c>
      <c r="F243" s="1192" t="str">
        <f>IF(AND(Projektgrundlagen!$I$21,'StB-D1 Besondere Lstg'!M198=TRUE),'StB-D1 Besondere Lstg'!K198,IF(AND(Projektgrundlagen!$I$22,'HB-D1 Besondere Lstg Land'!M198=TRUE),'HB-D1 Besondere Lstg Land'!K198,IF(AND(Projektgrundlagen!$I$23,'HB-D2 Besondere Lstg Bund'!M198=TRUE),'HB-D2 Besondere Lstg Bund'!K198,"")))</f>
        <v/>
      </c>
      <c r="G243" s="1200"/>
      <c r="H243" s="1201"/>
    </row>
    <row r="244" spans="2:8" ht="14.25">
      <c r="B244" t="str">
        <f>IF(AND(Projektgrundlagen!$I$21,'StB-D1 Besondere Lstg'!M199=TRUE),'StB-D1 Besondere Lstg'!C199&amp;" "&amp;'StB-D1 Besondere Lstg'!F199&amp;" "&amp;'StB-D1 Besondere Lstg'!F200,IF(AND(Projektgrundlagen!$I$22,'HB-D1 Besondere Lstg Land'!M199=TRUE),'HB-D1 Besondere Lstg Land'!C199&amp;" "&amp;'HB-D1 Besondere Lstg Land'!F199&amp;" "&amp;'HB-D1 Besondere Lstg Land'!F200,IF(AND(Projektgrundlagen!$I$23,'HB-D2 Besondere Lstg Bund'!M199=TRUE),'HB-D2 Besondere Lstg Bund'!C199&amp;" "&amp;'HB-D2 Besondere Lstg Bund'!F199&amp;" "&amp;'HB-D2 Besondere Lstg Bund'!F200,"")))</f>
        <v/>
      </c>
      <c r="C244" s="1192" t="str">
        <f>IF(AND(Projektgrundlagen!$I$21,'StB-D1 Besondere Lstg'!M199=TRUE),'StB-D1 Besondere Lstg'!H199,"")</f>
        <v/>
      </c>
      <c r="D244" s="1192" t="str">
        <f>IF(AND(Projektgrundlagen!$I$21,'StB-D1 Besondere Lstg'!M199=TRUE),'StB-D1 Besondere Lstg'!I199,IF(AND(Projektgrundlagen!$I$22,'HB-D1 Besondere Lstg Land'!M199=TRUE),(IF('HB-D1 Besondere Lstg Land'!H199&gt;0,"v.H.","pauschal")),IF(AND(Projektgrundlagen!$I$23,'HB-D2 Besondere Lstg Bund'!M199=TRUE),(IF('HB-D2 Besondere Lstg Bund'!H199&gt;0,"v.H.","pauschal")),"")))</f>
        <v/>
      </c>
      <c r="E244" s="1192" t="str">
        <f>IF(AND(Projektgrundlagen!$I$21,'StB-D1 Besondere Lstg'!M199=TRUE),'StB-D1 Besondere Lstg'!J199,IF(AND(Projektgrundlagen!$I$22,'HB-D1 Besondere Lstg Land'!M199=TRUE),'HB-D1 Besondere Lstg Land'!H199+'HB-D1 Besondere Lstg Land'!J199,IF(AND(Projektgrundlagen!$I$23,'HB-D2 Besondere Lstg Bund'!M199=TRUE),'HB-D2 Besondere Lstg Bund'!H199+'HB-D2 Besondere Lstg Bund'!J199,"")))</f>
        <v/>
      </c>
      <c r="F244" s="1192" t="str">
        <f>IF(AND(Projektgrundlagen!$I$21,'StB-D1 Besondere Lstg'!M199=TRUE),'StB-D1 Besondere Lstg'!K199,IF(AND(Projektgrundlagen!$I$22,'HB-D1 Besondere Lstg Land'!M199=TRUE),'HB-D1 Besondere Lstg Land'!K199,IF(AND(Projektgrundlagen!$I$23,'HB-D2 Besondere Lstg Bund'!M199=TRUE),'HB-D2 Besondere Lstg Bund'!K199,"")))</f>
        <v/>
      </c>
      <c r="G244" s="1200"/>
      <c r="H244" s="1201"/>
    </row>
    <row r="245" spans="2:8" ht="14.25">
      <c r="B245" t="str">
        <f>IF(AND(Projektgrundlagen!$I$21,'StB-D1 Besondere Lstg'!M200=TRUE),'StB-D1 Besondere Lstg'!C200&amp;" "&amp;'StB-D1 Besondere Lstg'!F200&amp;" "&amp;'StB-D1 Besondere Lstg'!F201,IF(AND(Projektgrundlagen!$I$22,'HB-D1 Besondere Lstg Land'!M200=TRUE),'HB-D1 Besondere Lstg Land'!C200&amp;" "&amp;'HB-D1 Besondere Lstg Land'!F200&amp;" "&amp;'HB-D1 Besondere Lstg Land'!F201,IF(AND(Projektgrundlagen!$I$23,'HB-D2 Besondere Lstg Bund'!M200=TRUE),'HB-D2 Besondere Lstg Bund'!C200&amp;" "&amp;'HB-D2 Besondere Lstg Bund'!F200&amp;" "&amp;'HB-D2 Besondere Lstg Bund'!F201,"")))</f>
        <v/>
      </c>
      <c r="C245" s="1192" t="str">
        <f>IF(AND(Projektgrundlagen!$I$21,'StB-D1 Besondere Lstg'!M200=TRUE),'StB-D1 Besondere Lstg'!H200,"")</f>
        <v/>
      </c>
      <c r="D245" s="1192" t="str">
        <f>IF(AND(Projektgrundlagen!$I$21,'StB-D1 Besondere Lstg'!M200=TRUE),'StB-D1 Besondere Lstg'!I200,IF(AND(Projektgrundlagen!$I$22,'HB-D1 Besondere Lstg Land'!M200=TRUE),(IF('HB-D1 Besondere Lstg Land'!H200&gt;0,"v.H.","pauschal")),IF(AND(Projektgrundlagen!$I$23,'HB-D2 Besondere Lstg Bund'!M200=TRUE),(IF('HB-D2 Besondere Lstg Bund'!H200&gt;0,"v.H.","pauschal")),"")))</f>
        <v/>
      </c>
      <c r="E245" s="1192" t="str">
        <f>IF(AND(Projektgrundlagen!$I$21,'StB-D1 Besondere Lstg'!M200=TRUE),'StB-D1 Besondere Lstg'!J200,IF(AND(Projektgrundlagen!$I$22,'HB-D1 Besondere Lstg Land'!M200=TRUE),'HB-D1 Besondere Lstg Land'!H200+'HB-D1 Besondere Lstg Land'!J200,IF(AND(Projektgrundlagen!$I$23,'HB-D2 Besondere Lstg Bund'!M200=TRUE),'HB-D2 Besondere Lstg Bund'!H200+'HB-D2 Besondere Lstg Bund'!J200,"")))</f>
        <v/>
      </c>
      <c r="F245" s="1192" t="str">
        <f>IF(AND(Projektgrundlagen!$I$21,'StB-D1 Besondere Lstg'!M200=TRUE),'StB-D1 Besondere Lstg'!K200,IF(AND(Projektgrundlagen!$I$22,'HB-D1 Besondere Lstg Land'!M200=TRUE),'HB-D1 Besondere Lstg Land'!K200,IF(AND(Projektgrundlagen!$I$23,'HB-D2 Besondere Lstg Bund'!M200=TRUE),'HB-D2 Besondere Lstg Bund'!K200,"")))</f>
        <v/>
      </c>
      <c r="G245" s="1200"/>
      <c r="H245" s="1201"/>
    </row>
    <row r="246" spans="2:8" ht="14.25">
      <c r="B246" t="str">
        <f>IF(AND(Projektgrundlagen!$I$21,'StB-D1 Besondere Lstg'!M201=TRUE),'StB-D1 Besondere Lstg'!C201&amp;" "&amp;'StB-D1 Besondere Lstg'!F201&amp;" "&amp;'StB-D1 Besondere Lstg'!F202,IF(AND(Projektgrundlagen!$I$22,'HB-D1 Besondere Lstg Land'!M201=TRUE),'HB-D1 Besondere Lstg Land'!C201&amp;" "&amp;'HB-D1 Besondere Lstg Land'!F201&amp;" "&amp;'HB-D1 Besondere Lstg Land'!F202,IF(AND(Projektgrundlagen!$I$23,'HB-D2 Besondere Lstg Bund'!M201=TRUE),'HB-D2 Besondere Lstg Bund'!C201&amp;" "&amp;'HB-D2 Besondere Lstg Bund'!F201&amp;" "&amp;'HB-D2 Besondere Lstg Bund'!F202,"")))</f>
        <v/>
      </c>
      <c r="C246" s="1192" t="str">
        <f>IF(AND(Projektgrundlagen!$I$21,'StB-D1 Besondere Lstg'!M201=TRUE),'StB-D1 Besondere Lstg'!H201,"")</f>
        <v/>
      </c>
      <c r="D246" s="1192" t="str">
        <f>IF(AND(Projektgrundlagen!$I$21,'StB-D1 Besondere Lstg'!M201=TRUE),'StB-D1 Besondere Lstg'!I201,IF(AND(Projektgrundlagen!$I$22,'HB-D1 Besondere Lstg Land'!M201=TRUE),(IF('HB-D1 Besondere Lstg Land'!H201&gt;0,"v.H.","pauschal")),IF(AND(Projektgrundlagen!$I$23,'HB-D2 Besondere Lstg Bund'!M201=TRUE),(IF('HB-D2 Besondere Lstg Bund'!H201&gt;0,"v.H.","pauschal")),"")))</f>
        <v/>
      </c>
      <c r="E246" s="1192" t="str">
        <f>IF(AND(Projektgrundlagen!$I$21,'StB-D1 Besondere Lstg'!M201=TRUE),'StB-D1 Besondere Lstg'!J201,IF(AND(Projektgrundlagen!$I$22,'HB-D1 Besondere Lstg Land'!M201=TRUE),'HB-D1 Besondere Lstg Land'!H201+'HB-D1 Besondere Lstg Land'!J201,IF(AND(Projektgrundlagen!$I$23,'HB-D2 Besondere Lstg Bund'!M201=TRUE),'HB-D2 Besondere Lstg Bund'!H201+'HB-D2 Besondere Lstg Bund'!J201,"")))</f>
        <v/>
      </c>
      <c r="F246" s="1192" t="str">
        <f>IF(AND(Projektgrundlagen!$I$21,'StB-D1 Besondere Lstg'!M201=TRUE),'StB-D1 Besondere Lstg'!K201,IF(AND(Projektgrundlagen!$I$22,'HB-D1 Besondere Lstg Land'!M201=TRUE),'HB-D1 Besondere Lstg Land'!K201,IF(AND(Projektgrundlagen!$I$23,'HB-D2 Besondere Lstg Bund'!M201=TRUE),'HB-D2 Besondere Lstg Bund'!K201,"")))</f>
        <v/>
      </c>
      <c r="G246" s="1200"/>
      <c r="H246" s="1201"/>
    </row>
    <row r="247" spans="2:8" ht="14.25">
      <c r="B247" t="str">
        <f>IF(AND(Projektgrundlagen!$I$21,'StB-D1 Besondere Lstg'!M202=TRUE),'StB-D1 Besondere Lstg'!C202&amp;" "&amp;'StB-D1 Besondere Lstg'!F202&amp;" "&amp;'StB-D1 Besondere Lstg'!F203,IF(AND(Projektgrundlagen!$I$22,'HB-D1 Besondere Lstg Land'!M202=TRUE),'HB-D1 Besondere Lstg Land'!C202&amp;" "&amp;'HB-D1 Besondere Lstg Land'!F202&amp;" "&amp;'HB-D1 Besondere Lstg Land'!F203,IF(AND(Projektgrundlagen!$I$23,'HB-D2 Besondere Lstg Bund'!M202=TRUE),'HB-D2 Besondere Lstg Bund'!C202&amp;" "&amp;'HB-D2 Besondere Lstg Bund'!F202&amp;" "&amp;'HB-D2 Besondere Lstg Bund'!F203,"")))</f>
        <v/>
      </c>
      <c r="C247" s="1192" t="str">
        <f>IF(AND(Projektgrundlagen!$I$21,'StB-D1 Besondere Lstg'!M202=TRUE),'StB-D1 Besondere Lstg'!H202,"")</f>
        <v/>
      </c>
      <c r="D247" s="1192" t="str">
        <f>IF(AND(Projektgrundlagen!$I$21,'StB-D1 Besondere Lstg'!M202=TRUE),'StB-D1 Besondere Lstg'!I202,IF(AND(Projektgrundlagen!$I$22,'HB-D1 Besondere Lstg Land'!M202=TRUE),(IF('HB-D1 Besondere Lstg Land'!H202&gt;0,"v.H.","pauschal")),IF(AND(Projektgrundlagen!$I$23,'HB-D2 Besondere Lstg Bund'!M202=TRUE),(IF('HB-D2 Besondere Lstg Bund'!H202&gt;0,"v.H.","pauschal")),"")))</f>
        <v/>
      </c>
      <c r="E247" s="1192" t="str">
        <f>IF(AND(Projektgrundlagen!$I$21,'StB-D1 Besondere Lstg'!M202=TRUE),'StB-D1 Besondere Lstg'!J202,IF(AND(Projektgrundlagen!$I$22,'HB-D1 Besondere Lstg Land'!M202=TRUE),'HB-D1 Besondere Lstg Land'!H202+'HB-D1 Besondere Lstg Land'!J202,IF(AND(Projektgrundlagen!$I$23,'HB-D2 Besondere Lstg Bund'!M202=TRUE),'HB-D2 Besondere Lstg Bund'!H202+'HB-D2 Besondere Lstg Bund'!J202,"")))</f>
        <v/>
      </c>
      <c r="F247" s="1192" t="str">
        <f>IF(AND(Projektgrundlagen!$I$21,'StB-D1 Besondere Lstg'!M202=TRUE),'StB-D1 Besondere Lstg'!K202,IF(AND(Projektgrundlagen!$I$22,'HB-D1 Besondere Lstg Land'!M202=TRUE),'HB-D1 Besondere Lstg Land'!K202,IF(AND(Projektgrundlagen!$I$23,'HB-D2 Besondere Lstg Bund'!M202=TRUE),'HB-D2 Besondere Lstg Bund'!K202,"")))</f>
        <v/>
      </c>
      <c r="G247" s="1200"/>
      <c r="H247" s="1201"/>
    </row>
    <row r="248" spans="2:8" ht="14.25">
      <c r="B248" t="str">
        <f>IF(AND(Projektgrundlagen!$I$21,'StB-D1 Besondere Lstg'!M203=TRUE),'StB-D1 Besondere Lstg'!C203&amp;" "&amp;'StB-D1 Besondere Lstg'!F203&amp;" "&amp;'StB-D1 Besondere Lstg'!F204,IF(AND(Projektgrundlagen!$I$22,'HB-D1 Besondere Lstg Land'!M203=TRUE),'HB-D1 Besondere Lstg Land'!C203&amp;" "&amp;'HB-D1 Besondere Lstg Land'!F203&amp;" "&amp;'HB-D1 Besondere Lstg Land'!F204,IF(AND(Projektgrundlagen!$I$23,'HB-D2 Besondere Lstg Bund'!M203=TRUE),'HB-D2 Besondere Lstg Bund'!C203&amp;" "&amp;'HB-D2 Besondere Lstg Bund'!F203&amp;" "&amp;'HB-D2 Besondere Lstg Bund'!F204,"")))</f>
        <v/>
      </c>
      <c r="C248" s="1192" t="str">
        <f>IF(AND(Projektgrundlagen!$I$21,'StB-D1 Besondere Lstg'!M203=TRUE),'StB-D1 Besondere Lstg'!H203,"")</f>
        <v/>
      </c>
      <c r="D248" s="1192" t="str">
        <f>IF(AND(Projektgrundlagen!$I$21,'StB-D1 Besondere Lstg'!M203=TRUE),'StB-D1 Besondere Lstg'!I203,IF(AND(Projektgrundlagen!$I$22,'HB-D1 Besondere Lstg Land'!M203=TRUE),(IF('HB-D1 Besondere Lstg Land'!H203&gt;0,"v.H.","pauschal")),IF(AND(Projektgrundlagen!$I$23,'HB-D2 Besondere Lstg Bund'!M203=TRUE),(IF('HB-D2 Besondere Lstg Bund'!H203&gt;0,"v.H.","pauschal")),"")))</f>
        <v/>
      </c>
      <c r="E248" s="1192" t="str">
        <f>IF(AND(Projektgrundlagen!$I$21,'StB-D1 Besondere Lstg'!M203=TRUE),'StB-D1 Besondere Lstg'!J203,IF(AND(Projektgrundlagen!$I$22,'HB-D1 Besondere Lstg Land'!M203=TRUE),'HB-D1 Besondere Lstg Land'!H203+'HB-D1 Besondere Lstg Land'!J203,IF(AND(Projektgrundlagen!$I$23,'HB-D2 Besondere Lstg Bund'!M203=TRUE),'HB-D2 Besondere Lstg Bund'!H203+'HB-D2 Besondere Lstg Bund'!J203,"")))</f>
        <v/>
      </c>
      <c r="F248" s="1192" t="str">
        <f>IF(AND(Projektgrundlagen!$I$21,'StB-D1 Besondere Lstg'!M203=TRUE),'StB-D1 Besondere Lstg'!K203,IF(AND(Projektgrundlagen!$I$22,'HB-D1 Besondere Lstg Land'!M203=TRUE),'HB-D1 Besondere Lstg Land'!K203,IF(AND(Projektgrundlagen!$I$23,'HB-D2 Besondere Lstg Bund'!M203=TRUE),'HB-D2 Besondere Lstg Bund'!K203,"")))</f>
        <v/>
      </c>
      <c r="G248" s="1200"/>
      <c r="H248" s="1201"/>
    </row>
    <row r="249" spans="2:8" ht="14.25">
      <c r="B249" t="str">
        <f>IF(AND(Projektgrundlagen!$I$21,'StB-D1 Besondere Lstg'!M204=TRUE),'StB-D1 Besondere Lstg'!C204&amp;" "&amp;'StB-D1 Besondere Lstg'!F204&amp;" "&amp;'StB-D1 Besondere Lstg'!F205,IF(AND(Projektgrundlagen!$I$22,'HB-D1 Besondere Lstg Land'!M204=TRUE),'HB-D1 Besondere Lstg Land'!C204&amp;" "&amp;'HB-D1 Besondere Lstg Land'!F204&amp;" "&amp;'HB-D1 Besondere Lstg Land'!F205,IF(AND(Projektgrundlagen!$I$23,'HB-D2 Besondere Lstg Bund'!M204=TRUE),'HB-D2 Besondere Lstg Bund'!C204&amp;" "&amp;'HB-D2 Besondere Lstg Bund'!F204&amp;" "&amp;'HB-D2 Besondere Lstg Bund'!F205,"")))</f>
        <v/>
      </c>
      <c r="C249" s="1192" t="str">
        <f>IF(AND(Projektgrundlagen!$I$21,'StB-D1 Besondere Lstg'!M204=TRUE),'StB-D1 Besondere Lstg'!H204,"")</f>
        <v/>
      </c>
      <c r="D249" s="1192" t="str">
        <f>IF(AND(Projektgrundlagen!$I$21,'StB-D1 Besondere Lstg'!M204=TRUE),'StB-D1 Besondere Lstg'!I204,IF(AND(Projektgrundlagen!$I$22,'HB-D1 Besondere Lstg Land'!M204=TRUE),(IF('HB-D1 Besondere Lstg Land'!H204&gt;0,"v.H.","pauschal")),IF(AND(Projektgrundlagen!$I$23,'HB-D2 Besondere Lstg Bund'!M204=TRUE),(IF('HB-D2 Besondere Lstg Bund'!H204&gt;0,"v.H.","pauschal")),"")))</f>
        <v/>
      </c>
      <c r="E249" s="1192" t="str">
        <f>IF(AND(Projektgrundlagen!$I$21,'StB-D1 Besondere Lstg'!M204=TRUE),'StB-D1 Besondere Lstg'!J204,IF(AND(Projektgrundlagen!$I$22,'HB-D1 Besondere Lstg Land'!M204=TRUE),'HB-D1 Besondere Lstg Land'!H204+'HB-D1 Besondere Lstg Land'!J204,IF(AND(Projektgrundlagen!$I$23,'HB-D2 Besondere Lstg Bund'!M204=TRUE),'HB-D2 Besondere Lstg Bund'!H204+'HB-D2 Besondere Lstg Bund'!J204,"")))</f>
        <v/>
      </c>
      <c r="F249" s="1192" t="str">
        <f>IF(AND(Projektgrundlagen!$I$21,'StB-D1 Besondere Lstg'!M204=TRUE),'StB-D1 Besondere Lstg'!K204,IF(AND(Projektgrundlagen!$I$22,'HB-D1 Besondere Lstg Land'!M204=TRUE),'HB-D1 Besondere Lstg Land'!K204,IF(AND(Projektgrundlagen!$I$23,'HB-D2 Besondere Lstg Bund'!M204=TRUE),'HB-D2 Besondere Lstg Bund'!K204,"")))</f>
        <v/>
      </c>
      <c r="G249" s="1200"/>
      <c r="H249" s="1201"/>
    </row>
    <row r="250" spans="2:8" ht="14.25">
      <c r="B250" t="str">
        <f>IF(AND(Projektgrundlagen!$I$21,'StB-D1 Besondere Lstg'!M205=TRUE),'StB-D1 Besondere Lstg'!C205&amp;" "&amp;'StB-D1 Besondere Lstg'!F205&amp;" "&amp;'StB-D1 Besondere Lstg'!F206,IF(AND(Projektgrundlagen!$I$22,'HB-D1 Besondere Lstg Land'!M205=TRUE),'HB-D1 Besondere Lstg Land'!C205&amp;" "&amp;'HB-D1 Besondere Lstg Land'!F205&amp;" "&amp;'HB-D1 Besondere Lstg Land'!F206,IF(AND(Projektgrundlagen!$I$23,'HB-D2 Besondere Lstg Bund'!M205=TRUE),'HB-D2 Besondere Lstg Bund'!C205&amp;" "&amp;'HB-D2 Besondere Lstg Bund'!F205&amp;" "&amp;'HB-D2 Besondere Lstg Bund'!F206,"")))</f>
        <v/>
      </c>
      <c r="C250" s="1192" t="str">
        <f>IF(AND(Projektgrundlagen!$I$21,'StB-D1 Besondere Lstg'!M205=TRUE),'StB-D1 Besondere Lstg'!H205,"")</f>
        <v/>
      </c>
      <c r="D250" s="1192" t="str">
        <f>IF(AND(Projektgrundlagen!$I$21,'StB-D1 Besondere Lstg'!M205=TRUE),'StB-D1 Besondere Lstg'!I205,IF(AND(Projektgrundlagen!$I$22,'HB-D1 Besondere Lstg Land'!M205=TRUE),(IF('HB-D1 Besondere Lstg Land'!H205&gt;0,"v.H.","pauschal")),IF(AND(Projektgrundlagen!$I$23,'HB-D2 Besondere Lstg Bund'!M205=TRUE),(IF('HB-D2 Besondere Lstg Bund'!H205&gt;0,"v.H.","pauschal")),"")))</f>
        <v/>
      </c>
      <c r="E250" s="1192" t="str">
        <f>IF(AND(Projektgrundlagen!$I$21,'StB-D1 Besondere Lstg'!M205=TRUE),'StB-D1 Besondere Lstg'!J205,IF(AND(Projektgrundlagen!$I$22,'HB-D1 Besondere Lstg Land'!M205=TRUE),'HB-D1 Besondere Lstg Land'!H205+'HB-D1 Besondere Lstg Land'!J205,IF(AND(Projektgrundlagen!$I$23,'HB-D2 Besondere Lstg Bund'!M205=TRUE),'HB-D2 Besondere Lstg Bund'!H205+'HB-D2 Besondere Lstg Bund'!J205,"")))</f>
        <v/>
      </c>
      <c r="F250" s="1192" t="str">
        <f>IF(AND(Projektgrundlagen!$I$21,'StB-D1 Besondere Lstg'!M205=TRUE),'StB-D1 Besondere Lstg'!K205,IF(AND(Projektgrundlagen!$I$22,'HB-D1 Besondere Lstg Land'!M205=TRUE),'HB-D1 Besondere Lstg Land'!K205,IF(AND(Projektgrundlagen!$I$23,'HB-D2 Besondere Lstg Bund'!M205=TRUE),'HB-D2 Besondere Lstg Bund'!K205,"")))</f>
        <v/>
      </c>
      <c r="G250" s="1200"/>
      <c r="H250" s="1201"/>
    </row>
    <row r="251" spans="2:8" ht="14.25">
      <c r="B251" t="str">
        <f>IF(AND(Projektgrundlagen!$I$21,'StB-D1 Besondere Lstg'!M206=TRUE),'StB-D1 Besondere Lstg'!C206&amp;" "&amp;'StB-D1 Besondere Lstg'!F206&amp;" "&amp;'StB-D1 Besondere Lstg'!F207,IF(AND(Projektgrundlagen!$I$22,'HB-D1 Besondere Lstg Land'!M206=TRUE),'HB-D1 Besondere Lstg Land'!C206&amp;" "&amp;'HB-D1 Besondere Lstg Land'!F206&amp;" "&amp;'HB-D1 Besondere Lstg Land'!F207,IF(AND(Projektgrundlagen!$I$23,'HB-D2 Besondere Lstg Bund'!M206=TRUE),'HB-D2 Besondere Lstg Bund'!C206&amp;" "&amp;'HB-D2 Besondere Lstg Bund'!F206&amp;" "&amp;'HB-D2 Besondere Lstg Bund'!F207,"")))</f>
        <v/>
      </c>
      <c r="C251" s="1192" t="str">
        <f>IF(AND(Projektgrundlagen!$I$21,'StB-D1 Besondere Lstg'!M206=TRUE),'StB-D1 Besondere Lstg'!H206,"")</f>
        <v/>
      </c>
      <c r="D251" s="1192" t="str">
        <f>IF(AND(Projektgrundlagen!$I$21,'StB-D1 Besondere Lstg'!M206=TRUE),'StB-D1 Besondere Lstg'!I206,IF(AND(Projektgrundlagen!$I$22,'HB-D1 Besondere Lstg Land'!M206=TRUE),(IF('HB-D1 Besondere Lstg Land'!H206&gt;0,"v.H.","pauschal")),IF(AND(Projektgrundlagen!$I$23,'HB-D2 Besondere Lstg Bund'!M206=TRUE),(IF('HB-D2 Besondere Lstg Bund'!H206&gt;0,"v.H.","pauschal")),"")))</f>
        <v/>
      </c>
      <c r="E251" s="1192" t="str">
        <f>IF(AND(Projektgrundlagen!$I$21,'StB-D1 Besondere Lstg'!M206=TRUE),'StB-D1 Besondere Lstg'!J206,IF(AND(Projektgrundlagen!$I$22,'HB-D1 Besondere Lstg Land'!M206=TRUE),'HB-D1 Besondere Lstg Land'!H206+'HB-D1 Besondere Lstg Land'!J206,IF(AND(Projektgrundlagen!$I$23,'HB-D2 Besondere Lstg Bund'!M206=TRUE),'HB-D2 Besondere Lstg Bund'!H206+'HB-D2 Besondere Lstg Bund'!J206,"")))</f>
        <v/>
      </c>
      <c r="F251" s="1192" t="str">
        <f>IF(AND(Projektgrundlagen!$I$21,'StB-D1 Besondere Lstg'!M206=TRUE),'StB-D1 Besondere Lstg'!K206,IF(AND(Projektgrundlagen!$I$22,'HB-D1 Besondere Lstg Land'!M206=TRUE),'HB-D1 Besondere Lstg Land'!K206,IF(AND(Projektgrundlagen!$I$23,'HB-D2 Besondere Lstg Bund'!M206=TRUE),'HB-D2 Besondere Lstg Bund'!K206,"")))</f>
        <v/>
      </c>
      <c r="G251" s="1200"/>
      <c r="H251" s="1201"/>
    </row>
    <row r="252" spans="2:8" ht="14.25">
      <c r="B252" t="str">
        <f>IF(AND(Projektgrundlagen!$I$21,'StB-D1 Besondere Lstg'!M207=TRUE),'StB-D1 Besondere Lstg'!C207&amp;" "&amp;'StB-D1 Besondere Lstg'!F207&amp;" "&amp;'StB-D1 Besondere Lstg'!F208,IF(AND(Projektgrundlagen!$I$22,'HB-D1 Besondere Lstg Land'!M207=TRUE),'HB-D1 Besondere Lstg Land'!C207&amp;" "&amp;'HB-D1 Besondere Lstg Land'!F207&amp;" "&amp;'HB-D1 Besondere Lstg Land'!F208,IF(AND(Projektgrundlagen!$I$23,'HB-D2 Besondere Lstg Bund'!M207=TRUE),'HB-D2 Besondere Lstg Bund'!C207&amp;" "&amp;'HB-D2 Besondere Lstg Bund'!F207&amp;" "&amp;'HB-D2 Besondere Lstg Bund'!F208,"")))</f>
        <v/>
      </c>
      <c r="C252" s="1192" t="str">
        <f>IF(AND(Projektgrundlagen!$I$21,'StB-D1 Besondere Lstg'!M207=TRUE),'StB-D1 Besondere Lstg'!H207,"")</f>
        <v/>
      </c>
      <c r="D252" s="1192" t="str">
        <f>IF(AND(Projektgrundlagen!$I$21,'StB-D1 Besondere Lstg'!M207=TRUE),'StB-D1 Besondere Lstg'!I207,IF(AND(Projektgrundlagen!$I$22,'HB-D1 Besondere Lstg Land'!M207=TRUE),(IF('HB-D1 Besondere Lstg Land'!H207&gt;0,"v.H.","pauschal")),IF(AND(Projektgrundlagen!$I$23,'HB-D2 Besondere Lstg Bund'!M207=TRUE),(IF('HB-D2 Besondere Lstg Bund'!H207&gt;0,"v.H.","pauschal")),"")))</f>
        <v/>
      </c>
      <c r="E252" s="1192" t="str">
        <f>IF(AND(Projektgrundlagen!$I$21,'StB-D1 Besondere Lstg'!M207=TRUE),'StB-D1 Besondere Lstg'!J207,IF(AND(Projektgrundlagen!$I$22,'HB-D1 Besondere Lstg Land'!M207=TRUE),'HB-D1 Besondere Lstg Land'!H207+'HB-D1 Besondere Lstg Land'!J207,IF(AND(Projektgrundlagen!$I$23,'HB-D2 Besondere Lstg Bund'!M207=TRUE),'HB-D2 Besondere Lstg Bund'!H207+'HB-D2 Besondere Lstg Bund'!J207,"")))</f>
        <v/>
      </c>
      <c r="F252" s="1192" t="str">
        <f>IF(AND(Projektgrundlagen!$I$21,'StB-D1 Besondere Lstg'!M207=TRUE),'StB-D1 Besondere Lstg'!K207,IF(AND(Projektgrundlagen!$I$22,'HB-D1 Besondere Lstg Land'!M207=TRUE),'HB-D1 Besondere Lstg Land'!K207,IF(AND(Projektgrundlagen!$I$23,'HB-D2 Besondere Lstg Bund'!M207=TRUE),'HB-D2 Besondere Lstg Bund'!K207,"")))</f>
        <v/>
      </c>
      <c r="G252" s="1200"/>
      <c r="H252" s="1201"/>
    </row>
    <row r="253" spans="2:8" ht="14.25">
      <c r="B253" t="str">
        <f>IF(AND(Projektgrundlagen!$I$21,'StB-D1 Besondere Lstg'!M208=TRUE),'StB-D1 Besondere Lstg'!C208&amp;" "&amp;'StB-D1 Besondere Lstg'!F208&amp;" "&amp;'StB-D1 Besondere Lstg'!F209,IF(AND(Projektgrundlagen!$I$22,'HB-D1 Besondere Lstg Land'!M208=TRUE),'HB-D1 Besondere Lstg Land'!C208&amp;" "&amp;'HB-D1 Besondere Lstg Land'!F208&amp;" "&amp;'HB-D1 Besondere Lstg Land'!F209,IF(AND(Projektgrundlagen!$I$23,'HB-D2 Besondere Lstg Bund'!M208=TRUE),'HB-D2 Besondere Lstg Bund'!C208&amp;" "&amp;'HB-D2 Besondere Lstg Bund'!F208&amp;" "&amp;'HB-D2 Besondere Lstg Bund'!F209,"")))</f>
        <v/>
      </c>
      <c r="C253" s="1192" t="str">
        <f>IF(AND(Projektgrundlagen!$I$21,'StB-D1 Besondere Lstg'!M208=TRUE),'StB-D1 Besondere Lstg'!H208,"")</f>
        <v/>
      </c>
      <c r="D253" s="1192" t="str">
        <f>IF(AND(Projektgrundlagen!$I$21,'StB-D1 Besondere Lstg'!M208=TRUE),'StB-D1 Besondere Lstg'!I208,IF(AND(Projektgrundlagen!$I$22,'HB-D1 Besondere Lstg Land'!M208=TRUE),(IF('HB-D1 Besondere Lstg Land'!H208&gt;0,"v.H.","pauschal")),IF(AND(Projektgrundlagen!$I$23,'HB-D2 Besondere Lstg Bund'!M208=TRUE),(IF('HB-D2 Besondere Lstg Bund'!H208&gt;0,"v.H.","pauschal")),"")))</f>
        <v/>
      </c>
      <c r="E253" s="1192" t="str">
        <f>IF(AND(Projektgrundlagen!$I$21,'StB-D1 Besondere Lstg'!M208=TRUE),'StB-D1 Besondere Lstg'!J208,IF(AND(Projektgrundlagen!$I$22,'HB-D1 Besondere Lstg Land'!M208=TRUE),'HB-D1 Besondere Lstg Land'!H208+'HB-D1 Besondere Lstg Land'!J208,IF(AND(Projektgrundlagen!$I$23,'HB-D2 Besondere Lstg Bund'!M208=TRUE),'HB-D2 Besondere Lstg Bund'!H208+'HB-D2 Besondere Lstg Bund'!J208,"")))</f>
        <v/>
      </c>
      <c r="F253" s="1192" t="str">
        <f>IF(AND(Projektgrundlagen!$I$21,'StB-D1 Besondere Lstg'!M208=TRUE),'StB-D1 Besondere Lstg'!K208,IF(AND(Projektgrundlagen!$I$22,'HB-D1 Besondere Lstg Land'!M208=TRUE),'HB-D1 Besondere Lstg Land'!K208,IF(AND(Projektgrundlagen!$I$23,'HB-D2 Besondere Lstg Bund'!M208=TRUE),'HB-D2 Besondere Lstg Bund'!K208,"")))</f>
        <v/>
      </c>
      <c r="G253" s="1200"/>
      <c r="H253" s="1201"/>
    </row>
    <row r="254" spans="2:8" ht="14.25">
      <c r="B254" t="str">
        <f>IF(AND(Projektgrundlagen!$I$21,'StB-D1 Besondere Lstg'!M209=TRUE),'StB-D1 Besondere Lstg'!C209&amp;" "&amp;'StB-D1 Besondere Lstg'!F209&amp;" "&amp;'StB-D1 Besondere Lstg'!F210,IF(AND(Projektgrundlagen!$I$22,'HB-D1 Besondere Lstg Land'!M209=TRUE),'HB-D1 Besondere Lstg Land'!C209&amp;" "&amp;'HB-D1 Besondere Lstg Land'!F209&amp;" "&amp;'HB-D1 Besondere Lstg Land'!F210,IF(AND(Projektgrundlagen!$I$23,'HB-D2 Besondere Lstg Bund'!M209=TRUE),'HB-D2 Besondere Lstg Bund'!C209&amp;" "&amp;'HB-D2 Besondere Lstg Bund'!F209&amp;" "&amp;'HB-D2 Besondere Lstg Bund'!F210,"")))</f>
        <v/>
      </c>
      <c r="C254" s="1192" t="str">
        <f>IF(AND(Projektgrundlagen!$I$21,'StB-D1 Besondere Lstg'!M209=TRUE),'StB-D1 Besondere Lstg'!H209,"")</f>
        <v/>
      </c>
      <c r="D254" s="1192" t="str">
        <f>IF(AND(Projektgrundlagen!$I$21,'StB-D1 Besondere Lstg'!M209=TRUE),'StB-D1 Besondere Lstg'!I209,IF(AND(Projektgrundlagen!$I$22,'HB-D1 Besondere Lstg Land'!M209=TRUE),(IF('HB-D1 Besondere Lstg Land'!H209&gt;0,"v.H.","pauschal")),IF(AND(Projektgrundlagen!$I$23,'HB-D2 Besondere Lstg Bund'!M209=TRUE),(IF('HB-D2 Besondere Lstg Bund'!H209&gt;0,"v.H.","pauschal")),"")))</f>
        <v/>
      </c>
      <c r="E254" s="1192" t="str">
        <f>IF(AND(Projektgrundlagen!$I$21,'StB-D1 Besondere Lstg'!M209=TRUE),'StB-D1 Besondere Lstg'!J209,IF(AND(Projektgrundlagen!$I$22,'HB-D1 Besondere Lstg Land'!M209=TRUE),'HB-D1 Besondere Lstg Land'!H209+'HB-D1 Besondere Lstg Land'!J209,IF(AND(Projektgrundlagen!$I$23,'HB-D2 Besondere Lstg Bund'!M209=TRUE),'HB-D2 Besondere Lstg Bund'!H209+'HB-D2 Besondere Lstg Bund'!J209,"")))</f>
        <v/>
      </c>
      <c r="F254" s="1192" t="str">
        <f>IF(AND(Projektgrundlagen!$I$21,'StB-D1 Besondere Lstg'!M209=TRUE),'StB-D1 Besondere Lstg'!K209,IF(AND(Projektgrundlagen!$I$22,'HB-D1 Besondere Lstg Land'!M209=TRUE),'HB-D1 Besondere Lstg Land'!K209,IF(AND(Projektgrundlagen!$I$23,'HB-D2 Besondere Lstg Bund'!M209=TRUE),'HB-D2 Besondere Lstg Bund'!K209,"")))</f>
        <v/>
      </c>
      <c r="G254" s="1200"/>
      <c r="H254" s="1201"/>
    </row>
    <row r="255" spans="2:8" ht="14.25">
      <c r="B255" t="str">
        <f>IF(AND(Projektgrundlagen!$I$21,'StB-D1 Besondere Lstg'!M210=TRUE),'StB-D1 Besondere Lstg'!C210&amp;" "&amp;'StB-D1 Besondere Lstg'!F210&amp;" "&amp;'StB-D1 Besondere Lstg'!F211,IF(AND(Projektgrundlagen!$I$22,'HB-D1 Besondere Lstg Land'!M210=TRUE),'HB-D1 Besondere Lstg Land'!C210&amp;" "&amp;'HB-D1 Besondere Lstg Land'!F210&amp;" "&amp;'HB-D1 Besondere Lstg Land'!F211,IF(AND(Projektgrundlagen!$I$23,'HB-D2 Besondere Lstg Bund'!M210=TRUE),'HB-D2 Besondere Lstg Bund'!C210&amp;" "&amp;'HB-D2 Besondere Lstg Bund'!F210&amp;" "&amp;'HB-D2 Besondere Lstg Bund'!F211,"")))</f>
        <v/>
      </c>
      <c r="C255" s="1192" t="str">
        <f>IF(AND(Projektgrundlagen!$I$21,'StB-D1 Besondere Lstg'!M210=TRUE),'StB-D1 Besondere Lstg'!H210,"")</f>
        <v/>
      </c>
      <c r="D255" s="1192" t="str">
        <f>IF(AND(Projektgrundlagen!$I$21,'StB-D1 Besondere Lstg'!M210=TRUE),'StB-D1 Besondere Lstg'!I210,IF(AND(Projektgrundlagen!$I$22,'HB-D1 Besondere Lstg Land'!M210=TRUE),(IF('HB-D1 Besondere Lstg Land'!H210&gt;0,"v.H.","pauschal")),IF(AND(Projektgrundlagen!$I$23,'HB-D2 Besondere Lstg Bund'!M210=TRUE),(IF('HB-D2 Besondere Lstg Bund'!H210&gt;0,"v.H.","pauschal")),"")))</f>
        <v/>
      </c>
      <c r="E255" s="1192" t="str">
        <f>IF(AND(Projektgrundlagen!$I$21,'StB-D1 Besondere Lstg'!M210=TRUE),'StB-D1 Besondere Lstg'!J210,IF(AND(Projektgrundlagen!$I$22,'HB-D1 Besondere Lstg Land'!M210=TRUE),'HB-D1 Besondere Lstg Land'!H210+'HB-D1 Besondere Lstg Land'!J210,IF(AND(Projektgrundlagen!$I$23,'HB-D2 Besondere Lstg Bund'!M210=TRUE),'HB-D2 Besondere Lstg Bund'!H210+'HB-D2 Besondere Lstg Bund'!J210,"")))</f>
        <v/>
      </c>
      <c r="F255" s="1192" t="str">
        <f>IF(AND(Projektgrundlagen!$I$21,'StB-D1 Besondere Lstg'!M210=TRUE),'StB-D1 Besondere Lstg'!K210,IF(AND(Projektgrundlagen!$I$22,'HB-D1 Besondere Lstg Land'!M210=TRUE),'HB-D1 Besondere Lstg Land'!K210,IF(AND(Projektgrundlagen!$I$23,'HB-D2 Besondere Lstg Bund'!M210=TRUE),'HB-D2 Besondere Lstg Bund'!K210,"")))</f>
        <v/>
      </c>
      <c r="G255" s="1200"/>
      <c r="H255" s="1201"/>
    </row>
    <row r="256" spans="2:8" ht="14.25">
      <c r="B256" t="str">
        <f>IF(AND(Projektgrundlagen!$I$21,'StB-D1 Besondere Lstg'!M211=TRUE),'StB-D1 Besondere Lstg'!C211&amp;" "&amp;'StB-D1 Besondere Lstg'!F211&amp;" "&amp;'StB-D1 Besondere Lstg'!F212,IF(AND(Projektgrundlagen!$I$22,'HB-D1 Besondere Lstg Land'!M211=TRUE),'HB-D1 Besondere Lstg Land'!C211&amp;" "&amp;'HB-D1 Besondere Lstg Land'!F211&amp;" "&amp;'HB-D1 Besondere Lstg Land'!F212,IF(AND(Projektgrundlagen!$I$23,'HB-D2 Besondere Lstg Bund'!M211=TRUE),'HB-D2 Besondere Lstg Bund'!C211&amp;" "&amp;'HB-D2 Besondere Lstg Bund'!F211&amp;" "&amp;'HB-D2 Besondere Lstg Bund'!F212,"")))</f>
        <v/>
      </c>
      <c r="C256" s="1192" t="str">
        <f>IF(AND(Projektgrundlagen!$I$21,'StB-D1 Besondere Lstg'!M211=TRUE),'StB-D1 Besondere Lstg'!H211,"")</f>
        <v/>
      </c>
      <c r="D256" s="1192" t="str">
        <f>IF(AND(Projektgrundlagen!$I$21,'StB-D1 Besondere Lstg'!M211=TRUE),'StB-D1 Besondere Lstg'!I211,IF(AND(Projektgrundlagen!$I$22,'HB-D1 Besondere Lstg Land'!M211=TRUE),(IF('HB-D1 Besondere Lstg Land'!H211&gt;0,"v.H.","pauschal")),IF(AND(Projektgrundlagen!$I$23,'HB-D2 Besondere Lstg Bund'!M211=TRUE),(IF('HB-D2 Besondere Lstg Bund'!H211&gt;0,"v.H.","pauschal")),"")))</f>
        <v/>
      </c>
      <c r="E256" s="1192" t="str">
        <f>IF(AND(Projektgrundlagen!$I$21,'StB-D1 Besondere Lstg'!M211=TRUE),'StB-D1 Besondere Lstg'!J211,IF(AND(Projektgrundlagen!$I$22,'HB-D1 Besondere Lstg Land'!M211=TRUE),'HB-D1 Besondere Lstg Land'!H211+'HB-D1 Besondere Lstg Land'!J211,IF(AND(Projektgrundlagen!$I$23,'HB-D2 Besondere Lstg Bund'!M211=TRUE),'HB-D2 Besondere Lstg Bund'!H211+'HB-D2 Besondere Lstg Bund'!J211,"")))</f>
        <v/>
      </c>
      <c r="F256" s="1192" t="str">
        <f>IF(AND(Projektgrundlagen!$I$21,'StB-D1 Besondere Lstg'!M211=TRUE),'StB-D1 Besondere Lstg'!K211,IF(AND(Projektgrundlagen!$I$22,'HB-D1 Besondere Lstg Land'!M211=TRUE),'HB-D1 Besondere Lstg Land'!K211,IF(AND(Projektgrundlagen!$I$23,'HB-D2 Besondere Lstg Bund'!M211=TRUE),'HB-D2 Besondere Lstg Bund'!K211,"")))</f>
        <v/>
      </c>
      <c r="G256" s="1200"/>
      <c r="H256" s="1201"/>
    </row>
    <row r="257" spans="2:8" ht="14.25">
      <c r="B257" t="str">
        <f>IF(AND(Projektgrundlagen!$I$21,'StB-D1 Besondere Lstg'!M212=TRUE),'StB-D1 Besondere Lstg'!C212&amp;" "&amp;'StB-D1 Besondere Lstg'!F212&amp;" "&amp;'StB-D1 Besondere Lstg'!F213,IF(AND(Projektgrundlagen!$I$22,'HB-D1 Besondere Lstg Land'!M212=TRUE),'HB-D1 Besondere Lstg Land'!C212&amp;" "&amp;'HB-D1 Besondere Lstg Land'!F212&amp;" "&amp;'HB-D1 Besondere Lstg Land'!F213,IF(AND(Projektgrundlagen!$I$23,'HB-D2 Besondere Lstg Bund'!M212=TRUE),'HB-D2 Besondere Lstg Bund'!C212&amp;" "&amp;'HB-D2 Besondere Lstg Bund'!F212&amp;" "&amp;'HB-D2 Besondere Lstg Bund'!F213,"")))</f>
        <v/>
      </c>
      <c r="C257" s="1192" t="str">
        <f>IF(AND(Projektgrundlagen!$I$21,'StB-D1 Besondere Lstg'!M212=TRUE),'StB-D1 Besondere Lstg'!H212,"")</f>
        <v/>
      </c>
      <c r="D257" s="1192" t="str">
        <f>IF(AND(Projektgrundlagen!$I$21,'StB-D1 Besondere Lstg'!M212=TRUE),'StB-D1 Besondere Lstg'!I212,IF(AND(Projektgrundlagen!$I$22,'HB-D1 Besondere Lstg Land'!M212=TRUE),(IF('HB-D1 Besondere Lstg Land'!H212&gt;0,"v.H.","pauschal")),IF(AND(Projektgrundlagen!$I$23,'HB-D2 Besondere Lstg Bund'!M212=TRUE),(IF('HB-D2 Besondere Lstg Bund'!H212&gt;0,"v.H.","pauschal")),"")))</f>
        <v/>
      </c>
      <c r="E257" s="1192" t="str">
        <f>IF(AND(Projektgrundlagen!$I$21,'StB-D1 Besondere Lstg'!M212=TRUE),'StB-D1 Besondere Lstg'!J212,IF(AND(Projektgrundlagen!$I$22,'HB-D1 Besondere Lstg Land'!M212=TRUE),'HB-D1 Besondere Lstg Land'!H212+'HB-D1 Besondere Lstg Land'!J212,IF(AND(Projektgrundlagen!$I$23,'HB-D2 Besondere Lstg Bund'!M212=TRUE),'HB-D2 Besondere Lstg Bund'!H212+'HB-D2 Besondere Lstg Bund'!J212,"")))</f>
        <v/>
      </c>
      <c r="F257" s="1192" t="str">
        <f>IF(AND(Projektgrundlagen!$I$21,'StB-D1 Besondere Lstg'!M212=TRUE),'StB-D1 Besondere Lstg'!K212,IF(AND(Projektgrundlagen!$I$22,'HB-D1 Besondere Lstg Land'!M212=TRUE),'HB-D1 Besondere Lstg Land'!K212,IF(AND(Projektgrundlagen!$I$23,'HB-D2 Besondere Lstg Bund'!M212=TRUE),'HB-D2 Besondere Lstg Bund'!K212,"")))</f>
        <v/>
      </c>
      <c r="G257" s="1200"/>
      <c r="H257" s="1201"/>
    </row>
    <row r="258" spans="2:8" ht="14.25">
      <c r="B258" t="str">
        <f>IF(AND(Projektgrundlagen!$I$21,'StB-D1 Besondere Lstg'!M213=TRUE),'StB-D1 Besondere Lstg'!C213&amp;" "&amp;'StB-D1 Besondere Lstg'!F213&amp;" "&amp;'StB-D1 Besondere Lstg'!F214,IF(AND(Projektgrundlagen!$I$22,'HB-D1 Besondere Lstg Land'!M213=TRUE),'HB-D1 Besondere Lstg Land'!C213&amp;" "&amp;'HB-D1 Besondere Lstg Land'!F213&amp;" "&amp;'HB-D1 Besondere Lstg Land'!F214,IF(AND(Projektgrundlagen!$I$23,'HB-D2 Besondere Lstg Bund'!M213=TRUE),'HB-D2 Besondere Lstg Bund'!C213&amp;" "&amp;'HB-D2 Besondere Lstg Bund'!F213&amp;" "&amp;'HB-D2 Besondere Lstg Bund'!F214,"")))</f>
        <v/>
      </c>
      <c r="C258" s="1192" t="str">
        <f>IF(AND(Projektgrundlagen!$I$21,'StB-D1 Besondere Lstg'!M213=TRUE),'StB-D1 Besondere Lstg'!H213,"")</f>
        <v/>
      </c>
      <c r="D258" s="1192" t="str">
        <f>IF(AND(Projektgrundlagen!$I$21,'StB-D1 Besondere Lstg'!M213=TRUE),'StB-D1 Besondere Lstg'!I213,IF(AND(Projektgrundlagen!$I$22,'HB-D1 Besondere Lstg Land'!M213=TRUE),(IF('HB-D1 Besondere Lstg Land'!H213&gt;0,"v.H.","pauschal")),IF(AND(Projektgrundlagen!$I$23,'HB-D2 Besondere Lstg Bund'!M213=TRUE),(IF('HB-D2 Besondere Lstg Bund'!H213&gt;0,"v.H.","pauschal")),"")))</f>
        <v/>
      </c>
      <c r="E258" s="1192" t="str">
        <f>IF(AND(Projektgrundlagen!$I$21,'StB-D1 Besondere Lstg'!M213=TRUE),'StB-D1 Besondere Lstg'!J213,IF(AND(Projektgrundlagen!$I$22,'HB-D1 Besondere Lstg Land'!M213=TRUE),'HB-D1 Besondere Lstg Land'!H213+'HB-D1 Besondere Lstg Land'!J213,IF(AND(Projektgrundlagen!$I$23,'HB-D2 Besondere Lstg Bund'!M213=TRUE),'HB-D2 Besondere Lstg Bund'!H213+'HB-D2 Besondere Lstg Bund'!J213,"")))</f>
        <v/>
      </c>
      <c r="F258" s="1192" t="str">
        <f>IF(AND(Projektgrundlagen!$I$21,'StB-D1 Besondere Lstg'!M213=TRUE),'StB-D1 Besondere Lstg'!K213,IF(AND(Projektgrundlagen!$I$22,'HB-D1 Besondere Lstg Land'!M213=TRUE),'HB-D1 Besondere Lstg Land'!K213,IF(AND(Projektgrundlagen!$I$23,'HB-D2 Besondere Lstg Bund'!M213=TRUE),'HB-D2 Besondere Lstg Bund'!K213,"")))</f>
        <v/>
      </c>
      <c r="G258" s="1200"/>
      <c r="H258" s="1201"/>
    </row>
    <row r="259" spans="2:8" ht="14.25">
      <c r="B259" t="str">
        <f>IF(AND(Projektgrundlagen!$I$21,'StB-D1 Besondere Lstg'!M214=TRUE),'StB-D1 Besondere Lstg'!C214&amp;" "&amp;'StB-D1 Besondere Lstg'!F214&amp;" "&amp;'StB-D1 Besondere Lstg'!F215,IF(AND(Projektgrundlagen!$I$22,'HB-D1 Besondere Lstg Land'!M214=TRUE),'HB-D1 Besondere Lstg Land'!C214&amp;" "&amp;'HB-D1 Besondere Lstg Land'!F214&amp;" "&amp;'HB-D1 Besondere Lstg Land'!F215,IF(AND(Projektgrundlagen!$I$23,'HB-D2 Besondere Lstg Bund'!M214=TRUE),'HB-D2 Besondere Lstg Bund'!C214&amp;" "&amp;'HB-D2 Besondere Lstg Bund'!F214&amp;" "&amp;'HB-D2 Besondere Lstg Bund'!F215,"")))</f>
        <v/>
      </c>
      <c r="C259" s="1192" t="str">
        <f>IF(AND(Projektgrundlagen!$I$21,'StB-D1 Besondere Lstg'!M214=TRUE),'StB-D1 Besondere Lstg'!H214,"")</f>
        <v/>
      </c>
      <c r="D259" s="1192" t="str">
        <f>IF(AND(Projektgrundlagen!$I$21,'StB-D1 Besondere Lstg'!M214=TRUE),'StB-D1 Besondere Lstg'!I214,IF(AND(Projektgrundlagen!$I$22,'HB-D1 Besondere Lstg Land'!M214=TRUE),(IF('HB-D1 Besondere Lstg Land'!H214&gt;0,"v.H.","pauschal")),IF(AND(Projektgrundlagen!$I$23,'HB-D2 Besondere Lstg Bund'!M214=TRUE),(IF('HB-D2 Besondere Lstg Bund'!H214&gt;0,"v.H.","pauschal")),"")))</f>
        <v/>
      </c>
      <c r="E259" s="1192" t="str">
        <f>IF(AND(Projektgrundlagen!$I$21,'StB-D1 Besondere Lstg'!M214=TRUE),'StB-D1 Besondere Lstg'!J214,IF(AND(Projektgrundlagen!$I$22,'HB-D1 Besondere Lstg Land'!M214=TRUE),'HB-D1 Besondere Lstg Land'!H214+'HB-D1 Besondere Lstg Land'!J214,IF(AND(Projektgrundlagen!$I$23,'HB-D2 Besondere Lstg Bund'!M214=TRUE),'HB-D2 Besondere Lstg Bund'!H214+'HB-D2 Besondere Lstg Bund'!J214,"")))</f>
        <v/>
      </c>
      <c r="F259" s="1192" t="str">
        <f>IF(AND(Projektgrundlagen!$I$21,'StB-D1 Besondere Lstg'!M214=TRUE),'StB-D1 Besondere Lstg'!K214,IF(AND(Projektgrundlagen!$I$22,'HB-D1 Besondere Lstg Land'!M214=TRUE),'HB-D1 Besondere Lstg Land'!K214,IF(AND(Projektgrundlagen!$I$23,'HB-D2 Besondere Lstg Bund'!M214=TRUE),'HB-D2 Besondere Lstg Bund'!K214,"")))</f>
        <v/>
      </c>
      <c r="G259" s="1200"/>
      <c r="H259" s="1201"/>
    </row>
    <row r="260" spans="2:8" ht="14.25">
      <c r="B260" t="str">
        <f>IF(AND(Projektgrundlagen!$I$21,'StB-D1 Besondere Lstg'!M215=TRUE),'StB-D1 Besondere Lstg'!C215&amp;" "&amp;'StB-D1 Besondere Lstg'!F215&amp;" "&amp;'StB-D1 Besondere Lstg'!F216,IF(AND(Projektgrundlagen!$I$22,'HB-D1 Besondere Lstg Land'!M215=TRUE),'HB-D1 Besondere Lstg Land'!C215&amp;" "&amp;'HB-D1 Besondere Lstg Land'!F215&amp;" "&amp;'HB-D1 Besondere Lstg Land'!F216,IF(AND(Projektgrundlagen!$I$23,'HB-D2 Besondere Lstg Bund'!M215=TRUE),'HB-D2 Besondere Lstg Bund'!C215&amp;" "&amp;'HB-D2 Besondere Lstg Bund'!F215&amp;" "&amp;'HB-D2 Besondere Lstg Bund'!F216,"")))</f>
        <v/>
      </c>
      <c r="C260" s="1192" t="str">
        <f>IF(AND(Projektgrundlagen!$I$21,'StB-D1 Besondere Lstg'!M215=TRUE),'StB-D1 Besondere Lstg'!H215,"")</f>
        <v/>
      </c>
      <c r="D260" s="1192" t="str">
        <f>IF(AND(Projektgrundlagen!$I$21,'StB-D1 Besondere Lstg'!M215=TRUE),'StB-D1 Besondere Lstg'!I215,IF(AND(Projektgrundlagen!$I$22,'HB-D1 Besondere Lstg Land'!M215=TRUE),(IF('HB-D1 Besondere Lstg Land'!H215&gt;0,"v.H.","pauschal")),IF(AND(Projektgrundlagen!$I$23,'HB-D2 Besondere Lstg Bund'!M215=TRUE),(IF('HB-D2 Besondere Lstg Bund'!H215&gt;0,"v.H.","pauschal")),"")))</f>
        <v/>
      </c>
      <c r="E260" s="1192" t="str">
        <f>IF(AND(Projektgrundlagen!$I$21,'StB-D1 Besondere Lstg'!M215=TRUE),'StB-D1 Besondere Lstg'!J215,IF(AND(Projektgrundlagen!$I$22,'HB-D1 Besondere Lstg Land'!M215=TRUE),'HB-D1 Besondere Lstg Land'!H215+'HB-D1 Besondere Lstg Land'!J215,IF(AND(Projektgrundlagen!$I$23,'HB-D2 Besondere Lstg Bund'!M215=TRUE),'HB-D2 Besondere Lstg Bund'!H215+'HB-D2 Besondere Lstg Bund'!J215,"")))</f>
        <v/>
      </c>
      <c r="F260" s="1192" t="str">
        <f>IF(AND(Projektgrundlagen!$I$21,'StB-D1 Besondere Lstg'!M215=TRUE),'StB-D1 Besondere Lstg'!K215,IF(AND(Projektgrundlagen!$I$22,'HB-D1 Besondere Lstg Land'!M215=TRUE),'HB-D1 Besondere Lstg Land'!K215,IF(AND(Projektgrundlagen!$I$23,'HB-D2 Besondere Lstg Bund'!M215=TRUE),'HB-D2 Besondere Lstg Bund'!K215,"")))</f>
        <v/>
      </c>
      <c r="G260" s="1200"/>
      <c r="H260" s="1201"/>
    </row>
    <row r="261" spans="2:8" ht="14.25">
      <c r="B261" t="str">
        <f>IF(AND(Projektgrundlagen!$I$21,'StB-D1 Besondere Lstg'!M216=TRUE),'StB-D1 Besondere Lstg'!C216&amp;" "&amp;'StB-D1 Besondere Lstg'!F216&amp;" "&amp;'StB-D1 Besondere Lstg'!F217,IF(AND(Projektgrundlagen!$I$22,'HB-D1 Besondere Lstg Land'!M216=TRUE),'HB-D1 Besondere Lstg Land'!C216&amp;" "&amp;'HB-D1 Besondere Lstg Land'!F216&amp;" "&amp;'HB-D1 Besondere Lstg Land'!F217,IF(AND(Projektgrundlagen!$I$23,'HB-D2 Besondere Lstg Bund'!M216=TRUE),'HB-D2 Besondere Lstg Bund'!C216&amp;" "&amp;'HB-D2 Besondere Lstg Bund'!F216&amp;" "&amp;'HB-D2 Besondere Lstg Bund'!F217,"")))</f>
        <v/>
      </c>
      <c r="C261" s="1192" t="str">
        <f>IF(AND(Projektgrundlagen!$I$21,'StB-D1 Besondere Lstg'!M216=TRUE),'StB-D1 Besondere Lstg'!H216,"")</f>
        <v/>
      </c>
      <c r="D261" s="1192" t="str">
        <f>IF(AND(Projektgrundlagen!$I$21,'StB-D1 Besondere Lstg'!M216=TRUE),'StB-D1 Besondere Lstg'!I216,IF(AND(Projektgrundlagen!$I$22,'HB-D1 Besondere Lstg Land'!M216=TRUE),(IF('HB-D1 Besondere Lstg Land'!H216&gt;0,"v.H.","pauschal")),IF(AND(Projektgrundlagen!$I$23,'HB-D2 Besondere Lstg Bund'!M216=TRUE),(IF('HB-D2 Besondere Lstg Bund'!H216&gt;0,"v.H.","pauschal")),"")))</f>
        <v/>
      </c>
      <c r="E261" s="1192" t="str">
        <f>IF(AND(Projektgrundlagen!$I$21,'StB-D1 Besondere Lstg'!M216=TRUE),'StB-D1 Besondere Lstg'!J216,IF(AND(Projektgrundlagen!$I$22,'HB-D1 Besondere Lstg Land'!M216=TRUE),'HB-D1 Besondere Lstg Land'!H216+'HB-D1 Besondere Lstg Land'!J216,IF(AND(Projektgrundlagen!$I$23,'HB-D2 Besondere Lstg Bund'!M216=TRUE),'HB-D2 Besondere Lstg Bund'!H216+'HB-D2 Besondere Lstg Bund'!J216,"")))</f>
        <v/>
      </c>
      <c r="F261" s="1192" t="str">
        <f>IF(AND(Projektgrundlagen!$I$21,'StB-D1 Besondere Lstg'!M216=TRUE),'StB-D1 Besondere Lstg'!K216,IF(AND(Projektgrundlagen!$I$22,'HB-D1 Besondere Lstg Land'!M216=TRUE),'HB-D1 Besondere Lstg Land'!K216,IF(AND(Projektgrundlagen!$I$23,'HB-D2 Besondere Lstg Bund'!M216=TRUE),'HB-D2 Besondere Lstg Bund'!K216,"")))</f>
        <v/>
      </c>
      <c r="G261" s="1200"/>
      <c r="H261" s="1201"/>
    </row>
    <row r="262" spans="2:8" ht="14.25">
      <c r="B262" t="str">
        <f>IF(AND(Projektgrundlagen!$I$21,'StB-D1 Besondere Lstg'!M217=TRUE),'StB-D1 Besondere Lstg'!C217&amp;" "&amp;'StB-D1 Besondere Lstg'!F217&amp;" "&amp;'StB-D1 Besondere Lstg'!F218,IF(AND(Projektgrundlagen!$I$22,'HB-D1 Besondere Lstg Land'!M217=TRUE),'HB-D1 Besondere Lstg Land'!C217&amp;" "&amp;'HB-D1 Besondere Lstg Land'!F217&amp;" "&amp;'HB-D1 Besondere Lstg Land'!F218,IF(AND(Projektgrundlagen!$I$23,'HB-D2 Besondere Lstg Bund'!M217=TRUE),'HB-D2 Besondere Lstg Bund'!C217&amp;" "&amp;'HB-D2 Besondere Lstg Bund'!F217&amp;" "&amp;'HB-D2 Besondere Lstg Bund'!F218,"")))</f>
        <v/>
      </c>
      <c r="C262" s="1192" t="str">
        <f>IF(AND(Projektgrundlagen!$I$21,'StB-D1 Besondere Lstg'!M217=TRUE),'StB-D1 Besondere Lstg'!H217,"")</f>
        <v/>
      </c>
      <c r="D262" s="1192" t="str">
        <f>IF(AND(Projektgrundlagen!$I$21,'StB-D1 Besondere Lstg'!M217=TRUE),'StB-D1 Besondere Lstg'!I217,IF(AND(Projektgrundlagen!$I$22,'HB-D1 Besondere Lstg Land'!M217=TRUE),(IF('HB-D1 Besondere Lstg Land'!H217&gt;0,"v.H.","pauschal")),IF(AND(Projektgrundlagen!$I$23,'HB-D2 Besondere Lstg Bund'!M217=TRUE),(IF('HB-D2 Besondere Lstg Bund'!H217&gt;0,"v.H.","pauschal")),"")))</f>
        <v/>
      </c>
      <c r="E262" s="1192" t="str">
        <f>IF(AND(Projektgrundlagen!$I$21,'StB-D1 Besondere Lstg'!M217=TRUE),'StB-D1 Besondere Lstg'!J217,IF(AND(Projektgrundlagen!$I$22,'HB-D1 Besondere Lstg Land'!M217=TRUE),'HB-D1 Besondere Lstg Land'!H217+'HB-D1 Besondere Lstg Land'!J217,IF(AND(Projektgrundlagen!$I$23,'HB-D2 Besondere Lstg Bund'!M217=TRUE),'HB-D2 Besondere Lstg Bund'!H217+'HB-D2 Besondere Lstg Bund'!J217,"")))</f>
        <v/>
      </c>
      <c r="F262" s="1192" t="str">
        <f>IF(AND(Projektgrundlagen!$I$21,'StB-D1 Besondere Lstg'!M217=TRUE),'StB-D1 Besondere Lstg'!K217,IF(AND(Projektgrundlagen!$I$22,'HB-D1 Besondere Lstg Land'!M217=TRUE),'HB-D1 Besondere Lstg Land'!K217,IF(AND(Projektgrundlagen!$I$23,'HB-D2 Besondere Lstg Bund'!M217=TRUE),'HB-D2 Besondere Lstg Bund'!K217,"")))</f>
        <v/>
      </c>
      <c r="G262" s="1200"/>
      <c r="H262" s="1201"/>
    </row>
    <row r="263" spans="2:8" ht="14.25">
      <c r="B263" t="str">
        <f>IF(AND(Projektgrundlagen!$I$21,'StB-D1 Besondere Lstg'!M218=TRUE),'StB-D1 Besondere Lstg'!C218&amp;" "&amp;'StB-D1 Besondere Lstg'!F218&amp;" "&amp;'StB-D1 Besondere Lstg'!F219,IF(AND(Projektgrundlagen!$I$22,'HB-D1 Besondere Lstg Land'!M218=TRUE),'HB-D1 Besondere Lstg Land'!C218&amp;" "&amp;'HB-D1 Besondere Lstg Land'!F218&amp;" "&amp;'HB-D1 Besondere Lstg Land'!F219,IF(AND(Projektgrundlagen!$I$23,'HB-D2 Besondere Lstg Bund'!M218=TRUE),'HB-D2 Besondere Lstg Bund'!C218&amp;" "&amp;'HB-D2 Besondere Lstg Bund'!F218&amp;" "&amp;'HB-D2 Besondere Lstg Bund'!F219,"")))</f>
        <v/>
      </c>
      <c r="C263" s="1192" t="str">
        <f>IF(AND(Projektgrundlagen!$I$21,'StB-D1 Besondere Lstg'!M218=TRUE),'StB-D1 Besondere Lstg'!H218,"")</f>
        <v/>
      </c>
      <c r="D263" s="1192" t="str">
        <f>IF(AND(Projektgrundlagen!$I$21,'StB-D1 Besondere Lstg'!M218=TRUE),'StB-D1 Besondere Lstg'!I218,IF(AND(Projektgrundlagen!$I$22,'HB-D1 Besondere Lstg Land'!M218=TRUE),(IF('HB-D1 Besondere Lstg Land'!H218&gt;0,"v.H.","pauschal")),IF(AND(Projektgrundlagen!$I$23,'HB-D2 Besondere Lstg Bund'!M218=TRUE),(IF('HB-D2 Besondere Lstg Bund'!H218&gt;0,"v.H.","pauschal")),"")))</f>
        <v/>
      </c>
      <c r="E263" s="1192" t="str">
        <f>IF(AND(Projektgrundlagen!$I$21,'StB-D1 Besondere Lstg'!M218=TRUE),'StB-D1 Besondere Lstg'!J218,IF(AND(Projektgrundlagen!$I$22,'HB-D1 Besondere Lstg Land'!M218=TRUE),'HB-D1 Besondere Lstg Land'!H218+'HB-D1 Besondere Lstg Land'!J218,IF(AND(Projektgrundlagen!$I$23,'HB-D2 Besondere Lstg Bund'!M218=TRUE),'HB-D2 Besondere Lstg Bund'!H218+'HB-D2 Besondere Lstg Bund'!J218,"")))</f>
        <v/>
      </c>
      <c r="F263" s="1192" t="str">
        <f>IF(AND(Projektgrundlagen!$I$21,'StB-D1 Besondere Lstg'!M218=TRUE),'StB-D1 Besondere Lstg'!K218,IF(AND(Projektgrundlagen!$I$22,'HB-D1 Besondere Lstg Land'!M218=TRUE),'HB-D1 Besondere Lstg Land'!K218,IF(AND(Projektgrundlagen!$I$23,'HB-D2 Besondere Lstg Bund'!M218=TRUE),'HB-D2 Besondere Lstg Bund'!K218,"")))</f>
        <v/>
      </c>
      <c r="G263" s="1200"/>
      <c r="H263" s="1201"/>
    </row>
    <row r="264" spans="2:8" ht="14.25">
      <c r="B264" t="str">
        <f>IF(AND(Projektgrundlagen!$I$21,'StB-D1 Besondere Lstg'!M219=TRUE),'StB-D1 Besondere Lstg'!C219&amp;" "&amp;'StB-D1 Besondere Lstg'!F219&amp;" "&amp;'StB-D1 Besondere Lstg'!F220,IF(AND(Projektgrundlagen!$I$22,'HB-D1 Besondere Lstg Land'!M219=TRUE),'HB-D1 Besondere Lstg Land'!C219&amp;" "&amp;'HB-D1 Besondere Lstg Land'!F219&amp;" "&amp;'HB-D1 Besondere Lstg Land'!F220,IF(AND(Projektgrundlagen!$I$23,'HB-D2 Besondere Lstg Bund'!M219=TRUE),'HB-D2 Besondere Lstg Bund'!C219&amp;" "&amp;'HB-D2 Besondere Lstg Bund'!F219&amp;" "&amp;'HB-D2 Besondere Lstg Bund'!F220,"")))</f>
        <v/>
      </c>
      <c r="C264" s="1192" t="str">
        <f>IF(AND(Projektgrundlagen!$I$21,'StB-D1 Besondere Lstg'!M219=TRUE),'StB-D1 Besondere Lstg'!H219,"")</f>
        <v/>
      </c>
      <c r="D264" s="1192" t="str">
        <f>IF(AND(Projektgrundlagen!$I$21,'StB-D1 Besondere Lstg'!M219=TRUE),'StB-D1 Besondere Lstg'!I219,IF(AND(Projektgrundlagen!$I$22,'HB-D1 Besondere Lstg Land'!M219=TRUE),(IF('HB-D1 Besondere Lstg Land'!H219&gt;0,"v.H.","pauschal")),IF(AND(Projektgrundlagen!$I$23,'HB-D2 Besondere Lstg Bund'!M219=TRUE),(IF('HB-D2 Besondere Lstg Bund'!H219&gt;0,"v.H.","pauschal")),"")))</f>
        <v/>
      </c>
      <c r="E264" s="1192" t="str">
        <f>IF(AND(Projektgrundlagen!$I$21,'StB-D1 Besondere Lstg'!M219=TRUE),'StB-D1 Besondere Lstg'!J219,IF(AND(Projektgrundlagen!$I$22,'HB-D1 Besondere Lstg Land'!M219=TRUE),'HB-D1 Besondere Lstg Land'!H219+'HB-D1 Besondere Lstg Land'!J219,IF(AND(Projektgrundlagen!$I$23,'HB-D2 Besondere Lstg Bund'!M219=TRUE),'HB-D2 Besondere Lstg Bund'!H219+'HB-D2 Besondere Lstg Bund'!J219,"")))</f>
        <v/>
      </c>
      <c r="F264" s="1192" t="str">
        <f>IF(AND(Projektgrundlagen!$I$21,'StB-D1 Besondere Lstg'!M219=TRUE),'StB-D1 Besondere Lstg'!K219,IF(AND(Projektgrundlagen!$I$22,'HB-D1 Besondere Lstg Land'!M219=TRUE),'HB-D1 Besondere Lstg Land'!K219,IF(AND(Projektgrundlagen!$I$23,'HB-D2 Besondere Lstg Bund'!M219=TRUE),'HB-D2 Besondere Lstg Bund'!K219,"")))</f>
        <v/>
      </c>
      <c r="G264" s="1200"/>
      <c r="H264" s="1201"/>
    </row>
    <row r="265" spans="2:8" ht="14.25">
      <c r="B265" t="str">
        <f>IF(AND(Projektgrundlagen!$I$21,'StB-D1 Besondere Lstg'!M220=TRUE),'StB-D1 Besondere Lstg'!C220&amp;" "&amp;'StB-D1 Besondere Lstg'!F220&amp;" "&amp;'StB-D1 Besondere Lstg'!F221,IF(AND(Projektgrundlagen!$I$22,'HB-D1 Besondere Lstg Land'!M220=TRUE),'HB-D1 Besondere Lstg Land'!C220&amp;" "&amp;'HB-D1 Besondere Lstg Land'!F220&amp;" "&amp;'HB-D1 Besondere Lstg Land'!F221,IF(AND(Projektgrundlagen!$I$23,'HB-D2 Besondere Lstg Bund'!M220=TRUE),'HB-D2 Besondere Lstg Bund'!C220&amp;" "&amp;'HB-D2 Besondere Lstg Bund'!F220&amp;" "&amp;'HB-D2 Besondere Lstg Bund'!F221,"")))</f>
        <v/>
      </c>
      <c r="C265" s="1192" t="str">
        <f>IF(AND(Projektgrundlagen!$I$21,'StB-D1 Besondere Lstg'!M220=TRUE),'StB-D1 Besondere Lstg'!H220,"")</f>
        <v/>
      </c>
      <c r="D265" s="1192" t="str">
        <f>IF(AND(Projektgrundlagen!$I$21,'StB-D1 Besondere Lstg'!M220=TRUE),'StB-D1 Besondere Lstg'!I220,IF(AND(Projektgrundlagen!$I$22,'HB-D1 Besondere Lstg Land'!M220=TRUE),(IF('HB-D1 Besondere Lstg Land'!H220&gt;0,"v.H.","pauschal")),IF(AND(Projektgrundlagen!$I$23,'HB-D2 Besondere Lstg Bund'!M220=TRUE),(IF('HB-D2 Besondere Lstg Bund'!H220&gt;0,"v.H.","pauschal")),"")))</f>
        <v/>
      </c>
      <c r="E265" s="1192" t="str">
        <f>IF(AND(Projektgrundlagen!$I$21,'StB-D1 Besondere Lstg'!M220=TRUE),'StB-D1 Besondere Lstg'!J220,IF(AND(Projektgrundlagen!$I$22,'HB-D1 Besondere Lstg Land'!M220=TRUE),'HB-D1 Besondere Lstg Land'!H220+'HB-D1 Besondere Lstg Land'!J220,IF(AND(Projektgrundlagen!$I$23,'HB-D2 Besondere Lstg Bund'!M220=TRUE),'HB-D2 Besondere Lstg Bund'!H220+'HB-D2 Besondere Lstg Bund'!J220,"")))</f>
        <v/>
      </c>
      <c r="F265" s="1192" t="str">
        <f>IF(AND(Projektgrundlagen!$I$21,'StB-D1 Besondere Lstg'!M220=TRUE),'StB-D1 Besondere Lstg'!K220,IF(AND(Projektgrundlagen!$I$22,'HB-D1 Besondere Lstg Land'!M220=TRUE),'HB-D1 Besondere Lstg Land'!K220,IF(AND(Projektgrundlagen!$I$23,'HB-D2 Besondere Lstg Bund'!M220=TRUE),'HB-D2 Besondere Lstg Bund'!K220,"")))</f>
        <v/>
      </c>
      <c r="G265" s="1200"/>
      <c r="H265" s="1201"/>
    </row>
    <row r="266" spans="2:8" ht="14.25">
      <c r="B266" t="str">
        <f>IF(AND(Projektgrundlagen!$I$21,'StB-D1 Besondere Lstg'!M221=TRUE),'StB-D1 Besondere Lstg'!C221&amp;" "&amp;'StB-D1 Besondere Lstg'!F221&amp;" "&amp;'StB-D1 Besondere Lstg'!F222,IF(AND(Projektgrundlagen!$I$22,'HB-D1 Besondere Lstg Land'!M221=TRUE),'HB-D1 Besondere Lstg Land'!C221&amp;" "&amp;'HB-D1 Besondere Lstg Land'!F221&amp;" "&amp;'HB-D1 Besondere Lstg Land'!F222,IF(AND(Projektgrundlagen!$I$23,'HB-D2 Besondere Lstg Bund'!M221=TRUE),'HB-D2 Besondere Lstg Bund'!C221&amp;" "&amp;'HB-D2 Besondere Lstg Bund'!F221&amp;" "&amp;'HB-D2 Besondere Lstg Bund'!F222,"")))</f>
        <v/>
      </c>
      <c r="C266" s="1192" t="str">
        <f>IF(AND(Projektgrundlagen!$I$21,'StB-D1 Besondere Lstg'!M221=TRUE),'StB-D1 Besondere Lstg'!H221,"")</f>
        <v/>
      </c>
      <c r="D266" s="1192" t="str">
        <f>IF(AND(Projektgrundlagen!$I$21,'StB-D1 Besondere Lstg'!M221=TRUE),'StB-D1 Besondere Lstg'!I221,IF(AND(Projektgrundlagen!$I$22,'HB-D1 Besondere Lstg Land'!M221=TRUE),(IF('HB-D1 Besondere Lstg Land'!H221&gt;0,"v.H.","pauschal")),IF(AND(Projektgrundlagen!$I$23,'HB-D2 Besondere Lstg Bund'!M221=TRUE),(IF('HB-D2 Besondere Lstg Bund'!H221&gt;0,"v.H.","pauschal")),"")))</f>
        <v/>
      </c>
      <c r="E266" s="1192" t="str">
        <f>IF(AND(Projektgrundlagen!$I$21,'StB-D1 Besondere Lstg'!M221=TRUE),'StB-D1 Besondere Lstg'!J221,IF(AND(Projektgrundlagen!$I$22,'HB-D1 Besondere Lstg Land'!M221=TRUE),'HB-D1 Besondere Lstg Land'!H221+'HB-D1 Besondere Lstg Land'!J221,IF(AND(Projektgrundlagen!$I$23,'HB-D2 Besondere Lstg Bund'!M221=TRUE),'HB-D2 Besondere Lstg Bund'!H221+'HB-D2 Besondere Lstg Bund'!J221,"")))</f>
        <v/>
      </c>
      <c r="F266" s="1192" t="str">
        <f>IF(AND(Projektgrundlagen!$I$21,'StB-D1 Besondere Lstg'!M221=TRUE),'StB-D1 Besondere Lstg'!K221,IF(AND(Projektgrundlagen!$I$22,'HB-D1 Besondere Lstg Land'!M221=TRUE),'HB-D1 Besondere Lstg Land'!K221,IF(AND(Projektgrundlagen!$I$23,'HB-D2 Besondere Lstg Bund'!M221=TRUE),'HB-D2 Besondere Lstg Bund'!K221,"")))</f>
        <v/>
      </c>
      <c r="G266" s="1200"/>
      <c r="H266" s="1201"/>
    </row>
    <row r="267" spans="2:8" ht="14.25">
      <c r="B267" t="str">
        <f>IF(AND(Projektgrundlagen!$I$21,'StB-D1 Besondere Lstg'!M222=TRUE),'StB-D1 Besondere Lstg'!C222&amp;" "&amp;'StB-D1 Besondere Lstg'!F222&amp;" "&amp;'StB-D1 Besondere Lstg'!F223,IF(AND(Projektgrundlagen!$I$22,'HB-D1 Besondere Lstg Land'!M222=TRUE),'HB-D1 Besondere Lstg Land'!C222&amp;" "&amp;'HB-D1 Besondere Lstg Land'!F222&amp;" "&amp;'HB-D1 Besondere Lstg Land'!F223,IF(AND(Projektgrundlagen!$I$23,'HB-D2 Besondere Lstg Bund'!M222=TRUE),'HB-D2 Besondere Lstg Bund'!C222&amp;" "&amp;'HB-D2 Besondere Lstg Bund'!F222&amp;" "&amp;'HB-D2 Besondere Lstg Bund'!F223,"")))</f>
        <v/>
      </c>
      <c r="C267" s="1192" t="str">
        <f>IF(AND(Projektgrundlagen!$I$21,'StB-D1 Besondere Lstg'!M222=TRUE),'StB-D1 Besondere Lstg'!H222,"")</f>
        <v/>
      </c>
      <c r="D267" s="1192" t="str">
        <f>IF(AND(Projektgrundlagen!$I$21,'StB-D1 Besondere Lstg'!M222=TRUE),'StB-D1 Besondere Lstg'!I222,IF(AND(Projektgrundlagen!$I$22,'HB-D1 Besondere Lstg Land'!M222=TRUE),(IF('HB-D1 Besondere Lstg Land'!H222&gt;0,"v.H.","pauschal")),IF(AND(Projektgrundlagen!$I$23,'HB-D2 Besondere Lstg Bund'!M222=TRUE),(IF('HB-D2 Besondere Lstg Bund'!H222&gt;0,"v.H.","pauschal")),"")))</f>
        <v/>
      </c>
      <c r="E267" s="1192" t="str">
        <f>IF(AND(Projektgrundlagen!$I$21,'StB-D1 Besondere Lstg'!M222=TRUE),'StB-D1 Besondere Lstg'!J222,IF(AND(Projektgrundlagen!$I$22,'HB-D1 Besondere Lstg Land'!M222=TRUE),'HB-D1 Besondere Lstg Land'!H222+'HB-D1 Besondere Lstg Land'!J222,IF(AND(Projektgrundlagen!$I$23,'HB-D2 Besondere Lstg Bund'!M222=TRUE),'HB-D2 Besondere Lstg Bund'!H222+'HB-D2 Besondere Lstg Bund'!J222,"")))</f>
        <v/>
      </c>
      <c r="F267" s="1192" t="str">
        <f>IF(AND(Projektgrundlagen!$I$21,'StB-D1 Besondere Lstg'!M222=TRUE),'StB-D1 Besondere Lstg'!K222,IF(AND(Projektgrundlagen!$I$22,'HB-D1 Besondere Lstg Land'!M222=TRUE),'HB-D1 Besondere Lstg Land'!K222,IF(AND(Projektgrundlagen!$I$23,'HB-D2 Besondere Lstg Bund'!M222=TRUE),'HB-D2 Besondere Lstg Bund'!K222,"")))</f>
        <v/>
      </c>
      <c r="G267" s="1200"/>
      <c r="H267" s="1201"/>
    </row>
    <row r="268" spans="2:8" ht="14.25">
      <c r="B268" t="str">
        <f>IF(AND(Projektgrundlagen!$I$21,'StB-D1 Besondere Lstg'!M223=TRUE),'StB-D1 Besondere Lstg'!C223&amp;" "&amp;'StB-D1 Besondere Lstg'!F223&amp;" "&amp;'StB-D1 Besondere Lstg'!F224,IF(AND(Projektgrundlagen!$I$22,'HB-D1 Besondere Lstg Land'!M223=TRUE),'HB-D1 Besondere Lstg Land'!C223&amp;" "&amp;'HB-D1 Besondere Lstg Land'!F223&amp;" "&amp;'HB-D1 Besondere Lstg Land'!F224,IF(AND(Projektgrundlagen!$I$23,'HB-D2 Besondere Lstg Bund'!M223=TRUE),'HB-D2 Besondere Lstg Bund'!C223&amp;" "&amp;'HB-D2 Besondere Lstg Bund'!F223&amp;" "&amp;'HB-D2 Besondere Lstg Bund'!F224,"")))</f>
        <v/>
      </c>
      <c r="C268" s="1192" t="str">
        <f>IF(AND(Projektgrundlagen!$I$21,'StB-D1 Besondere Lstg'!M223=TRUE),'StB-D1 Besondere Lstg'!H223,"")</f>
        <v/>
      </c>
      <c r="D268" s="1192" t="str">
        <f>IF(AND(Projektgrundlagen!$I$21,'StB-D1 Besondere Lstg'!M223=TRUE),'StB-D1 Besondere Lstg'!I223,IF(AND(Projektgrundlagen!$I$22,'HB-D1 Besondere Lstg Land'!M223=TRUE),(IF('HB-D1 Besondere Lstg Land'!H223&gt;0,"v.H.","pauschal")),IF(AND(Projektgrundlagen!$I$23,'HB-D2 Besondere Lstg Bund'!M223=TRUE),(IF('HB-D2 Besondere Lstg Bund'!H223&gt;0,"v.H.","pauschal")),"")))</f>
        <v/>
      </c>
      <c r="E268" s="1192" t="str">
        <f>IF(AND(Projektgrundlagen!$I$21,'StB-D1 Besondere Lstg'!M223=TRUE),'StB-D1 Besondere Lstg'!J223,IF(AND(Projektgrundlagen!$I$22,'HB-D1 Besondere Lstg Land'!M223=TRUE),'HB-D1 Besondere Lstg Land'!H223+'HB-D1 Besondere Lstg Land'!J223,IF(AND(Projektgrundlagen!$I$23,'HB-D2 Besondere Lstg Bund'!M223=TRUE),'HB-D2 Besondere Lstg Bund'!H223+'HB-D2 Besondere Lstg Bund'!J223,"")))</f>
        <v/>
      </c>
      <c r="F268" s="1192" t="str">
        <f>IF(AND(Projektgrundlagen!$I$21,'StB-D1 Besondere Lstg'!M223=TRUE),'StB-D1 Besondere Lstg'!K223,IF(AND(Projektgrundlagen!$I$22,'HB-D1 Besondere Lstg Land'!M223=TRUE),'HB-D1 Besondere Lstg Land'!K223,IF(AND(Projektgrundlagen!$I$23,'HB-D2 Besondere Lstg Bund'!M223=TRUE),'HB-D2 Besondere Lstg Bund'!K223,"")))</f>
        <v/>
      </c>
      <c r="G268" s="1200"/>
      <c r="H268" s="1201"/>
    </row>
    <row r="269" spans="2:8" ht="14.25">
      <c r="B269" t="str">
        <f>IF(AND(Projektgrundlagen!$I$21,'StB-D1 Besondere Lstg'!M224=TRUE),'StB-D1 Besondere Lstg'!C224&amp;" "&amp;'StB-D1 Besondere Lstg'!F224&amp;" "&amp;'StB-D1 Besondere Lstg'!F225,IF(AND(Projektgrundlagen!$I$22,'HB-D1 Besondere Lstg Land'!M224=TRUE),'HB-D1 Besondere Lstg Land'!C224&amp;" "&amp;'HB-D1 Besondere Lstg Land'!F224&amp;" "&amp;'HB-D1 Besondere Lstg Land'!F225,IF(AND(Projektgrundlagen!$I$23,'HB-D2 Besondere Lstg Bund'!M224=TRUE),'HB-D2 Besondere Lstg Bund'!C224&amp;" "&amp;'HB-D2 Besondere Lstg Bund'!F224&amp;" "&amp;'HB-D2 Besondere Lstg Bund'!F225,"")))</f>
        <v/>
      </c>
      <c r="C269" s="1192" t="str">
        <f>IF(AND(Projektgrundlagen!$I$21,'StB-D1 Besondere Lstg'!M224=TRUE),'StB-D1 Besondere Lstg'!H224,"")</f>
        <v/>
      </c>
      <c r="D269" s="1192" t="str">
        <f>IF(AND(Projektgrundlagen!$I$21,'StB-D1 Besondere Lstg'!M224=TRUE),'StB-D1 Besondere Lstg'!I224,IF(AND(Projektgrundlagen!$I$22,'HB-D1 Besondere Lstg Land'!M224=TRUE),(IF('HB-D1 Besondere Lstg Land'!H224&gt;0,"v.H.","pauschal")),IF(AND(Projektgrundlagen!$I$23,'HB-D2 Besondere Lstg Bund'!M224=TRUE),(IF('HB-D2 Besondere Lstg Bund'!H224&gt;0,"v.H.","pauschal")),"")))</f>
        <v/>
      </c>
      <c r="E269" s="1192" t="str">
        <f>IF(AND(Projektgrundlagen!$I$21,'StB-D1 Besondere Lstg'!M224=TRUE),'StB-D1 Besondere Lstg'!J224,IF(AND(Projektgrundlagen!$I$22,'HB-D1 Besondere Lstg Land'!M224=TRUE),'HB-D1 Besondere Lstg Land'!H224+'HB-D1 Besondere Lstg Land'!J224,IF(AND(Projektgrundlagen!$I$23,'HB-D2 Besondere Lstg Bund'!M224=TRUE),'HB-D2 Besondere Lstg Bund'!H224+'HB-D2 Besondere Lstg Bund'!J224,"")))</f>
        <v/>
      </c>
      <c r="F269" s="1192" t="str">
        <f>IF(AND(Projektgrundlagen!$I$21,'StB-D1 Besondere Lstg'!M224=TRUE),'StB-D1 Besondere Lstg'!K224,IF(AND(Projektgrundlagen!$I$22,'HB-D1 Besondere Lstg Land'!M224=TRUE),'HB-D1 Besondere Lstg Land'!K224,IF(AND(Projektgrundlagen!$I$23,'HB-D2 Besondere Lstg Bund'!M224=TRUE),'HB-D2 Besondere Lstg Bund'!K224,"")))</f>
        <v/>
      </c>
      <c r="G269" s="1200"/>
      <c r="H269" s="1201"/>
    </row>
    <row r="270" spans="2:8" ht="14.25">
      <c r="C270" s="1192"/>
      <c r="D270" s="1200"/>
      <c r="E270" s="1201"/>
    </row>
    <row r="271" spans="2:8" ht="14.25">
      <c r="C271" s="1192"/>
      <c r="D271" s="1200"/>
      <c r="E271" s="1201"/>
    </row>
    <row r="272" spans="2:8" ht="14.25">
      <c r="C272" s="1192"/>
      <c r="D272" s="1200"/>
      <c r="E272" s="1201"/>
    </row>
    <row r="273" spans="2:5" ht="14.25">
      <c r="C273" s="1192"/>
      <c r="D273" s="1200"/>
      <c r="E273" s="1201"/>
    </row>
    <row r="274" spans="2:5" ht="14.25">
      <c r="C274" s="1192"/>
      <c r="D274" s="1200"/>
      <c r="E274" s="1201"/>
    </row>
    <row r="275" spans="2:5" ht="14.25">
      <c r="C275" s="1192"/>
      <c r="D275" s="1200"/>
      <c r="E275" s="1201"/>
    </row>
    <row r="276" spans="2:5" ht="14.25">
      <c r="C276" s="1192"/>
      <c r="D276" s="1200"/>
    </row>
    <row r="277" spans="2:5" ht="14.25">
      <c r="C277" s="1192"/>
      <c r="D277" s="1200"/>
    </row>
    <row r="278" spans="2:5">
      <c r="C278" s="1192"/>
    </row>
    <row r="279" spans="2:5">
      <c r="C279" s="1192"/>
    </row>
    <row r="280" spans="2:5">
      <c r="C280" s="1192"/>
    </row>
    <row r="281" spans="2:5">
      <c r="C281" s="1192"/>
    </row>
    <row r="282" spans="2:5">
      <c r="B282" s="1196"/>
      <c r="C282" s="1192"/>
    </row>
    <row r="283" spans="2:5">
      <c r="B283" s="1196"/>
      <c r="C283" s="1192"/>
    </row>
    <row r="284" spans="2:5">
      <c r="B284" s="1196"/>
      <c r="C284" s="1192"/>
    </row>
    <row r="285" spans="2:5">
      <c r="B285" s="1196"/>
      <c r="C285" s="1192"/>
    </row>
    <row r="286" spans="2:5">
      <c r="B286" s="1196"/>
      <c r="C286" s="1192"/>
    </row>
    <row r="287" spans="2:5">
      <c r="B287" s="1196"/>
      <c r="C287" s="1192"/>
    </row>
    <row r="288" spans="2:5">
      <c r="C288" s="1192"/>
    </row>
    <row r="289" spans="3:3">
      <c r="C289" s="1192"/>
    </row>
    <row r="290" spans="3:3">
      <c r="C290" s="1192"/>
    </row>
    <row r="291" spans="3:3">
      <c r="C291" s="1192"/>
    </row>
  </sheetData>
  <sheetProtection sheet="1" objects="1" scenarios="1"/>
  <pageMargins left="0.7" right="0.7" top="0.78740157499999996" bottom="0.78740157499999996"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0" tint="-0.14999847407452621"/>
    <pageSetUpPr fitToPage="1"/>
  </sheetPr>
  <dimension ref="A1:L57"/>
  <sheetViews>
    <sheetView showGridLines="0" showRuler="0" zoomScaleNormal="100" zoomScaleSheetLayoutView="110" workbookViewId="0">
      <selection activeCell="G27" sqref="G27"/>
    </sheetView>
  </sheetViews>
  <sheetFormatPr baseColWidth="10" defaultColWidth="0" defaultRowHeight="16.5" zeroHeight="1"/>
  <cols>
    <col min="1" max="1" width="5.7109375" style="457" customWidth="1"/>
    <col min="2" max="2" width="5.7109375" style="1" customWidth="1"/>
    <col min="3" max="3" width="3.28515625" style="1" customWidth="1"/>
    <col min="4" max="4" width="5.7109375" style="1" customWidth="1"/>
    <col min="5" max="5" width="47.85546875" style="1" customWidth="1"/>
    <col min="6" max="6" width="19.140625" style="1" customWidth="1"/>
    <col min="7" max="7" width="22.28515625" style="1" customWidth="1"/>
    <col min="8" max="8" width="2.7109375" style="1" customWidth="1"/>
    <col min="9" max="9" width="16" style="10" hidden="1" customWidth="1"/>
    <col min="10" max="16384" width="11.28515625" style="1" hidden="1"/>
  </cols>
  <sheetData>
    <row r="1" spans="1:12"/>
    <row r="2" spans="1:12" ht="16.5" customHeight="1">
      <c r="B2" s="1327" t="str">
        <f>IF(Projektgrundlagen!B2="","",Projektgrundlagen!B2)</f>
        <v>Fachplanung Tragwerksplanung</v>
      </c>
      <c r="C2" s="1327"/>
      <c r="D2" s="1327"/>
      <c r="E2" s="1328"/>
      <c r="F2" s="371" t="str">
        <f>IF(Projektgrundlagen!F2="","",Projektgrundlagen!F2)</f>
        <v>VII.12.4</v>
      </c>
      <c r="G2" s="391" t="s">
        <v>164</v>
      </c>
      <c r="H2" s="1234" t="s">
        <v>313</v>
      </c>
      <c r="I2" s="27" t="s">
        <v>54</v>
      </c>
      <c r="J2" s="152"/>
      <c r="L2" s="195" t="s">
        <v>153</v>
      </c>
    </row>
    <row r="3" spans="1:12" ht="16.5" customHeight="1">
      <c r="B3" s="1257" t="s">
        <v>83</v>
      </c>
      <c r="C3" s="1257"/>
      <c r="D3" s="1257"/>
      <c r="E3" s="1258"/>
      <c r="F3" s="379" t="str">
        <f>IF(Projektgrundlagen!F3="","",Projektgrundlagen!F3)</f>
        <v>Vertragsnr.:</v>
      </c>
      <c r="G3" s="372" t="str">
        <f>IF(Projektgrundlagen!G3="","",Projektgrundlagen!G3)</f>
        <v>000.411.425</v>
      </c>
      <c r="H3" s="1234"/>
      <c r="I3" s="9"/>
      <c r="L3" s="1" t="str">
        <f ca="1">MID(CELL("dateiname",A2),FIND("]",CELL("dateiname",A2))+1,255)</f>
        <v>A anrechb Kosten</v>
      </c>
    </row>
    <row r="4" spans="1:12" ht="7.5" customHeight="1">
      <c r="B4" s="373"/>
      <c r="C4" s="373"/>
      <c r="D4" s="373"/>
      <c r="E4" s="367"/>
      <c r="F4" s="138"/>
      <c r="G4" s="138"/>
      <c r="H4" s="1234"/>
    </row>
    <row r="5" spans="1:12">
      <c r="B5" s="1311" t="str">
        <f>IF(Projektgrundlagen!B5="","",Projektgrundlagen!B5)</f>
        <v>Maßnahmennr:</v>
      </c>
      <c r="C5" s="1312" t="str">
        <f>IF(Projektgrundlagen!C5="","",Projektgrundlagen!C5)</f>
        <v/>
      </c>
      <c r="D5" s="1312" t="str">
        <f>IF(Projektgrundlagen!D5="","",Projektgrundlagen!D5)</f>
        <v/>
      </c>
      <c r="E5" s="361" t="str">
        <f>IF(Projektgrundlagen!E5="","",Projektgrundlagen!E5)</f>
        <v>B63SABBD000300</v>
      </c>
      <c r="F5" s="374" t="str">
        <f>IF(Projektgrundlagen!F5="","",Projektgrundlagen!F5)</f>
        <v>Vergabenr.:</v>
      </c>
      <c r="G5" s="375" t="str">
        <f>IF(Projektgrundlagen!G5="","",Projektgrundlagen!G5)</f>
        <v>24-080603 D</v>
      </c>
      <c r="H5" s="1234"/>
      <c r="I5" s="9"/>
    </row>
    <row r="6" spans="1:12">
      <c r="B6" s="1323" t="str">
        <f>IF(Projektgrundlagen!B6="","",Projektgrundlagen!B6)</f>
        <v>Maßnahme:</v>
      </c>
      <c r="C6" s="1324" t="str">
        <f>IF(Projektgrundlagen!C6="","",Projektgrundlagen!C6)</f>
        <v/>
      </c>
      <c r="D6" s="1324" t="str">
        <f>IF(Projektgrundlagen!D6="","",Projektgrundlagen!D6)</f>
        <v/>
      </c>
      <c r="E6" s="1315" t="str">
        <f>IF(Projektgrundlagen!E6="","",Projektgrundlagen!E6)</f>
        <v>B 26, Erneuerung der Brücke über die Bahn bei Wernfeld</v>
      </c>
      <c r="F6" s="1315"/>
      <c r="G6" s="1316"/>
      <c r="H6" s="1234"/>
    </row>
    <row r="7" spans="1:12">
      <c r="B7" s="1325"/>
      <c r="C7" s="1326"/>
      <c r="D7" s="1326"/>
      <c r="E7" s="1317" t="str">
        <f>IF(Projektgrundlagen!E7="","",Projektgrundlagen!E7)</f>
        <v>Behelfsbrücke über die Bahn</v>
      </c>
      <c r="F7" s="1317"/>
      <c r="G7" s="1318"/>
      <c r="H7" s="1234"/>
    </row>
    <row r="8" spans="1:12">
      <c r="B8" s="1254" t="s">
        <v>109</v>
      </c>
      <c r="C8" s="1255"/>
      <c r="D8" s="1255"/>
      <c r="E8" s="1313" t="str">
        <f>IF(Projektgrundlagen!E8="","",Projektgrundlagen!E8)</f>
        <v/>
      </c>
      <c r="F8" s="1313"/>
      <c r="G8" s="1314"/>
      <c r="H8" s="1234"/>
    </row>
    <row r="9" spans="1:12">
      <c r="B9" s="346"/>
      <c r="C9" s="346"/>
      <c r="D9" s="346"/>
      <c r="E9" s="369"/>
      <c r="F9" s="369"/>
      <c r="G9" s="369"/>
    </row>
    <row r="10" spans="1:12" s="18" customFormat="1" ht="26.25" customHeight="1">
      <c r="A10" s="459"/>
      <c r="B10" s="470"/>
      <c r="C10" s="1319" t="s">
        <v>582</v>
      </c>
      <c r="D10" s="1319"/>
      <c r="E10" s="1319"/>
      <c r="F10" s="1319"/>
      <c r="G10" s="471"/>
      <c r="I10" s="28"/>
    </row>
    <row r="11" spans="1:12">
      <c r="A11" s="1041" t="str">
        <f>IF(AND(Projektgrundlagen!I14=FALSE,Projektgrundlagen!I13,COUNTIF($I$11:$I$13,TRUE)&lt;&gt;1),"è","")</f>
        <v/>
      </c>
      <c r="B11" s="1320" t="s">
        <v>1</v>
      </c>
      <c r="C11" s="472"/>
      <c r="D11" s="1242" t="s">
        <v>152</v>
      </c>
      <c r="E11" s="1243"/>
      <c r="F11" s="475"/>
      <c r="G11" s="475"/>
      <c r="I11" s="73" t="b">
        <v>0</v>
      </c>
    </row>
    <row r="12" spans="1:12">
      <c r="A12" s="1041" t="str">
        <f>IF(COUNTIF($I$11:$I$13,TRUE)&lt;&gt;1,"è","")</f>
        <v/>
      </c>
      <c r="B12" s="1321"/>
      <c r="C12" s="256"/>
      <c r="D12" s="1307" t="s">
        <v>11</v>
      </c>
      <c r="E12" s="1308"/>
      <c r="F12" s="477"/>
      <c r="G12" s="923" t="s">
        <v>84</v>
      </c>
      <c r="I12" s="73" t="b">
        <v>1</v>
      </c>
    </row>
    <row r="13" spans="1:12">
      <c r="A13" s="1041" t="str">
        <f>IF(COUNTIF($I$11:$I$13,TRUE)&lt;&gt;1,"è","")</f>
        <v/>
      </c>
      <c r="B13" s="1322"/>
      <c r="C13" s="256"/>
      <c r="D13" s="1309" t="s">
        <v>0</v>
      </c>
      <c r="E13" s="1310"/>
      <c r="F13" s="478"/>
      <c r="G13" s="476" t="s">
        <v>391</v>
      </c>
      <c r="I13" s="73" t="b">
        <v>0</v>
      </c>
    </row>
    <row r="14" spans="1:12" ht="7.5" customHeight="1">
      <c r="A14" s="1042"/>
      <c r="B14" s="384"/>
      <c r="C14" s="380"/>
      <c r="D14" s="380"/>
      <c r="E14" s="380"/>
      <c r="F14" s="381"/>
      <c r="G14" s="383"/>
      <c r="H14" s="12"/>
    </row>
    <row r="15" spans="1:12" ht="16.5" customHeight="1">
      <c r="B15" s="41">
        <v>1</v>
      </c>
      <c r="C15" s="1267" t="s">
        <v>578</v>
      </c>
      <c r="D15" s="1268"/>
      <c r="E15" s="1268"/>
      <c r="F15" s="1268"/>
      <c r="G15" s="1269"/>
      <c r="I15" s="73"/>
      <c r="J15" s="1076" t="s">
        <v>786</v>
      </c>
      <c r="K15" s="1076" t="s">
        <v>795</v>
      </c>
    </row>
    <row r="16" spans="1:12" ht="16.5" customHeight="1">
      <c r="A16" s="1088" t="str">
        <f t="shared" ref="A16:A18" si="0">IF(OR(COUNTIF($I$16:$I$21,TRUE)&lt;1,COUNTIF($I$16:$I$19,TRUE)&gt;1,AND(COUNTIF($I$20:$I$21,TRUE)&lt;1,COUNTIF($J$16:$K$16,TRUE)&lt;1)),"è","")</f>
        <v/>
      </c>
      <c r="B16" s="292" t="s">
        <v>148</v>
      </c>
      <c r="C16" s="256"/>
      <c r="D16" s="1273" t="s">
        <v>579</v>
      </c>
      <c r="E16" s="1274"/>
      <c r="F16" s="1274"/>
      <c r="G16" s="1275"/>
      <c r="I16" s="73" t="b">
        <v>0</v>
      </c>
      <c r="J16" s="1" t="b">
        <f>AND(Projektgrundlagen!$I$21,NOT($I$16),NOT($I$17),OR($I$18,$I$19))</f>
        <v>1</v>
      </c>
      <c r="K16" s="1" t="b">
        <f>AND(OR(Projektgrundlagen!$I$22,Projektgrundlagen!$I$23),COUNTIF($I$16:$I$19,TRUE)=1,OR($I$16,$I$17,$I$18,$I$19))</f>
        <v>0</v>
      </c>
    </row>
    <row r="17" spans="1:11" ht="16.5" customHeight="1">
      <c r="A17" s="1088" t="str">
        <f t="shared" si="0"/>
        <v/>
      </c>
      <c r="B17" s="292" t="s">
        <v>149</v>
      </c>
      <c r="C17" s="256"/>
      <c r="D17" s="1246" t="s">
        <v>580</v>
      </c>
      <c r="E17" s="1247"/>
      <c r="F17" s="1247"/>
      <c r="G17" s="1276"/>
      <c r="I17" s="73" t="b">
        <v>0</v>
      </c>
    </row>
    <row r="18" spans="1:11" ht="16.5" customHeight="1">
      <c r="A18" s="1088" t="str">
        <f t="shared" si="0"/>
        <v/>
      </c>
      <c r="B18" s="441" t="s">
        <v>705</v>
      </c>
      <c r="C18" s="256"/>
      <c r="D18" s="1246" t="s">
        <v>583</v>
      </c>
      <c r="E18" s="1247"/>
      <c r="F18" s="1247"/>
      <c r="G18" s="1276"/>
      <c r="I18" s="73" t="b">
        <v>0</v>
      </c>
      <c r="J18" s="10"/>
    </row>
    <row r="19" spans="1:11" ht="16.5" customHeight="1">
      <c r="A19" s="1088" t="str">
        <f>IF(OR(COUNTIF($I$16:$I$21,TRUE)&lt;1,COUNTIF($I$16:$I$19,TRUE)&gt;1,AND(COUNTIF($I$20:$I$21,TRUE)&lt;1,COUNTIF($J$16:$K$16,TRUE)&lt;1)),"è","")</f>
        <v/>
      </c>
      <c r="B19" s="292" t="s">
        <v>706</v>
      </c>
      <c r="C19" s="256"/>
      <c r="D19" s="1246" t="s">
        <v>589</v>
      </c>
      <c r="E19" s="1247"/>
      <c r="F19" s="1247"/>
      <c r="G19" s="1276"/>
      <c r="I19" s="73" t="b">
        <v>1</v>
      </c>
      <c r="J19" s="1072"/>
      <c r="K19" s="1073"/>
    </row>
    <row r="20" spans="1:11" ht="16.5" customHeight="1">
      <c r="A20" s="1041" t="str">
        <f>IF(OR(AND(I20,NOT(I41)),COUNTIF($I$16:$I$21,TRUE)&lt;1),"è","")</f>
        <v/>
      </c>
      <c r="B20" s="292" t="s">
        <v>707</v>
      </c>
      <c r="C20" s="256"/>
      <c r="D20" s="1246" t="s">
        <v>581</v>
      </c>
      <c r="E20" s="1247"/>
      <c r="F20" s="1247"/>
      <c r="G20" s="1276"/>
      <c r="I20" s="73" t="b">
        <v>0</v>
      </c>
    </row>
    <row r="21" spans="1:11" ht="16.5" customHeight="1">
      <c r="A21" s="1041" t="str">
        <f>IF(COUNTIF($I$16:$I$21,TRUE)&lt;1,"è","")</f>
        <v/>
      </c>
      <c r="B21" s="292" t="s">
        <v>708</v>
      </c>
      <c r="C21" s="256"/>
      <c r="D21" s="1246" t="s">
        <v>584</v>
      </c>
      <c r="E21" s="1247"/>
      <c r="F21" s="1247"/>
      <c r="G21" s="1276"/>
      <c r="I21" s="73" t="b">
        <v>0</v>
      </c>
      <c r="J21" s="185"/>
    </row>
    <row r="22" spans="1:11" ht="16.5" customHeight="1">
      <c r="B22" s="441"/>
      <c r="C22" s="1058"/>
      <c r="D22" s="1280"/>
      <c r="E22" s="1280"/>
      <c r="F22" s="1280"/>
      <c r="G22" s="294"/>
      <c r="I22" s="73"/>
    </row>
    <row r="23" spans="1:11" ht="16.5" customHeight="1">
      <c r="B23" s="1060"/>
      <c r="C23" s="1061"/>
      <c r="D23" s="1062"/>
      <c r="E23" s="1062"/>
      <c r="F23" s="1062"/>
      <c r="G23" s="294"/>
      <c r="I23" s="73"/>
    </row>
    <row r="24" spans="1:11" ht="16.5" customHeight="1">
      <c r="B24" s="442"/>
      <c r="C24" s="1059"/>
      <c r="D24" s="1281"/>
      <c r="E24" s="1281"/>
      <c r="F24" s="1281"/>
      <c r="G24" s="294"/>
      <c r="I24" s="73"/>
    </row>
    <row r="25" spans="1:11">
      <c r="B25" s="159"/>
      <c r="C25" s="178"/>
      <c r="D25" s="178"/>
      <c r="E25" s="178"/>
      <c r="F25" s="178"/>
      <c r="G25" s="160"/>
      <c r="I25" s="73"/>
    </row>
    <row r="26" spans="1:11" ht="16.5" customHeight="1">
      <c r="B26" s="464">
        <v>2</v>
      </c>
      <c r="C26" s="1277" t="s">
        <v>588</v>
      </c>
      <c r="D26" s="1278"/>
      <c r="E26" s="1278"/>
      <c r="F26" s="1279"/>
      <c r="G26" s="49">
        <v>2500000</v>
      </c>
      <c r="I26" s="73"/>
    </row>
    <row r="27" spans="1:11">
      <c r="B27" s="36"/>
      <c r="C27" s="1292" t="s">
        <v>577</v>
      </c>
      <c r="D27" s="1293"/>
      <c r="E27" s="1293"/>
      <c r="F27" s="1293"/>
      <c r="G27" s="382"/>
      <c r="I27" s="73"/>
    </row>
    <row r="28" spans="1:11" ht="16.5" customHeight="1">
      <c r="B28" s="36"/>
      <c r="C28" s="257"/>
      <c r="D28" s="379" t="s">
        <v>827</v>
      </c>
      <c r="E28" s="469"/>
      <c r="F28" s="626"/>
      <c r="G28" s="660"/>
      <c r="I28" s="73" t="b">
        <v>0</v>
      </c>
    </row>
    <row r="29" spans="1:11" ht="16.5" customHeight="1">
      <c r="B29" s="292" t="s">
        <v>150</v>
      </c>
      <c r="C29" s="1270" t="s">
        <v>710</v>
      </c>
      <c r="D29" s="1271"/>
      <c r="E29" s="1271"/>
      <c r="F29" s="1272"/>
      <c r="G29" s="113">
        <f>IF(AND(AND(Projektgrundlagen!I14,NOT(Projektgrundlagen!I13)),COUNTIF($I$16:$I$19,TRUE)=1,I16),G26*0.55,0)</f>
        <v>0</v>
      </c>
      <c r="I29" s="73"/>
      <c r="J29" s="152"/>
    </row>
    <row r="30" spans="1:11" ht="16.5" customHeight="1">
      <c r="B30" s="441" t="s">
        <v>151</v>
      </c>
      <c r="C30" s="1270" t="s">
        <v>711</v>
      </c>
      <c r="D30" s="1271"/>
      <c r="E30" s="1271"/>
      <c r="F30" s="1272"/>
      <c r="G30" s="113">
        <f>IF(AND(COUNTIF($I$16:$I$19,TRUE)=1,OR(I17,I18,I19),OR($J$16,$K$16)),G26*0.9,0)</f>
        <v>2250000</v>
      </c>
      <c r="I30" s="73"/>
      <c r="J30" s="152"/>
    </row>
    <row r="31" spans="1:11">
      <c r="B31" s="159"/>
      <c r="C31" s="178"/>
      <c r="D31" s="178"/>
      <c r="E31" s="178"/>
      <c r="F31" s="178"/>
      <c r="G31" s="160"/>
      <c r="I31" s="73"/>
    </row>
    <row r="32" spans="1:11" ht="16.5" customHeight="1">
      <c r="B32" s="465" t="s">
        <v>590</v>
      </c>
      <c r="C32" s="1289" t="s">
        <v>796</v>
      </c>
      <c r="D32" s="1290"/>
      <c r="E32" s="1290"/>
      <c r="F32" s="1291"/>
      <c r="G32" s="49"/>
    </row>
    <row r="33" spans="2:10" ht="16.5" customHeight="1">
      <c r="B33" s="292" t="s">
        <v>57</v>
      </c>
      <c r="C33" s="1286" t="s">
        <v>712</v>
      </c>
      <c r="D33" s="1287"/>
      <c r="E33" s="1287"/>
      <c r="F33" s="1288"/>
      <c r="G33" s="55">
        <f>IF(AND(AND(Projektgrundlagen!I14,NOT(Projektgrundlagen!I13)),COUNTIF($I$16:$I$19,TRUE)=1,I16),G32*0.1,0)</f>
        <v>0</v>
      </c>
    </row>
    <row r="34" spans="2:10" ht="16.5" customHeight="1">
      <c r="B34" s="292" t="s">
        <v>317</v>
      </c>
      <c r="C34" s="1286" t="s">
        <v>713</v>
      </c>
      <c r="D34" s="1287"/>
      <c r="E34" s="1287"/>
      <c r="F34" s="1288"/>
      <c r="G34" s="56">
        <f>IF(AND(COUNTIF($I$16:$I$19,TRUE)=1,OR(I17,I18,I19),OR($J$16,$K$16)),G32*0.15,0)</f>
        <v>0</v>
      </c>
    </row>
    <row r="35" spans="2:10">
      <c r="B35" s="159"/>
      <c r="C35" s="178"/>
      <c r="D35" s="178"/>
      <c r="E35" s="178"/>
      <c r="F35" s="178"/>
      <c r="G35" s="160"/>
    </row>
    <row r="36" spans="2:10" ht="16.5" customHeight="1">
      <c r="B36" s="41">
        <v>4</v>
      </c>
      <c r="C36" s="1299" t="s">
        <v>311</v>
      </c>
      <c r="D36" s="1268"/>
      <c r="E36" s="1268"/>
      <c r="F36" s="1269"/>
      <c r="G36" s="618"/>
    </row>
    <row r="37" spans="2:10">
      <c r="B37" s="292" t="s">
        <v>2</v>
      </c>
      <c r="C37" s="1286" t="s">
        <v>797</v>
      </c>
      <c r="D37" s="1287"/>
      <c r="E37" s="1287"/>
      <c r="F37" s="1288"/>
      <c r="G37" s="76"/>
    </row>
    <row r="38" spans="2:10">
      <c r="B38" s="292" t="s">
        <v>3</v>
      </c>
      <c r="C38" s="1304" t="s">
        <v>798</v>
      </c>
      <c r="D38" s="1305"/>
      <c r="E38" s="1305"/>
      <c r="F38" s="1306"/>
      <c r="G38" s="76"/>
    </row>
    <row r="39" spans="2:10" ht="16.5" customHeight="1">
      <c r="B39" s="385" t="s">
        <v>4</v>
      </c>
      <c r="C39" s="1282" t="s">
        <v>715</v>
      </c>
      <c r="D39" s="1283"/>
      <c r="E39" s="1283"/>
      <c r="F39" s="1284"/>
      <c r="G39" s="479">
        <f>SUM(G37,G38)</f>
        <v>0</v>
      </c>
    </row>
    <row r="40" spans="2:10">
      <c r="B40" s="159"/>
      <c r="C40" s="178"/>
      <c r="D40" s="178"/>
      <c r="E40" s="178"/>
      <c r="F40" s="178"/>
      <c r="G40" s="160"/>
      <c r="J40" s="152"/>
    </row>
    <row r="41" spans="2:10" ht="16.5" customHeight="1">
      <c r="B41" s="41">
        <v>5</v>
      </c>
      <c r="C41" s="1267" t="s">
        <v>587</v>
      </c>
      <c r="D41" s="1300"/>
      <c r="E41" s="1300"/>
      <c r="F41" s="1300"/>
      <c r="G41" s="618"/>
      <c r="I41" s="73" t="b">
        <f>AND(I20,COUNTIF($I$18:$I$19,TRUE)&lt;2,NOT(I16),NOT(I17))</f>
        <v>0</v>
      </c>
    </row>
    <row r="42" spans="2:10" ht="16.5" customHeight="1">
      <c r="B42" s="441" t="s">
        <v>9</v>
      </c>
      <c r="C42" s="1301" t="s">
        <v>585</v>
      </c>
      <c r="D42" s="1302"/>
      <c r="E42" s="1302"/>
      <c r="F42" s="1303"/>
      <c r="G42" s="76"/>
      <c r="J42" s="152"/>
    </row>
    <row r="43" spans="2:10" ht="16.5" customHeight="1">
      <c r="B43" s="441" t="s">
        <v>49</v>
      </c>
      <c r="C43" s="1270" t="s">
        <v>586</v>
      </c>
      <c r="D43" s="1294"/>
      <c r="E43" s="1294"/>
      <c r="F43" s="1295"/>
      <c r="G43" s="76"/>
      <c r="J43" s="152"/>
    </row>
    <row r="44" spans="2:10" ht="16.5" customHeight="1">
      <c r="B44" s="385" t="s">
        <v>81</v>
      </c>
      <c r="C44" s="1282" t="s">
        <v>709</v>
      </c>
      <c r="D44" s="1283"/>
      <c r="E44" s="1283"/>
      <c r="F44" s="1284"/>
      <c r="G44" s="479">
        <f>IF(I20,SUM(G42,G43),0)</f>
        <v>0</v>
      </c>
    </row>
    <row r="45" spans="2:10">
      <c r="B45" s="159"/>
      <c r="C45" s="178"/>
      <c r="D45" s="178"/>
      <c r="E45" s="178"/>
      <c r="F45" s="178"/>
      <c r="G45" s="160"/>
      <c r="J45" s="152"/>
    </row>
    <row r="46" spans="2:10" ht="16.5" customHeight="1">
      <c r="B46" s="41">
        <v>6</v>
      </c>
      <c r="C46" s="1267" t="s">
        <v>704</v>
      </c>
      <c r="D46" s="1300"/>
      <c r="E46" s="1300"/>
      <c r="F46" s="1300"/>
      <c r="G46" s="49"/>
    </row>
    <row r="47" spans="2:10" ht="16.5" customHeight="1">
      <c r="B47" s="441" t="s">
        <v>364</v>
      </c>
      <c r="C47" s="1270" t="s">
        <v>714</v>
      </c>
      <c r="D47" s="1271"/>
      <c r="E47" s="1271"/>
      <c r="F47" s="1272"/>
      <c r="G47" s="113">
        <f>IF(I21,G46,0)</f>
        <v>0</v>
      </c>
      <c r="J47" s="152"/>
    </row>
    <row r="48" spans="2:10" ht="17.25" thickBot="1">
      <c r="B48" s="473"/>
      <c r="C48" s="474"/>
      <c r="D48" s="474"/>
      <c r="E48" s="474"/>
      <c r="F48" s="474"/>
      <c r="G48" s="394"/>
      <c r="I48" s="139" t="s">
        <v>108</v>
      </c>
    </row>
    <row r="49" spans="1:9" s="18" customFormat="1" ht="30" customHeight="1" thickBot="1">
      <c r="A49" s="459"/>
      <c r="B49" s="927">
        <v>7</v>
      </c>
      <c r="C49" s="1296" t="s">
        <v>716</v>
      </c>
      <c r="D49" s="1297"/>
      <c r="E49" s="1297"/>
      <c r="F49" s="1298"/>
      <c r="G49" s="597">
        <f>IF(COUNTIF($I$11:$I$13,TRUE)&lt;&gt;1,"",G44+G30+G29+G47+G39+G33+G34)</f>
        <v>2250000</v>
      </c>
      <c r="I49" s="28" t="b">
        <f>IF(OR(G49&lt;'H §52 HOAI'!B16,G49&gt;'H §52 HOAI'!B35),TRUE,FALSE)</f>
        <v>0</v>
      </c>
    </row>
    <row r="50" spans="1:9" ht="12.75" customHeight="1">
      <c r="B50" s="13"/>
      <c r="C50" s="13"/>
      <c r="D50" s="13"/>
      <c r="E50" s="14"/>
      <c r="G50" s="480" t="str">
        <f>IF(COUNTIF($I$11:$I$13,TRUE)&lt;&gt;1,"",(IF(OR(G49&lt;'H §52 HOAI'!B16,G49&gt;'H §52 HOAI'!B35),"Anrechenbare Kosten liegen außerhalb der Honorartafel!","")))</f>
        <v/>
      </c>
    </row>
    <row r="51" spans="1:9" ht="25.5" customHeight="1">
      <c r="B51" s="1285" t="str">
        <f>IF(I28,"Umfasst der Auftrag mehrere vergleichbare Objekte gem. § 11 (2) HOAI, ist das Honorar nach der Summe der anrechenbaren Kosten zu berechnen.","")</f>
        <v/>
      </c>
      <c r="C51" s="1285"/>
      <c r="D51" s="1285"/>
      <c r="E51" s="1285"/>
      <c r="F51" s="1285"/>
      <c r="G51" s="1285"/>
    </row>
    <row r="52" spans="1:9" ht="12.75" customHeight="1">
      <c r="B52" s="158"/>
      <c r="E52" s="15"/>
    </row>
    <row r="53" spans="1:9" ht="12.75" hidden="1" customHeight="1">
      <c r="B53" s="158"/>
      <c r="E53" s="15"/>
      <c r="G53" s="360"/>
    </row>
    <row r="54" spans="1:9" ht="12.75" hidden="1" customHeight="1">
      <c r="B54" s="362"/>
      <c r="C54" s="362"/>
      <c r="D54" s="362"/>
      <c r="E54" s="362"/>
      <c r="F54" s="362"/>
      <c r="G54" s="362"/>
    </row>
    <row r="55" spans="1:9" hidden="1"/>
    <row r="56" spans="1:9" hidden="1"/>
    <row r="57" spans="1:9" hidden="1"/>
  </sheetData>
  <sheetProtection algorithmName="SHA-512" hashValue="LJCM0sr/IEde/nGApNgQ+AkwrFnGPxXvk1asFx+xEXw0lL0dhisrXjW9oEWgCDGQB3Ws8y5kle7CiUZclLNOhw==" saltValue="JwhhzBe9CkdJ/DqdnxdEEw==" spinCount="100000" sheet="1" formatRows="0"/>
  <mergeCells count="43">
    <mergeCell ref="H2:H8"/>
    <mergeCell ref="D11:E11"/>
    <mergeCell ref="D12:E12"/>
    <mergeCell ref="D13:E13"/>
    <mergeCell ref="B5:D5"/>
    <mergeCell ref="B8:D8"/>
    <mergeCell ref="E8:G8"/>
    <mergeCell ref="E6:G6"/>
    <mergeCell ref="E7:G7"/>
    <mergeCell ref="C10:F10"/>
    <mergeCell ref="B11:B13"/>
    <mergeCell ref="B6:D6"/>
    <mergeCell ref="B7:D7"/>
    <mergeCell ref="B2:E2"/>
    <mergeCell ref="B3:E3"/>
    <mergeCell ref="B51:G51"/>
    <mergeCell ref="C33:F33"/>
    <mergeCell ref="C44:F44"/>
    <mergeCell ref="C32:F32"/>
    <mergeCell ref="C27:F27"/>
    <mergeCell ref="C43:F43"/>
    <mergeCell ref="C49:F49"/>
    <mergeCell ref="C34:F34"/>
    <mergeCell ref="C36:F36"/>
    <mergeCell ref="C41:F41"/>
    <mergeCell ref="C29:F29"/>
    <mergeCell ref="C30:F30"/>
    <mergeCell ref="C42:F42"/>
    <mergeCell ref="C38:F38"/>
    <mergeCell ref="C37:F37"/>
    <mergeCell ref="C46:F46"/>
    <mergeCell ref="C15:G15"/>
    <mergeCell ref="C47:F47"/>
    <mergeCell ref="D16:G16"/>
    <mergeCell ref="D17:G17"/>
    <mergeCell ref="D18:G18"/>
    <mergeCell ref="D19:G19"/>
    <mergeCell ref="D20:G20"/>
    <mergeCell ref="D21:G21"/>
    <mergeCell ref="C26:F26"/>
    <mergeCell ref="D22:F22"/>
    <mergeCell ref="D24:F24"/>
    <mergeCell ref="C39:F39"/>
  </mergeCells>
  <conditionalFormatting sqref="C11">
    <cfRule type="expression" dxfId="1897" priority="753">
      <formula>IF(COUNTIF(I10:I13,TRUE)=1,0,1)</formula>
    </cfRule>
  </conditionalFormatting>
  <conditionalFormatting sqref="C12">
    <cfRule type="expression" dxfId="1896" priority="43">
      <formula>IF(COUNTIF(I11:I13,TRUE)=1,0,1)</formula>
    </cfRule>
  </conditionalFormatting>
  <conditionalFormatting sqref="C13">
    <cfRule type="expression" dxfId="1895" priority="42">
      <formula>IF(COUNTIF(I11:I13,TRUE)=1,0,1)</formula>
    </cfRule>
  </conditionalFormatting>
  <conditionalFormatting sqref="C18:C21">
    <cfRule type="expression" dxfId="1894" priority="2">
      <formula>COUNTIF($I$16:$I$21,TRUE)&lt;1</formula>
    </cfRule>
  </conditionalFormatting>
  <conditionalFormatting sqref="D22:F24">
    <cfRule type="expression" dxfId="1893" priority="17">
      <formula>NOT($I$21)</formula>
    </cfRule>
  </conditionalFormatting>
  <conditionalFormatting sqref="G26 G32 G37:G38">
    <cfRule type="expression" dxfId="1892" priority="33">
      <formula>OR(COUNTIF($I$11:$I$13,TRUE)&lt;&gt;1,COUNTIF($I$16:$I$19,TRUE)&lt;&gt;1)</formula>
    </cfRule>
  </conditionalFormatting>
  <conditionalFormatting sqref="G26">
    <cfRule type="expression" dxfId="1891" priority="41">
      <formula>G26=""</formula>
    </cfRule>
  </conditionalFormatting>
  <conditionalFormatting sqref="G36:G38">
    <cfRule type="expression" dxfId="1890" priority="14">
      <formula>IF(COUNTIF($I$11:$I$13,TRUE)&lt;&gt;1,TRUE,FALSE)</formula>
    </cfRule>
  </conditionalFormatting>
  <conditionalFormatting sqref="G39">
    <cfRule type="expression" dxfId="1889" priority="5">
      <formula>IF(COUNTIF($I$11:$I$13,TRUE)&lt;&gt;1,TRUE,FALSE)</formula>
    </cfRule>
  </conditionalFormatting>
  <conditionalFormatting sqref="G42">
    <cfRule type="expression" dxfId="1888" priority="6">
      <formula>AND($I$20,$I$41,$G$46="")</formula>
    </cfRule>
  </conditionalFormatting>
  <conditionalFormatting sqref="G42:G43">
    <cfRule type="expression" dxfId="1887" priority="7">
      <formula>OR(NOT($I$20),AND($I$20,NOT($I$41)))</formula>
    </cfRule>
  </conditionalFormatting>
  <conditionalFormatting sqref="G44">
    <cfRule type="expression" dxfId="1886" priority="28">
      <formula>IF(COUNTIF($I$11:$I$13,TRUE)&lt;&gt;1,TRUE,FALSE)</formula>
    </cfRule>
  </conditionalFormatting>
  <conditionalFormatting sqref="G46">
    <cfRule type="expression" dxfId="1885" priority="8">
      <formula>NOT(I21)</formula>
    </cfRule>
    <cfRule type="expression" dxfId="1884" priority="9">
      <formula>AND(I21,G46="")</formula>
    </cfRule>
  </conditionalFormatting>
  <conditionalFormatting sqref="G49">
    <cfRule type="expression" dxfId="1883" priority="30">
      <formula>IF(COUNTIF($I$11:$I$13,TRUE)&lt;&gt;1,TRUE,FALSE)</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September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ltText="">
                <anchor moveWithCells="1">
                  <from>
                    <xdr:col>2</xdr:col>
                    <xdr:colOff>0</xdr:colOff>
                    <xdr:row>11</xdr:row>
                    <xdr:rowOff>0</xdr:rowOff>
                  </from>
                  <to>
                    <xdr:col>3</xdr:col>
                    <xdr:colOff>0</xdr:colOff>
                    <xdr:row>12</xdr:row>
                    <xdr:rowOff>9525</xdr:rowOff>
                  </to>
                </anchor>
              </controlPr>
            </control>
          </mc:Choice>
        </mc:AlternateContent>
        <mc:AlternateContent xmlns:mc="http://schemas.openxmlformats.org/markup-compatibility/2006">
          <mc:Choice Requires="x14">
            <control shapeId="22533" r:id="rId5" name="Check Box 5">
              <controlPr defaultSize="0" autoFill="0" autoLine="0" autoPict="0" altText="">
                <anchor moveWithCells="1">
                  <from>
                    <xdr:col>2</xdr:col>
                    <xdr:colOff>0</xdr:colOff>
                    <xdr:row>11</xdr:row>
                    <xdr:rowOff>219075</xdr:rowOff>
                  </from>
                  <to>
                    <xdr:col>3</xdr:col>
                    <xdr:colOff>0</xdr:colOff>
                    <xdr:row>13</xdr:row>
                    <xdr:rowOff>9525</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2</xdr:col>
                    <xdr:colOff>9525</xdr:colOff>
                    <xdr:row>27</xdr:row>
                    <xdr:rowOff>0</xdr:rowOff>
                  </from>
                  <to>
                    <xdr:col>3</xdr:col>
                    <xdr:colOff>9525</xdr:colOff>
                    <xdr:row>28</xdr:row>
                    <xdr:rowOff>9525</xdr:rowOff>
                  </to>
                </anchor>
              </controlPr>
            </control>
          </mc:Choice>
        </mc:AlternateContent>
        <mc:AlternateContent xmlns:mc="http://schemas.openxmlformats.org/markup-compatibility/2006">
          <mc:Choice Requires="x14">
            <control shapeId="22540" r:id="rId7" name="Check Box 12">
              <controlPr defaultSize="0" autoFill="0" autoLine="0" autoPict="0" altText="">
                <anchor moveWithCells="1">
                  <from>
                    <xdr:col>2</xdr:col>
                    <xdr:colOff>0</xdr:colOff>
                    <xdr:row>10</xdr:row>
                    <xdr:rowOff>0</xdr:rowOff>
                  </from>
                  <to>
                    <xdr:col>3</xdr:col>
                    <xdr:colOff>0</xdr:colOff>
                    <xdr:row>11</xdr:row>
                    <xdr:rowOff>9525</xdr:rowOff>
                  </to>
                </anchor>
              </controlPr>
            </control>
          </mc:Choice>
        </mc:AlternateContent>
        <mc:AlternateContent xmlns:mc="http://schemas.openxmlformats.org/markup-compatibility/2006">
          <mc:Choice Requires="x14">
            <control shapeId="22542" r:id="rId8" name="Check Box 14">
              <controlPr defaultSize="0" autoFill="0" autoLine="0" autoPict="0" altText="">
                <anchor moveWithCells="1">
                  <from>
                    <xdr:col>2</xdr:col>
                    <xdr:colOff>0</xdr:colOff>
                    <xdr:row>14</xdr:row>
                    <xdr:rowOff>219075</xdr:rowOff>
                  </from>
                  <to>
                    <xdr:col>3</xdr:col>
                    <xdr:colOff>0</xdr:colOff>
                    <xdr:row>16</xdr:row>
                    <xdr:rowOff>9525</xdr:rowOff>
                  </to>
                </anchor>
              </controlPr>
            </control>
          </mc:Choice>
        </mc:AlternateContent>
        <mc:AlternateContent xmlns:mc="http://schemas.openxmlformats.org/markup-compatibility/2006">
          <mc:Choice Requires="x14">
            <control shapeId="22544" r:id="rId9" name="Check Box 16">
              <controlPr defaultSize="0" autoFill="0" autoLine="0" autoPict="0" altText="">
                <anchor moveWithCells="1">
                  <from>
                    <xdr:col>2</xdr:col>
                    <xdr:colOff>0</xdr:colOff>
                    <xdr:row>15</xdr:row>
                    <xdr:rowOff>219075</xdr:rowOff>
                  </from>
                  <to>
                    <xdr:col>3</xdr:col>
                    <xdr:colOff>0</xdr:colOff>
                    <xdr:row>17</xdr:row>
                    <xdr:rowOff>9525</xdr:rowOff>
                  </to>
                </anchor>
              </controlPr>
            </control>
          </mc:Choice>
        </mc:AlternateContent>
        <mc:AlternateContent xmlns:mc="http://schemas.openxmlformats.org/markup-compatibility/2006">
          <mc:Choice Requires="x14">
            <control shapeId="22546" r:id="rId10" name="Check Box 18">
              <controlPr defaultSize="0" autoFill="0" autoLine="0" autoPict="0" altText="">
                <anchor moveWithCells="1">
                  <from>
                    <xdr:col>2</xdr:col>
                    <xdr:colOff>0</xdr:colOff>
                    <xdr:row>16</xdr:row>
                    <xdr:rowOff>219075</xdr:rowOff>
                  </from>
                  <to>
                    <xdr:col>3</xdr:col>
                    <xdr:colOff>0</xdr:colOff>
                    <xdr:row>18</xdr:row>
                    <xdr:rowOff>9525</xdr:rowOff>
                  </to>
                </anchor>
              </controlPr>
            </control>
          </mc:Choice>
        </mc:AlternateContent>
        <mc:AlternateContent xmlns:mc="http://schemas.openxmlformats.org/markup-compatibility/2006">
          <mc:Choice Requires="x14">
            <control shapeId="22548" r:id="rId11" name="Check Box 20">
              <controlPr defaultSize="0" autoFill="0" autoLine="0" autoPict="0" altText="">
                <anchor moveWithCells="1">
                  <from>
                    <xdr:col>2</xdr:col>
                    <xdr:colOff>0</xdr:colOff>
                    <xdr:row>17</xdr:row>
                    <xdr:rowOff>219075</xdr:rowOff>
                  </from>
                  <to>
                    <xdr:col>3</xdr:col>
                    <xdr:colOff>0</xdr:colOff>
                    <xdr:row>19</xdr:row>
                    <xdr:rowOff>9525</xdr:rowOff>
                  </to>
                </anchor>
              </controlPr>
            </control>
          </mc:Choice>
        </mc:AlternateContent>
        <mc:AlternateContent xmlns:mc="http://schemas.openxmlformats.org/markup-compatibility/2006">
          <mc:Choice Requires="x14">
            <control shapeId="22550" r:id="rId12" name="Check Box 22">
              <controlPr defaultSize="0" autoFill="0" autoLine="0" autoPict="0" altText="">
                <anchor moveWithCells="1">
                  <from>
                    <xdr:col>2</xdr:col>
                    <xdr:colOff>0</xdr:colOff>
                    <xdr:row>18</xdr:row>
                    <xdr:rowOff>219075</xdr:rowOff>
                  </from>
                  <to>
                    <xdr:col>3</xdr:col>
                    <xdr:colOff>0</xdr:colOff>
                    <xdr:row>20</xdr:row>
                    <xdr:rowOff>9525</xdr:rowOff>
                  </to>
                </anchor>
              </controlPr>
            </control>
          </mc:Choice>
        </mc:AlternateContent>
        <mc:AlternateContent xmlns:mc="http://schemas.openxmlformats.org/markup-compatibility/2006">
          <mc:Choice Requires="x14">
            <control shapeId="22554" r:id="rId13" name="Check Box 26">
              <controlPr defaultSize="0" autoFill="0" autoLine="0" autoPict="0" altText="">
                <anchor moveWithCells="1">
                  <from>
                    <xdr:col>2</xdr:col>
                    <xdr:colOff>0</xdr:colOff>
                    <xdr:row>20</xdr:row>
                    <xdr:rowOff>0</xdr:rowOff>
                  </from>
                  <to>
                    <xdr:col>3</xdr:col>
                    <xdr:colOff>0</xdr:colOff>
                    <xdr:row>21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7" id="{489043DC-AC87-4F73-BF90-4ED68C86BB32}">
            <xm:f>Projektgrundlagen!I16=FALSE</xm:f>
            <x14:dxf>
              <fill>
                <patternFill>
                  <bgColor theme="0"/>
                </patternFill>
              </fill>
              <border>
                <left style="thin">
                  <color auto="1"/>
                </left>
                <right style="thin">
                  <color auto="1"/>
                </right>
                <top style="thin">
                  <color auto="1"/>
                </top>
                <bottom style="thin">
                  <color auto="1"/>
                </bottom>
              </border>
            </x14:dxf>
          </x14:cfRule>
          <xm:sqref>C11</xm:sqref>
        </x14:conditionalFormatting>
        <x14:conditionalFormatting xmlns:xm="http://schemas.microsoft.com/office/excel/2006/main">
          <x14:cfRule type="expression" priority="4" id="{726659D0-1F37-4FCB-884D-55D71938CCD1}">
            <xm:f>Projektgrundlagen!I13</xm:f>
            <x14:dxf>
              <fill>
                <patternFill patternType="none">
                  <bgColor auto="1"/>
                </patternFill>
              </fill>
            </x14:dxf>
          </x14:cfRule>
          <xm:sqref>C16</xm:sqref>
        </x14:conditionalFormatting>
        <x14:conditionalFormatting xmlns:xm="http://schemas.microsoft.com/office/excel/2006/main">
          <x14:cfRule type="expression" priority="10" id="{EB27207B-99D5-4789-9FA2-1F594DDA0301}">
            <xm:f>AND(NOT(Projektgrundlagen!I$13),COUNTIF($I$16:$I$21,TRUE)&lt;1)</xm:f>
            <x14:dxf>
              <border>
                <left style="thin">
                  <color rgb="FFC00000"/>
                </left>
                <right style="thin">
                  <color rgb="FFC00000"/>
                </right>
                <top style="thin">
                  <color rgb="FFC00000"/>
                </top>
                <bottom style="thin">
                  <color rgb="FFC00000"/>
                </bottom>
                <vertical/>
                <horizontal/>
              </border>
            </x14:dxf>
          </x14:cfRule>
          <xm:sqref>C16:C17</xm:sqref>
        </x14:conditionalFormatting>
        <x14:conditionalFormatting xmlns:xm="http://schemas.microsoft.com/office/excel/2006/main">
          <x14:cfRule type="expression" priority="3" id="{E194CFDE-5691-406F-995D-C05B417C274E}">
            <xm:f>Projektgrundlagen!I13</xm:f>
            <x14:dxf>
              <fill>
                <patternFill patternType="none">
                  <bgColor auto="1"/>
                </patternFill>
              </fill>
            </x14:dxf>
          </x14:cfRule>
          <xm:sqref>C17</xm:sqref>
        </x14:conditionalFormatting>
        <x14:conditionalFormatting xmlns:xm="http://schemas.microsoft.com/office/excel/2006/main">
          <x14:cfRule type="expression" priority="38" id="{2325E0DF-1C00-44B3-8763-A77333C9BD36}">
            <xm:f>Projektgrundlagen!$I$13=FALSE</xm:f>
            <x14:dxf>
              <font>
                <strike/>
                <color theme="0" tint="-0.14996795556505021"/>
              </font>
            </x14:dxf>
          </x14:cfRule>
          <xm:sqref>D11</xm:sqref>
        </x14:conditionalFormatting>
        <x14:conditionalFormatting xmlns:xm="http://schemas.microsoft.com/office/excel/2006/main">
          <x14:cfRule type="expression" priority="1" id="{8DF6E9A8-84DB-4A2B-A119-E469B6FBC7A4}">
            <xm:f>Projektgrundlagen!$I$21</xm:f>
            <x14:dxf>
              <font>
                <strike/>
                <color theme="0" tint="-0.14996795556505021"/>
              </font>
            </x14:dxf>
          </x14:cfRule>
          <xm:sqref>D16:G17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theme="0" tint="-0.14999847407452621"/>
    <pageSetUpPr fitToPage="1"/>
  </sheetPr>
  <dimension ref="A1:N155"/>
  <sheetViews>
    <sheetView showGridLines="0" zoomScaleNormal="100" zoomScaleSheetLayoutView="100" zoomScalePageLayoutView="75" workbookViewId="0">
      <selection activeCell="I14" sqref="I14"/>
    </sheetView>
  </sheetViews>
  <sheetFormatPr baseColWidth="10" defaultColWidth="0" defaultRowHeight="16.5" zeroHeight="1"/>
  <cols>
    <col min="1" max="1" width="5.7109375" style="1037" customWidth="1"/>
    <col min="2" max="2" width="3.28515625" style="1" customWidth="1"/>
    <col min="3" max="9" width="14.42578125" style="1" customWidth="1"/>
    <col min="10" max="10" width="2.7109375" style="1" customWidth="1"/>
    <col min="11" max="11" width="17.42578125" style="1" hidden="1" customWidth="1"/>
    <col min="12" max="14" width="0" style="1" hidden="1" customWidth="1"/>
    <col min="15" max="16384" width="11.28515625" style="1" hidden="1"/>
  </cols>
  <sheetData>
    <row r="1" spans="1:14">
      <c r="A1" s="1036"/>
    </row>
    <row r="2" spans="1:14" ht="16.5" customHeight="1">
      <c r="A2" s="1036"/>
      <c r="B2" s="1327" t="str">
        <f>IF(Projektgrundlagen!B2="","",Projektgrundlagen!B2)</f>
        <v>Fachplanung Tragwerksplanung</v>
      </c>
      <c r="C2" s="1327"/>
      <c r="D2" s="1327"/>
      <c r="E2" s="1327"/>
      <c r="F2" s="1328"/>
      <c r="G2" s="371" t="str">
        <f>IF(Projektgrundlagen!F2="","",Projektgrundlagen!F2)</f>
        <v>VII.12.4</v>
      </c>
      <c r="H2" s="1330" t="s">
        <v>165</v>
      </c>
      <c r="I2" s="1331"/>
      <c r="J2" s="1329" t="s">
        <v>328</v>
      </c>
      <c r="K2" s="16" t="s">
        <v>54</v>
      </c>
      <c r="N2" s="195" t="s">
        <v>153</v>
      </c>
    </row>
    <row r="3" spans="1:14" ht="16.5" customHeight="1">
      <c r="B3" s="1257" t="s">
        <v>12</v>
      </c>
      <c r="C3" s="1257"/>
      <c r="D3" s="1257"/>
      <c r="E3" s="1257"/>
      <c r="F3" s="1258"/>
      <c r="G3" s="379" t="str">
        <f>IF(Projektgrundlagen!F3="","",Projektgrundlagen!F3)</f>
        <v>Vertragsnr.:</v>
      </c>
      <c r="H3" s="1313" t="str">
        <f>IF(Projektgrundlagen!G3="","",Projektgrundlagen!G3)</f>
        <v>000.411.425</v>
      </c>
      <c r="I3" s="1314"/>
      <c r="J3" s="1329"/>
      <c r="N3" s="1" t="str">
        <f ca="1">MID(CELL("dateiname",A2),FIND("]",CELL("dateiname",A2))+1,255)</f>
        <v>B HZone</v>
      </c>
    </row>
    <row r="4" spans="1:14" ht="7.5" customHeight="1">
      <c r="B4" s="366"/>
      <c r="C4" s="366"/>
      <c r="D4" s="366"/>
      <c r="E4" s="366"/>
      <c r="F4" s="366"/>
      <c r="G4" s="365"/>
      <c r="H4" s="365"/>
      <c r="I4" s="365"/>
      <c r="J4" s="1329"/>
    </row>
    <row r="5" spans="1:14">
      <c r="B5" s="1336" t="str">
        <f>IF(Projektgrundlagen!B5="","",Projektgrundlagen!B5)</f>
        <v>Maßnahmennr:</v>
      </c>
      <c r="C5" s="1337"/>
      <c r="D5" s="1338" t="str">
        <f>IF(Projektgrundlagen!E5="","",Projektgrundlagen!E5)</f>
        <v>B63SABBD000300</v>
      </c>
      <c r="E5" s="1338"/>
      <c r="F5" s="1338"/>
      <c r="G5" s="374" t="str">
        <f>IF(Projektgrundlagen!F5="","",Projektgrundlagen!F5)</f>
        <v>Vergabenr.:</v>
      </c>
      <c r="H5" s="1332" t="str">
        <f>IF(Projektgrundlagen!G5="","",Projektgrundlagen!G5)</f>
        <v>24-080603 D</v>
      </c>
      <c r="I5" s="1333"/>
      <c r="J5" s="1329"/>
    </row>
    <row r="6" spans="1:14">
      <c r="B6" s="1242" t="str">
        <f>IF(Projektgrundlagen!B6="","",Projektgrundlagen!B6)</f>
        <v>Maßnahme:</v>
      </c>
      <c r="C6" s="1243"/>
      <c r="D6" s="1334" t="str">
        <f>IF(Projektgrundlagen!E6="","",Projektgrundlagen!E6)</f>
        <v>B 26, Erneuerung der Brücke über die Bahn bei Wernfeld</v>
      </c>
      <c r="E6" s="1334"/>
      <c r="F6" s="1334"/>
      <c r="G6" s="1334"/>
      <c r="H6" s="1334"/>
      <c r="I6" s="1335"/>
      <c r="J6" s="1329"/>
    </row>
    <row r="7" spans="1:14">
      <c r="B7" s="1242"/>
      <c r="C7" s="1243"/>
      <c r="D7" s="1317" t="str">
        <f>IF(Projektgrundlagen!E7="","",Projektgrundlagen!E7)</f>
        <v>Behelfsbrücke über die Bahn</v>
      </c>
      <c r="E7" s="1317"/>
      <c r="F7" s="1317"/>
      <c r="G7" s="1317"/>
      <c r="H7" s="1317"/>
      <c r="I7" s="1318"/>
      <c r="J7" s="1329"/>
    </row>
    <row r="8" spans="1:14">
      <c r="B8" s="1254" t="s">
        <v>109</v>
      </c>
      <c r="C8" s="1255"/>
      <c r="D8" s="1313" t="str">
        <f>IF(Projektgrundlagen!E8="","",Projektgrundlagen!E8)</f>
        <v/>
      </c>
      <c r="E8" s="1313"/>
      <c r="F8" s="1313"/>
      <c r="G8" s="1313"/>
      <c r="H8" s="1313"/>
      <c r="I8" s="1314"/>
      <c r="J8" s="1329"/>
    </row>
    <row r="9" spans="1:14">
      <c r="B9" s="346"/>
      <c r="C9" s="346"/>
      <c r="D9" s="369"/>
      <c r="E9" s="369"/>
      <c r="F9" s="369"/>
      <c r="G9" s="369"/>
      <c r="H9" s="369"/>
      <c r="I9" s="369"/>
    </row>
    <row r="10" spans="1:14" ht="22.5" customHeight="1">
      <c r="B10" s="481"/>
      <c r="C10" s="1319" t="s">
        <v>304</v>
      </c>
      <c r="D10" s="1319"/>
      <c r="E10" s="1319"/>
      <c r="F10" s="1319"/>
      <c r="G10" s="1319"/>
      <c r="H10" s="1319"/>
      <c r="I10" s="481"/>
    </row>
    <row r="11" spans="1:14" ht="7.5" customHeight="1">
      <c r="A11" s="1036"/>
      <c r="B11" s="373"/>
      <c r="C11" s="373"/>
      <c r="D11" s="367"/>
      <c r="E11" s="367"/>
      <c r="F11" s="367"/>
      <c r="G11" s="367"/>
      <c r="H11" s="367"/>
      <c r="I11" s="365"/>
    </row>
    <row r="12" spans="1:14" ht="16.5" customHeight="1" thickBot="1">
      <c r="A12" s="1041" t="str">
        <f>IF(COUNTIF($K$12,TRUE)&lt;&gt;1,"è","")</f>
        <v/>
      </c>
      <c r="B12" s="50"/>
      <c r="C12" s="345" t="s">
        <v>471</v>
      </c>
      <c r="D12" s="485"/>
      <c r="E12" s="485"/>
      <c r="F12" s="485"/>
      <c r="G12" s="485"/>
      <c r="H12" s="486"/>
      <c r="I12" s="705"/>
      <c r="J12" s="31"/>
      <c r="K12" s="78" t="b">
        <v>1</v>
      </c>
    </row>
    <row r="13" spans="1:14" ht="16.5" customHeight="1" thickBot="1">
      <c r="A13" s="1041"/>
      <c r="B13" s="17"/>
      <c r="C13" s="487"/>
      <c r="D13" s="488"/>
      <c r="E13" s="488"/>
      <c r="F13" s="488"/>
      <c r="G13" s="488"/>
      <c r="H13" s="489" t="s">
        <v>50</v>
      </c>
      <c r="I13" s="734">
        <v>3</v>
      </c>
      <c r="J13" s="31"/>
      <c r="K13" s="78"/>
    </row>
    <row r="14" spans="1:14" ht="12.75">
      <c r="A14" s="1038"/>
      <c r="B14" s="105"/>
      <c r="C14" s="776"/>
      <c r="D14" s="777"/>
      <c r="E14" s="8"/>
      <c r="F14" s="778"/>
      <c r="G14" s="778"/>
      <c r="H14" s="8"/>
      <c r="I14" s="22"/>
    </row>
    <row r="15" spans="1:14"/>
    <row r="17" ht="12" hidden="1" customHeight="1"/>
    <row r="155" spans="10:10" hidden="1">
      <c r="J155" s="1">
        <v>0</v>
      </c>
    </row>
  </sheetData>
  <sheetProtection algorithmName="SHA-512" hashValue="L5IB119PGuu14xV0MG0gYS1MdIGakjq2VMU379f59Wog5g8nDqt8QFLUl3dVXdsVr40bUZM+xOnSN9G58F5Rlg==" saltValue="dtnur4o+dA2i23uyZht8Wg==" spinCount="100000" sheet="1" formatRows="0"/>
  <dataConsolidate/>
  <mergeCells count="15">
    <mergeCell ref="J2:J8"/>
    <mergeCell ref="C10:H10"/>
    <mergeCell ref="D8:I8"/>
    <mergeCell ref="B7:C7"/>
    <mergeCell ref="B6:C6"/>
    <mergeCell ref="H2:I2"/>
    <mergeCell ref="H3:I3"/>
    <mergeCell ref="H5:I5"/>
    <mergeCell ref="D6:I6"/>
    <mergeCell ref="D7:I7"/>
    <mergeCell ref="B5:C5"/>
    <mergeCell ref="D5:F5"/>
    <mergeCell ref="B8:C8"/>
    <mergeCell ref="B2:F2"/>
    <mergeCell ref="B3:F3"/>
  </mergeCells>
  <conditionalFormatting sqref="B12">
    <cfRule type="expression" dxfId="1876" priority="2025">
      <formula>AND(NOT(K12),NOT(#REF!))</formula>
    </cfRule>
    <cfRule type="expression" dxfId="1875" priority="2026">
      <formula>AND(K12,#REF!)</formula>
    </cfRule>
  </conditionalFormatting>
  <conditionalFormatting sqref="H13">
    <cfRule type="expression" dxfId="1874" priority="2030">
      <formula>AND($K$12,NOT(#REF!))</formula>
    </cfRule>
  </conditionalFormatting>
  <conditionalFormatting sqref="I13">
    <cfRule type="expression" dxfId="1873" priority="2027">
      <formula>AND(K12,I13="")</formula>
    </cfRule>
    <cfRule type="expression" dxfId="1872" priority="2028">
      <formula>OR(COUNTIF(K12:K13,TRUE)&lt;&gt;1,NOT(K12))</formula>
    </cfRule>
    <cfRule type="expression" dxfId="1871" priority="2029">
      <formula>AND(K12,I13&lt;&gt;"",OR(I13&lt;1,I13&gt;5))</formula>
    </cfRule>
  </conditionalFormatting>
  <dataValidations count="1">
    <dataValidation allowBlank="1" showInputMessage="1" errorTitle="Achtung!" error="Falsche Eingabe" promptTitle="Honorazone " prompt="Ganze arabische Zahl zwischen 1 und 5" sqref="I13"/>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August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5" r:id="rId4" name="Check Box 5">
              <controlPr defaultSize="0" autoFill="0" autoLine="0" autoPict="0" altText="3 Fahrstreifen">
                <anchor moveWithCells="1">
                  <from>
                    <xdr:col>1</xdr:col>
                    <xdr:colOff>0</xdr:colOff>
                    <xdr:row>11</xdr:row>
                    <xdr:rowOff>0</xdr:rowOff>
                  </from>
                  <to>
                    <xdr:col>2</xdr:col>
                    <xdr:colOff>0</xdr:colOff>
                    <xdr:row>12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theme="6" tint="0.59999389629810485"/>
    <pageSetUpPr fitToPage="1"/>
  </sheetPr>
  <dimension ref="A1:O385"/>
  <sheetViews>
    <sheetView showGridLines="0" showRuler="0" view="pageBreakPreview" zoomScaleNormal="100" zoomScaleSheetLayoutView="100" zoomScalePageLayoutView="110" workbookViewId="0">
      <pane ySplit="12" topLeftCell="A46" activePane="bottomLeft" state="frozen"/>
      <selection pane="bottomLeft" activeCell="F6" sqref="F6:J6"/>
    </sheetView>
  </sheetViews>
  <sheetFormatPr baseColWidth="10" defaultColWidth="0" defaultRowHeight="0" customHeight="1" zeroHeight="1"/>
  <cols>
    <col min="1" max="1" width="5.7109375" style="497" customWidth="1"/>
    <col min="2" max="2" width="3.28515625" style="203" customWidth="1"/>
    <col min="3" max="5" width="3.28515625" style="196" customWidth="1"/>
    <col min="6" max="6" width="51.7109375" style="196" customWidth="1"/>
    <col min="7" max="8" width="7.28515625" style="196" customWidth="1"/>
    <col min="9" max="9" width="12.28515625" style="196" customWidth="1"/>
    <col min="10" max="10" width="12.7109375" style="196" customWidth="1"/>
    <col min="11" max="11" width="2.7109375" style="196" customWidth="1"/>
    <col min="12" max="12" width="16.42578125" style="197" hidden="1" customWidth="1"/>
    <col min="13" max="16384" width="18" style="196" hidden="1"/>
  </cols>
  <sheetData>
    <row r="1" spans="1:15" ht="16.5"/>
    <row r="2" spans="1:15" s="1" customFormat="1" ht="16.5" customHeight="1">
      <c r="A2" s="457"/>
      <c r="B2" s="1327" t="str">
        <f>IF(Projektgrundlagen!B2="","",Projektgrundlagen!B2)</f>
        <v>Fachplanung Tragwerksplanung</v>
      </c>
      <c r="C2" s="1327"/>
      <c r="D2" s="1327"/>
      <c r="E2" s="1327"/>
      <c r="F2" s="1328"/>
      <c r="G2" s="1355" t="str">
        <f>IF(Projektgrundlagen!F2="","",Projektgrundlagen!F2)</f>
        <v>VII.12.4</v>
      </c>
      <c r="H2" s="1330"/>
      <c r="I2" s="1330" t="s">
        <v>305</v>
      </c>
      <c r="J2" s="1331"/>
      <c r="K2" s="1349" t="s">
        <v>329</v>
      </c>
      <c r="L2" s="63" t="s">
        <v>54</v>
      </c>
      <c r="O2" s="195" t="s">
        <v>153</v>
      </c>
    </row>
    <row r="3" spans="1:15" s="1" customFormat="1" ht="16.5">
      <c r="A3" s="457"/>
      <c r="B3" s="1257" t="s">
        <v>440</v>
      </c>
      <c r="C3" s="1257"/>
      <c r="D3" s="1257"/>
      <c r="E3" s="1257"/>
      <c r="F3" s="1258"/>
      <c r="G3" s="1356" t="str">
        <f>IF(Projektgrundlagen!F3="","",Projektgrundlagen!F3)</f>
        <v>Vertragsnr.:</v>
      </c>
      <c r="H3" s="1357"/>
      <c r="I3" s="1352" t="str">
        <f>IF(Projektgrundlagen!G3="","",Projektgrundlagen!G3)</f>
        <v>000.411.425</v>
      </c>
      <c r="J3" s="1353"/>
      <c r="K3" s="1349"/>
      <c r="L3" s="78"/>
      <c r="O3" s="1" t="str">
        <f ca="1">MID(CELL("dateiname",A2),FIND("]",CELL("dateiname",A2))+1,255)</f>
        <v>StB-C1 Grundlstg</v>
      </c>
    </row>
    <row r="4" spans="1:15" s="1" customFormat="1" ht="7.5" customHeight="1">
      <c r="A4" s="457"/>
      <c r="B4" s="368"/>
      <c r="C4" s="368"/>
      <c r="D4" s="368"/>
      <c r="E4" s="368"/>
      <c r="F4" s="368"/>
      <c r="G4" s="138"/>
      <c r="H4" s="138"/>
      <c r="I4" s="180"/>
      <c r="J4" s="180"/>
      <c r="K4" s="1349"/>
      <c r="L4" s="78"/>
    </row>
    <row r="5" spans="1:15" s="1" customFormat="1" ht="16.5">
      <c r="A5" s="457"/>
      <c r="B5" s="1359" t="str">
        <f>IF(Projektgrundlagen!B5="","",Projektgrundlagen!B5)</f>
        <v>Maßnahmennr:</v>
      </c>
      <c r="C5" s="1360"/>
      <c r="D5" s="1360"/>
      <c r="E5" s="1360"/>
      <c r="F5" s="387" t="str">
        <f>IF(Projektgrundlagen!E5="","",Projektgrundlagen!E5)</f>
        <v>B63SABBD000300</v>
      </c>
      <c r="G5" s="1358" t="str">
        <f>IF(Projektgrundlagen!F5="","",Projektgrundlagen!F5)</f>
        <v>Vergabenr.:</v>
      </c>
      <c r="H5" s="1358"/>
      <c r="I5" s="1338" t="str">
        <f>IF(Projektgrundlagen!G5="","",Projektgrundlagen!G5)</f>
        <v>24-080603 D</v>
      </c>
      <c r="J5" s="1354"/>
      <c r="K5" s="1349"/>
      <c r="L5" s="78"/>
    </row>
    <row r="6" spans="1:15" s="1" customFormat="1" ht="16.5">
      <c r="A6" s="457"/>
      <c r="B6" s="1361" t="str">
        <f>IF(Projektgrundlagen!B6="","",Projektgrundlagen!B6)</f>
        <v>Maßnahme:</v>
      </c>
      <c r="C6" s="1362"/>
      <c r="D6" s="1362"/>
      <c r="E6" s="1362"/>
      <c r="F6" s="1365" t="str">
        <f>IF(Projektgrundlagen!E6="","",Projektgrundlagen!E6)</f>
        <v>B 26, Erneuerung der Brücke über die Bahn bei Wernfeld</v>
      </c>
      <c r="G6" s="1365"/>
      <c r="H6" s="1365"/>
      <c r="I6" s="1365"/>
      <c r="J6" s="1366"/>
      <c r="K6" s="1349"/>
      <c r="L6" s="78"/>
    </row>
    <row r="7" spans="1:15" s="1" customFormat="1" ht="16.5">
      <c r="A7" s="457"/>
      <c r="B7" s="1363" t="str">
        <f>IF(Projektgrundlagen!B7="","",Projektgrundlagen!B7)</f>
        <v/>
      </c>
      <c r="C7" s="1364"/>
      <c r="D7" s="1364"/>
      <c r="E7" s="1364"/>
      <c r="F7" s="1367" t="str">
        <f>IF(Projektgrundlagen!E7="","",Projektgrundlagen!E7)</f>
        <v>Behelfsbrücke über die Bahn</v>
      </c>
      <c r="G7" s="1367"/>
      <c r="H7" s="1367"/>
      <c r="I7" s="1367"/>
      <c r="J7" s="1368"/>
      <c r="K7" s="1349"/>
      <c r="L7" s="78"/>
    </row>
    <row r="8" spans="1:15" s="1" customFormat="1" ht="16.5">
      <c r="A8" s="457"/>
      <c r="B8" s="1380" t="str">
        <f>IF(Projektgrundlagen!B8="","",Projektgrundlagen!B8)</f>
        <v>Bieter:</v>
      </c>
      <c r="C8" s="1381"/>
      <c r="D8" s="1381"/>
      <c r="E8" s="1381"/>
      <c r="F8" s="1378" t="str">
        <f>IF(Projektgrundlagen!E8="","",Projektgrundlagen!E8)</f>
        <v/>
      </c>
      <c r="G8" s="1378"/>
      <c r="H8" s="1378"/>
      <c r="I8" s="1378"/>
      <c r="J8" s="1379"/>
      <c r="K8" s="1349"/>
      <c r="L8" s="78"/>
    </row>
    <row r="9" spans="1:15" ht="16.5"/>
    <row r="10" spans="1:15" ht="27" customHeight="1">
      <c r="B10" s="1351" t="s">
        <v>341</v>
      </c>
      <c r="C10" s="1351"/>
      <c r="D10" s="1351"/>
      <c r="E10" s="1351"/>
      <c r="F10" s="1351"/>
      <c r="G10" s="555"/>
      <c r="H10" s="556"/>
      <c r="I10" s="1047" t="s">
        <v>373</v>
      </c>
      <c r="J10" s="1048" t="s">
        <v>371</v>
      </c>
    </row>
    <row r="11" spans="1:15" s="80" customFormat="1" ht="27" customHeight="1">
      <c r="A11" s="498"/>
      <c r="B11" s="852" t="s">
        <v>268</v>
      </c>
      <c r="C11" s="853"/>
      <c r="D11" s="853"/>
      <c r="E11" s="853"/>
      <c r="F11" s="853"/>
      <c r="G11" s="854"/>
      <c r="H11" s="855" t="str">
        <f>IF(Projektgrundlagen!I21,"","Grundleistungen Straßenbau sind nicht Teil dieser Honorarermittlung!")</f>
        <v/>
      </c>
      <c r="I11" s="861" t="s">
        <v>267</v>
      </c>
      <c r="J11" s="862" t="s">
        <v>267</v>
      </c>
      <c r="L11" s="81"/>
      <c r="M11" s="154"/>
    </row>
    <row r="12" spans="1:15" ht="7.5" customHeight="1">
      <c r="B12" s="921"/>
      <c r="C12" s="922"/>
      <c r="D12" s="922"/>
      <c r="E12" s="922"/>
      <c r="F12" s="922"/>
      <c r="G12" s="922"/>
      <c r="H12" s="922"/>
      <c r="I12" s="922"/>
      <c r="J12" s="922"/>
      <c r="M12" s="1034"/>
    </row>
    <row r="13" spans="1:15" ht="16.5">
      <c r="A13" s="1041"/>
      <c r="B13" s="829"/>
      <c r="C13" s="1039"/>
      <c r="D13" s="1392" t="s">
        <v>908</v>
      </c>
      <c r="E13" s="1392"/>
      <c r="F13" s="1392"/>
      <c r="G13" s="1392"/>
      <c r="H13" s="1392"/>
      <c r="I13" s="1392"/>
      <c r="J13" s="1393"/>
      <c r="L13" s="197" t="b">
        <v>0</v>
      </c>
      <c r="M13" s="1034"/>
    </row>
    <row r="14" spans="1:15" ht="27.6" customHeight="1">
      <c r="A14" s="1041"/>
      <c r="B14" s="1203"/>
      <c r="C14" s="1205"/>
      <c r="D14" s="1394" t="s">
        <v>909</v>
      </c>
      <c r="E14" s="1394"/>
      <c r="F14" s="1394"/>
      <c r="G14" s="1394"/>
      <c r="H14" s="1394"/>
      <c r="I14" s="1394"/>
      <c r="J14" s="1395"/>
      <c r="M14" s="1034" t="s">
        <v>454</v>
      </c>
    </row>
    <row r="15" spans="1:15" ht="16.5">
      <c r="A15" s="1041" t="str">
        <f>IF(COUNTIF($L$15:$L$16,TRUE)&gt;1,"è","")</f>
        <v/>
      </c>
      <c r="B15" s="829"/>
      <c r="C15" s="1204"/>
      <c r="D15" s="1369" t="s">
        <v>800</v>
      </c>
      <c r="E15" s="1369"/>
      <c r="F15" s="1369"/>
      <c r="G15" s="1369"/>
      <c r="H15" s="1369"/>
      <c r="I15" s="1369"/>
      <c r="J15" s="1370"/>
      <c r="L15" s="197" t="b">
        <v>0</v>
      </c>
      <c r="M15" s="120" t="b">
        <f>IF(COUNTIF(L15:L16,TRUE)=1,TRUE,FALSE)</f>
        <v>0</v>
      </c>
    </row>
    <row r="16" spans="1:15" ht="16.5">
      <c r="A16" s="1041" t="str">
        <f>IF(COUNTIF($L$15:$L$16,TRUE)&gt;1,"è","")</f>
        <v/>
      </c>
      <c r="B16" s="829"/>
      <c r="C16" s="1086"/>
      <c r="D16" s="1371" t="s">
        <v>801</v>
      </c>
      <c r="E16" s="1371"/>
      <c r="F16" s="1371"/>
      <c r="G16" s="1371"/>
      <c r="H16" s="1371"/>
      <c r="I16" s="1371"/>
      <c r="J16" s="1372"/>
      <c r="L16" s="197" t="b">
        <v>0</v>
      </c>
    </row>
    <row r="17" spans="1:13" ht="7.5" customHeight="1">
      <c r="D17" s="922"/>
      <c r="G17" s="922"/>
      <c r="H17" s="922"/>
    </row>
    <row r="18" spans="1:13" s="198" customFormat="1" ht="22.7" customHeight="1">
      <c r="A18" s="499"/>
      <c r="B18" s="506" t="s">
        <v>787</v>
      </c>
      <c r="C18" s="507"/>
      <c r="D18" s="507"/>
      <c r="E18" s="507"/>
      <c r="F18" s="507"/>
      <c r="G18" s="508"/>
      <c r="H18" s="508"/>
      <c r="I18" s="509"/>
      <c r="J18" s="510"/>
      <c r="L18" s="199"/>
    </row>
    <row r="19" spans="1:13" ht="18">
      <c r="B19" s="200"/>
      <c r="C19" s="1150" t="s">
        <v>225</v>
      </c>
      <c r="D19" s="1151"/>
      <c r="E19" s="1345" t="s">
        <v>312</v>
      </c>
      <c r="F19" s="1345"/>
      <c r="G19" s="1345"/>
      <c r="H19" s="400"/>
      <c r="I19" s="709">
        <v>1</v>
      </c>
      <c r="J19" s="401">
        <f>IF(AND(NOT('A anrechb Kosten'!$I$19),L19),I19,0)</f>
        <v>0</v>
      </c>
      <c r="L19" s="197" t="b">
        <v>0</v>
      </c>
    </row>
    <row r="20" spans="1:13" ht="16.5" customHeight="1">
      <c r="B20" s="173"/>
      <c r="C20" s="271"/>
      <c r="D20" s="713"/>
      <c r="E20" s="1342" t="s">
        <v>807</v>
      </c>
      <c r="F20" s="1342"/>
      <c r="G20" s="1342"/>
      <c r="H20" s="354"/>
      <c r="I20" s="710"/>
      <c r="J20" s="202"/>
    </row>
    <row r="21" spans="1:13" ht="25.9" customHeight="1">
      <c r="A21" s="229"/>
      <c r="B21" s="269"/>
      <c r="C21" s="270"/>
      <c r="D21" s="714"/>
      <c r="E21" s="1344" t="s">
        <v>338</v>
      </c>
      <c r="F21" s="1344"/>
      <c r="G21" s="1344"/>
      <c r="H21" s="1344"/>
      <c r="I21" s="1152"/>
      <c r="J21" s="1153"/>
    </row>
    <row r="22" spans="1:13" ht="25.9" customHeight="1">
      <c r="A22" s="229"/>
      <c r="B22" s="269"/>
      <c r="C22" s="1206"/>
      <c r="D22" s="714"/>
      <c r="E22" s="1344" t="s">
        <v>591</v>
      </c>
      <c r="F22" s="1344"/>
      <c r="G22" s="1344"/>
      <c r="H22" s="1344"/>
      <c r="I22" s="1152"/>
      <c r="J22" s="1153"/>
    </row>
    <row r="23" spans="1:13" ht="39.6" customHeight="1">
      <c r="A23" s="229"/>
      <c r="B23" s="266"/>
      <c r="C23" s="402"/>
      <c r="D23" s="715"/>
      <c r="E23" s="1396" t="s">
        <v>910</v>
      </c>
      <c r="F23" s="1396"/>
      <c r="G23" s="1396"/>
      <c r="H23" s="1396"/>
      <c r="I23" s="1154"/>
      <c r="J23" s="1155"/>
    </row>
    <row r="24" spans="1:13" ht="18">
      <c r="B24" s="201"/>
      <c r="C24" s="1150" t="s">
        <v>228</v>
      </c>
      <c r="D24" s="1156"/>
      <c r="E24" s="1341" t="s">
        <v>794</v>
      </c>
      <c r="F24" s="1341"/>
      <c r="G24" s="1341"/>
      <c r="H24" s="400"/>
      <c r="I24" s="711">
        <v>1</v>
      </c>
      <c r="J24" s="401">
        <f>IF(AND(NOT('A anrechb Kosten'!$I$19),L24),I24,0)</f>
        <v>0</v>
      </c>
      <c r="L24" s="197" t="b">
        <v>0</v>
      </c>
    </row>
    <row r="25" spans="1:13" s="80" customFormat="1" ht="16.5" customHeight="1">
      <c r="A25" s="498"/>
      <c r="B25" s="173"/>
      <c r="C25" s="271"/>
      <c r="D25" s="713"/>
      <c r="E25" s="1342" t="s">
        <v>476</v>
      </c>
      <c r="F25" s="1342"/>
      <c r="G25" s="1342"/>
      <c r="H25" s="354"/>
      <c r="I25" s="710"/>
      <c r="J25" s="202"/>
      <c r="L25" s="81"/>
      <c r="M25" s="153"/>
    </row>
    <row r="26" spans="1:13" ht="25.9" customHeight="1">
      <c r="A26" s="229"/>
      <c r="B26" s="267"/>
      <c r="C26" s="230"/>
      <c r="D26" s="716"/>
      <c r="E26" s="1346" t="s">
        <v>593</v>
      </c>
      <c r="F26" s="1346"/>
      <c r="G26" s="1346"/>
      <c r="H26" s="1346"/>
      <c r="I26" s="1152"/>
      <c r="J26" s="1153"/>
    </row>
    <row r="27" spans="1:13" ht="17.45" customHeight="1">
      <c r="A27" s="229"/>
      <c r="B27" s="268"/>
      <c r="C27" s="403"/>
      <c r="D27" s="715"/>
      <c r="E27" s="1350" t="s">
        <v>594</v>
      </c>
      <c r="F27" s="1350"/>
      <c r="G27" s="1350"/>
      <c r="H27" s="1350"/>
      <c r="I27" s="1154"/>
      <c r="J27" s="1155"/>
    </row>
    <row r="28" spans="1:13" ht="18">
      <c r="B28" s="201"/>
      <c r="C28" s="1150" t="s">
        <v>229</v>
      </c>
      <c r="D28" s="1156"/>
      <c r="E28" s="1341" t="s">
        <v>478</v>
      </c>
      <c r="F28" s="1341"/>
      <c r="G28" s="1341"/>
      <c r="H28" s="400"/>
      <c r="I28" s="711">
        <v>1</v>
      </c>
      <c r="J28" s="401">
        <f>IF(AND(NOT('A anrechb Kosten'!$I$19),L28),I28,0)</f>
        <v>0</v>
      </c>
      <c r="L28" s="197" t="b">
        <v>0</v>
      </c>
    </row>
    <row r="29" spans="1:13" s="80" customFormat="1" ht="16.5" customHeight="1">
      <c r="A29" s="498"/>
      <c r="B29" s="173"/>
      <c r="C29" s="271"/>
      <c r="D29" s="713"/>
      <c r="E29" s="1342"/>
      <c r="F29" s="1342"/>
      <c r="G29" s="1342"/>
      <c r="H29" s="354"/>
      <c r="I29" s="710"/>
      <c r="J29" s="202"/>
      <c r="L29" s="81"/>
      <c r="M29" s="153"/>
    </row>
    <row r="30" spans="1:13" ht="15" customHeight="1">
      <c r="A30" s="229"/>
      <c r="B30" s="269"/>
      <c r="C30" s="230"/>
      <c r="D30" s="714"/>
      <c r="E30" s="1344" t="s">
        <v>191</v>
      </c>
      <c r="F30" s="1344"/>
      <c r="G30" s="1344"/>
      <c r="H30" s="1344"/>
      <c r="I30" s="712"/>
      <c r="J30" s="202"/>
    </row>
    <row r="31" spans="1:13" ht="15" customHeight="1">
      <c r="A31" s="229"/>
      <c r="B31" s="269"/>
      <c r="C31" s="230"/>
      <c r="D31" s="714"/>
      <c r="E31" s="1344" t="s">
        <v>339</v>
      </c>
      <c r="F31" s="1344"/>
      <c r="G31" s="1344"/>
      <c r="H31" s="1374"/>
      <c r="I31" s="712"/>
      <c r="J31" s="202"/>
    </row>
    <row r="32" spans="1:13" ht="15" customHeight="1">
      <c r="A32" s="229"/>
      <c r="B32" s="269"/>
      <c r="C32" s="230"/>
      <c r="D32" s="714"/>
      <c r="E32" s="1344" t="s">
        <v>192</v>
      </c>
      <c r="F32" s="1344"/>
      <c r="G32" s="1344"/>
      <c r="H32" s="1374"/>
      <c r="I32" s="712"/>
      <c r="J32" s="202"/>
    </row>
    <row r="33" spans="1:13" ht="25.9" customHeight="1">
      <c r="A33" s="229"/>
      <c r="B33" s="269"/>
      <c r="C33" s="230"/>
      <c r="D33" s="714"/>
      <c r="E33" s="1344" t="s">
        <v>592</v>
      </c>
      <c r="F33" s="1344"/>
      <c r="G33" s="1344"/>
      <c r="H33" s="1374"/>
      <c r="I33" s="712"/>
      <c r="J33" s="202"/>
    </row>
    <row r="34" spans="1:13" ht="36.6" customHeight="1">
      <c r="A34" s="229"/>
      <c r="B34" s="269"/>
      <c r="C34" s="230"/>
      <c r="D34" s="714"/>
      <c r="E34" s="1396" t="s">
        <v>911</v>
      </c>
      <c r="F34" s="1396"/>
      <c r="G34" s="1396"/>
      <c r="H34" s="1396"/>
      <c r="I34" s="712"/>
      <c r="J34" s="202"/>
    </row>
    <row r="35" spans="1:13" ht="18" customHeight="1">
      <c r="B35" s="209"/>
      <c r="C35" s="1157"/>
      <c r="D35" s="1158"/>
      <c r="E35" s="1398" t="s">
        <v>788</v>
      </c>
      <c r="F35" s="1398"/>
      <c r="G35" s="1398"/>
      <c r="H35" s="1399"/>
      <c r="I35" s="1077"/>
      <c r="J35" s="1069"/>
    </row>
    <row r="36" spans="1:13" s="80" customFormat="1" ht="50.1" customHeight="1" thickBot="1">
      <c r="A36" s="498"/>
      <c r="B36" s="173"/>
      <c r="C36" s="271"/>
      <c r="D36" s="727"/>
      <c r="E36" s="1400" t="s">
        <v>789</v>
      </c>
      <c r="F36" s="1400"/>
      <c r="G36" s="1400"/>
      <c r="H36" s="1401"/>
      <c r="I36" s="710"/>
      <c r="J36" s="202"/>
      <c r="L36" s="81"/>
      <c r="M36" s="153"/>
    </row>
    <row r="37" spans="1:13" ht="22.7" customHeight="1" thickBot="1">
      <c r="B37" s="1382" t="s">
        <v>596</v>
      </c>
      <c r="C37" s="1383"/>
      <c r="D37" s="1383"/>
      <c r="E37" s="1383"/>
      <c r="F37" s="1383"/>
      <c r="G37" s="1383"/>
      <c r="H37" s="1384"/>
      <c r="I37" s="503">
        <f>IF(Projektgrundlagen!I21,SUM(I19:I33),0)</f>
        <v>3</v>
      </c>
      <c r="J37" s="504">
        <f>IF(Projektgrundlagen!I21,SUMIF(L19:L33,TRUE,J19:J33),0)</f>
        <v>0</v>
      </c>
    </row>
    <row r="38" spans="1:13" ht="7.5" customHeight="1"/>
    <row r="39" spans="1:13" s="198" customFormat="1" ht="22.7" customHeight="1">
      <c r="A39" s="499"/>
      <c r="B39" s="506" t="s">
        <v>193</v>
      </c>
      <c r="C39" s="507"/>
      <c r="D39" s="507"/>
      <c r="E39" s="507"/>
      <c r="F39" s="507"/>
      <c r="G39" s="509"/>
      <c r="H39" s="509"/>
      <c r="I39" s="511"/>
      <c r="J39" s="512"/>
      <c r="L39" s="199"/>
    </row>
    <row r="40" spans="1:13" ht="18">
      <c r="B40" s="201"/>
      <c r="C40" s="1150" t="s">
        <v>225</v>
      </c>
      <c r="D40" s="1151"/>
      <c r="E40" s="1345" t="s">
        <v>808</v>
      </c>
      <c r="F40" s="1345"/>
      <c r="G40" s="1345"/>
      <c r="H40" s="412"/>
      <c r="I40" s="709">
        <v>1</v>
      </c>
      <c r="J40" s="401">
        <f>IF(L40,I40,0)</f>
        <v>1</v>
      </c>
      <c r="L40" s="197" t="b">
        <v>1</v>
      </c>
    </row>
    <row r="41" spans="1:13" s="80" customFormat="1" ht="16.5" customHeight="1">
      <c r="A41" s="498"/>
      <c r="B41" s="173"/>
      <c r="C41" s="271"/>
      <c r="D41" s="713"/>
      <c r="E41" s="1342"/>
      <c r="F41" s="1342"/>
      <c r="G41" s="1342"/>
      <c r="H41" s="354"/>
      <c r="I41" s="710"/>
      <c r="J41" s="202"/>
      <c r="L41" s="81"/>
      <c r="M41" s="153"/>
    </row>
    <row r="42" spans="1:13" ht="15">
      <c r="A42" s="229"/>
      <c r="B42" s="267"/>
      <c r="C42" s="230"/>
      <c r="D42" s="718"/>
      <c r="E42" s="1344" t="s">
        <v>597</v>
      </c>
      <c r="F42" s="1344"/>
      <c r="G42" s="1344"/>
      <c r="H42" s="1344"/>
      <c r="I42" s="723"/>
      <c r="J42" s="272"/>
    </row>
    <row r="43" spans="1:13" ht="15" customHeight="1">
      <c r="A43" s="229"/>
      <c r="B43" s="267"/>
      <c r="C43" s="230"/>
      <c r="D43" s="719"/>
      <c r="E43" s="1344" t="s">
        <v>598</v>
      </c>
      <c r="F43" s="1344"/>
      <c r="G43" s="1344"/>
      <c r="H43" s="1344"/>
      <c r="I43" s="723"/>
      <c r="J43" s="272"/>
    </row>
    <row r="44" spans="1:13" ht="25.9" customHeight="1">
      <c r="A44" s="229"/>
      <c r="B44" s="267"/>
      <c r="C44" s="230"/>
      <c r="D44" s="719"/>
      <c r="E44" s="1344" t="s">
        <v>599</v>
      </c>
      <c r="F44" s="1344"/>
      <c r="G44" s="1344"/>
      <c r="H44" s="1344"/>
      <c r="I44" s="723"/>
      <c r="J44" s="272"/>
    </row>
    <row r="45" spans="1:13" ht="38.450000000000003" customHeight="1">
      <c r="A45" s="229"/>
      <c r="B45" s="267"/>
      <c r="C45" s="230"/>
      <c r="D45" s="719"/>
      <c r="E45" s="1396" t="s">
        <v>912</v>
      </c>
      <c r="F45" s="1396"/>
      <c r="G45" s="1396"/>
      <c r="H45" s="1396"/>
      <c r="I45" s="723"/>
      <c r="J45" s="272"/>
    </row>
    <row r="46" spans="1:13" ht="18">
      <c r="B46" s="200"/>
      <c r="C46" s="1159" t="s">
        <v>228</v>
      </c>
      <c r="D46" s="1160"/>
      <c r="E46" s="1341" t="s">
        <v>481</v>
      </c>
      <c r="F46" s="1341"/>
      <c r="G46" s="1341"/>
      <c r="H46" s="353"/>
      <c r="I46" s="725">
        <v>2</v>
      </c>
      <c r="J46" s="401">
        <f>IF(L46,I46,0)</f>
        <v>2</v>
      </c>
      <c r="L46" s="197" t="b">
        <v>1</v>
      </c>
    </row>
    <row r="47" spans="1:13" s="80" customFormat="1" ht="30" customHeight="1">
      <c r="A47" s="87"/>
      <c r="B47" s="173"/>
      <c r="C47" s="271"/>
      <c r="D47" s="713"/>
      <c r="E47" s="1342" t="s">
        <v>600</v>
      </c>
      <c r="F47" s="1342"/>
      <c r="G47" s="1342"/>
      <c r="H47" s="354"/>
      <c r="I47" s="710"/>
      <c r="J47" s="202"/>
      <c r="L47" s="81"/>
      <c r="M47" s="153"/>
    </row>
    <row r="48" spans="1:13" ht="37.9" customHeight="1">
      <c r="A48" s="229"/>
      <c r="B48" s="267"/>
      <c r="C48" s="230"/>
      <c r="D48" s="719"/>
      <c r="E48" s="1346" t="s">
        <v>601</v>
      </c>
      <c r="F48" s="1346"/>
      <c r="G48" s="1346"/>
      <c r="H48" s="1346"/>
      <c r="I48" s="723"/>
      <c r="J48" s="272"/>
    </row>
    <row r="49" spans="1:13" ht="18">
      <c r="B49" s="201"/>
      <c r="C49" s="1150" t="s">
        <v>229</v>
      </c>
      <c r="D49" s="1156"/>
      <c r="E49" s="1341" t="s">
        <v>482</v>
      </c>
      <c r="F49" s="1341"/>
      <c r="G49" s="1341"/>
      <c r="H49" s="400"/>
      <c r="I49" s="711">
        <v>4</v>
      </c>
      <c r="J49" s="401">
        <f>IF(L49,I49,0)</f>
        <v>4</v>
      </c>
      <c r="L49" s="197" t="b">
        <v>1</v>
      </c>
    </row>
    <row r="50" spans="1:13" ht="70.5" customHeight="1">
      <c r="B50" s="254"/>
      <c r="C50" s="271"/>
      <c r="D50" s="713"/>
      <c r="E50" s="1342" t="s">
        <v>483</v>
      </c>
      <c r="F50" s="1342"/>
      <c r="G50" s="1342"/>
      <c r="H50" s="354"/>
      <c r="I50" s="710"/>
      <c r="J50" s="202"/>
    </row>
    <row r="51" spans="1:13" ht="49.9" customHeight="1">
      <c r="A51" s="229"/>
      <c r="B51" s="267"/>
      <c r="C51" s="230"/>
      <c r="D51" s="718"/>
      <c r="E51" s="1344" t="s">
        <v>602</v>
      </c>
      <c r="F51" s="1344"/>
      <c r="G51" s="1344"/>
      <c r="H51" s="1344"/>
      <c r="I51" s="723"/>
      <c r="J51" s="272"/>
    </row>
    <row r="52" spans="1:13" ht="27" customHeight="1">
      <c r="A52" s="229"/>
      <c r="B52" s="267"/>
      <c r="C52" s="230"/>
      <c r="D52" s="718"/>
      <c r="E52" s="1344" t="s">
        <v>603</v>
      </c>
      <c r="F52" s="1344"/>
      <c r="G52" s="1344"/>
      <c r="H52" s="1344"/>
      <c r="I52" s="723"/>
      <c r="J52" s="272"/>
    </row>
    <row r="53" spans="1:13" ht="39" customHeight="1">
      <c r="A53" s="229"/>
      <c r="B53" s="267"/>
      <c r="C53" s="1208"/>
      <c r="D53" s="718"/>
      <c r="E53" s="1344" t="s">
        <v>604</v>
      </c>
      <c r="F53" s="1344"/>
      <c r="G53" s="1344"/>
      <c r="H53" s="1344"/>
      <c r="I53" s="723"/>
      <c r="J53" s="272"/>
    </row>
    <row r="54" spans="1:13" ht="39" customHeight="1">
      <c r="A54" s="229"/>
      <c r="B54" s="268"/>
      <c r="C54" s="403"/>
      <c r="D54" s="720"/>
      <c r="E54" s="1396" t="s">
        <v>913</v>
      </c>
      <c r="F54" s="1396"/>
      <c r="G54" s="1396"/>
      <c r="H54" s="1396"/>
      <c r="I54" s="724"/>
      <c r="J54" s="413"/>
    </row>
    <row r="55" spans="1:13" ht="18">
      <c r="B55" s="201"/>
      <c r="C55" s="1150" t="s">
        <v>230</v>
      </c>
      <c r="D55" s="1156"/>
      <c r="E55" s="1341" t="s">
        <v>605</v>
      </c>
      <c r="F55" s="1341"/>
      <c r="G55" s="1341"/>
      <c r="H55" s="400"/>
      <c r="I55" s="711">
        <v>1</v>
      </c>
      <c r="J55" s="401">
        <f>IF(L55,I55,0)</f>
        <v>1</v>
      </c>
      <c r="L55" s="197" t="b">
        <v>1</v>
      </c>
    </row>
    <row r="56" spans="1:13" s="80" customFormat="1" ht="30" customHeight="1">
      <c r="A56" s="498"/>
      <c r="B56" s="173"/>
      <c r="C56" s="271"/>
      <c r="D56" s="713"/>
      <c r="E56" s="1342" t="s">
        <v>606</v>
      </c>
      <c r="F56" s="1342"/>
      <c r="G56" s="1342"/>
      <c r="H56" s="354"/>
      <c r="I56" s="710"/>
      <c r="J56" s="202"/>
      <c r="L56" s="81"/>
      <c r="M56" s="153"/>
    </row>
    <row r="57" spans="1:13" ht="15">
      <c r="A57" s="229"/>
      <c r="B57" s="414"/>
      <c r="C57" s="402"/>
      <c r="D57" s="722"/>
      <c r="E57" s="1373" t="s">
        <v>607</v>
      </c>
      <c r="F57" s="1373"/>
      <c r="G57" s="1373"/>
      <c r="H57" s="1373"/>
      <c r="I57" s="726"/>
      <c r="J57" s="415"/>
    </row>
    <row r="58" spans="1:13" ht="18">
      <c r="B58" s="206"/>
      <c r="C58" s="1159" t="s">
        <v>231</v>
      </c>
      <c r="D58" s="1160"/>
      <c r="E58" s="1341" t="s">
        <v>608</v>
      </c>
      <c r="F58" s="1341"/>
      <c r="G58" s="1341"/>
      <c r="H58" s="353"/>
      <c r="I58" s="725">
        <v>1</v>
      </c>
      <c r="J58" s="401">
        <f>IF(L58,I58,0)</f>
        <v>1</v>
      </c>
      <c r="L58" s="197" t="b">
        <v>1</v>
      </c>
    </row>
    <row r="59" spans="1:13" ht="16.5">
      <c r="B59" s="254"/>
      <c r="C59" s="271"/>
      <c r="D59" s="713"/>
      <c r="E59" s="1342"/>
      <c r="F59" s="1342"/>
      <c r="G59" s="1342"/>
      <c r="H59" s="354"/>
      <c r="I59" s="710"/>
      <c r="J59" s="202"/>
    </row>
    <row r="60" spans="1:13" ht="26.65" customHeight="1">
      <c r="A60" s="229"/>
      <c r="B60" s="267"/>
      <c r="C60" s="270"/>
      <c r="D60" s="721"/>
      <c r="E60" s="1391" t="s">
        <v>609</v>
      </c>
      <c r="F60" s="1391"/>
      <c r="G60" s="1391"/>
      <c r="H60" s="1391"/>
      <c r="I60" s="712"/>
      <c r="J60" s="202"/>
    </row>
    <row r="61" spans="1:13" ht="26.65" customHeight="1">
      <c r="A61" s="229"/>
      <c r="B61" s="268"/>
      <c r="C61" s="402"/>
      <c r="D61" s="722"/>
      <c r="E61" s="1390" t="s">
        <v>610</v>
      </c>
      <c r="F61" s="1390"/>
      <c r="G61" s="1390"/>
      <c r="H61" s="1390"/>
      <c r="I61" s="726"/>
      <c r="J61" s="415"/>
    </row>
    <row r="62" spans="1:13" ht="18">
      <c r="B62" s="201"/>
      <c r="C62" s="1159" t="s">
        <v>232</v>
      </c>
      <c r="D62" s="1160"/>
      <c r="E62" s="1341" t="s">
        <v>478</v>
      </c>
      <c r="F62" s="1341"/>
      <c r="G62" s="1341"/>
      <c r="H62" s="353"/>
      <c r="I62" s="725">
        <v>1</v>
      </c>
      <c r="J62" s="401">
        <f>IF(L62,I62,0)</f>
        <v>1</v>
      </c>
      <c r="L62" s="197" t="b">
        <v>1</v>
      </c>
    </row>
    <row r="63" spans="1:13" ht="16.5" customHeight="1">
      <c r="B63" s="254"/>
      <c r="C63" s="271"/>
      <c r="D63" s="713"/>
      <c r="E63" s="1342"/>
      <c r="F63" s="1342"/>
      <c r="G63" s="1342"/>
      <c r="H63" s="354"/>
      <c r="I63" s="710"/>
      <c r="J63" s="202"/>
    </row>
    <row r="64" spans="1:13" ht="60" customHeight="1">
      <c r="A64" s="229"/>
      <c r="B64" s="267"/>
      <c r="C64" s="270"/>
      <c r="D64" s="713"/>
      <c r="E64" s="1344" t="s">
        <v>611</v>
      </c>
      <c r="F64" s="1344"/>
      <c r="G64" s="1344"/>
      <c r="H64" s="1344"/>
      <c r="I64" s="712"/>
      <c r="J64" s="202"/>
    </row>
    <row r="65" spans="1:12" ht="25.9" customHeight="1" thickBot="1">
      <c r="A65" s="229"/>
      <c r="B65" s="267"/>
      <c r="C65" s="270"/>
      <c r="D65" s="713"/>
      <c r="E65" s="1396" t="s">
        <v>914</v>
      </c>
      <c r="F65" s="1396"/>
      <c r="G65" s="1396"/>
      <c r="H65" s="1396"/>
      <c r="I65" s="712"/>
      <c r="J65" s="202"/>
    </row>
    <row r="66" spans="1:12" ht="22.7" customHeight="1" thickBot="1">
      <c r="B66" s="501"/>
      <c r="C66" s="1383"/>
      <c r="D66" s="1383"/>
      <c r="E66" s="1383"/>
      <c r="F66" s="1383" t="s">
        <v>595</v>
      </c>
      <c r="G66" s="1383"/>
      <c r="H66" s="1383"/>
      <c r="I66" s="503">
        <f>IF(Projektgrundlagen!I21,SUM(I40:I65),0)</f>
        <v>10</v>
      </c>
      <c r="J66" s="504">
        <f>IF(Projektgrundlagen!I21,SUMIF(L40:L64,TRUE,J40:J65),0)</f>
        <v>10</v>
      </c>
    </row>
    <row r="67" spans="1:12" ht="7.5" customHeight="1"/>
    <row r="68" spans="1:12" ht="22.7" customHeight="1">
      <c r="B68" s="506" t="s">
        <v>194</v>
      </c>
      <c r="C68" s="507"/>
      <c r="D68" s="507"/>
      <c r="E68" s="507"/>
      <c r="F68" s="507"/>
      <c r="G68" s="513"/>
      <c r="H68" s="513"/>
      <c r="I68" s="511"/>
      <c r="J68" s="512"/>
    </row>
    <row r="69" spans="1:12" ht="18">
      <c r="B69" s="201"/>
      <c r="C69" s="1150" t="s">
        <v>225</v>
      </c>
      <c r="D69" s="1151" t="s">
        <v>10</v>
      </c>
      <c r="E69" s="1345" t="s">
        <v>490</v>
      </c>
      <c r="F69" s="1345"/>
      <c r="G69" s="1345"/>
      <c r="H69" s="400"/>
      <c r="I69" s="709">
        <v>3</v>
      </c>
      <c r="J69" s="401">
        <f>IF(L69,I69,0)</f>
        <v>3</v>
      </c>
      <c r="L69" s="197" t="b">
        <v>1</v>
      </c>
    </row>
    <row r="70" spans="1:12" ht="30" customHeight="1">
      <c r="B70" s="254"/>
      <c r="C70" s="271"/>
      <c r="D70" s="713"/>
      <c r="E70" s="1342" t="s">
        <v>491</v>
      </c>
      <c r="F70" s="1342"/>
      <c r="G70" s="1342"/>
      <c r="H70" s="354"/>
      <c r="I70" s="710"/>
      <c r="J70" s="202"/>
    </row>
    <row r="71" spans="1:12" ht="27" customHeight="1">
      <c r="A71" s="229"/>
      <c r="B71" s="267"/>
      <c r="C71" s="270"/>
      <c r="D71" s="713"/>
      <c r="E71" s="1344" t="s">
        <v>613</v>
      </c>
      <c r="F71" s="1344"/>
      <c r="G71" s="1344"/>
      <c r="H71" s="1344"/>
      <c r="I71" s="712"/>
      <c r="J71" s="202"/>
    </row>
    <row r="72" spans="1:12" ht="27" customHeight="1">
      <c r="A72" s="229"/>
      <c r="B72" s="267"/>
      <c r="C72" s="270"/>
      <c r="D72" s="713"/>
      <c r="E72" s="1344" t="s">
        <v>614</v>
      </c>
      <c r="F72" s="1344"/>
      <c r="G72" s="1344"/>
      <c r="H72" s="1344"/>
      <c r="I72" s="712"/>
      <c r="J72" s="202"/>
    </row>
    <row r="73" spans="1:12" ht="36" customHeight="1">
      <c r="A73" s="229"/>
      <c r="B73" s="267"/>
      <c r="C73" s="270"/>
      <c r="D73" s="713"/>
      <c r="E73" s="1396" t="s">
        <v>915</v>
      </c>
      <c r="F73" s="1396"/>
      <c r="G73" s="1396"/>
      <c r="H73" s="1396"/>
      <c r="I73" s="712"/>
      <c r="J73" s="202"/>
    </row>
    <row r="74" spans="1:12" ht="18">
      <c r="B74" s="201"/>
      <c r="C74" s="1150" t="s">
        <v>228</v>
      </c>
      <c r="D74" s="1156"/>
      <c r="E74" s="1341" t="s">
        <v>615</v>
      </c>
      <c r="F74" s="1341"/>
      <c r="G74" s="1341"/>
      <c r="H74" s="400"/>
      <c r="I74" s="711">
        <v>5</v>
      </c>
      <c r="J74" s="401">
        <f>IF(L74,I74,0)</f>
        <v>5</v>
      </c>
      <c r="L74" s="197" t="b">
        <v>1</v>
      </c>
    </row>
    <row r="75" spans="1:12" ht="16.5" customHeight="1">
      <c r="B75" s="254"/>
      <c r="C75" s="271"/>
      <c r="D75" s="713"/>
      <c r="E75" s="1342"/>
      <c r="F75" s="1342"/>
      <c r="G75" s="1342"/>
      <c r="H75" s="354"/>
      <c r="I75" s="710"/>
      <c r="J75" s="202"/>
    </row>
    <row r="76" spans="1:12" ht="39.6" customHeight="1">
      <c r="A76" s="229"/>
      <c r="B76" s="267"/>
      <c r="C76" s="270"/>
      <c r="D76" s="713"/>
      <c r="E76" s="1347" t="s">
        <v>616</v>
      </c>
      <c r="F76" s="1347"/>
      <c r="G76" s="1347"/>
      <c r="H76" s="1347"/>
      <c r="I76" s="712"/>
      <c r="J76" s="202"/>
    </row>
    <row r="77" spans="1:12" ht="12.75">
      <c r="A77" s="229"/>
      <c r="B77" s="267"/>
      <c r="C77" s="270"/>
      <c r="D77" s="1063" t="s">
        <v>190</v>
      </c>
      <c r="E77" s="1347" t="s">
        <v>617</v>
      </c>
      <c r="F77" s="1347"/>
      <c r="G77" s="1347"/>
      <c r="H77" s="1347"/>
      <c r="I77" s="712"/>
      <c r="J77" s="202"/>
    </row>
    <row r="78" spans="1:12" ht="15">
      <c r="A78" s="229"/>
      <c r="B78" s="267"/>
      <c r="C78" s="270"/>
      <c r="D78" s="713"/>
      <c r="E78" s="1128" t="s">
        <v>190</v>
      </c>
      <c r="F78" s="1347" t="s">
        <v>618</v>
      </c>
      <c r="G78" s="1347"/>
      <c r="H78" s="1374"/>
      <c r="I78" s="712"/>
      <c r="J78" s="202"/>
    </row>
    <row r="79" spans="1:12" ht="15">
      <c r="A79" s="229"/>
      <c r="B79" s="267"/>
      <c r="C79" s="270"/>
      <c r="D79" s="713"/>
      <c r="E79" s="1128" t="s">
        <v>190</v>
      </c>
      <c r="F79" s="1347" t="s">
        <v>620</v>
      </c>
      <c r="G79" s="1347"/>
      <c r="H79" s="1374"/>
      <c r="I79" s="712"/>
      <c r="J79" s="202"/>
    </row>
    <row r="80" spans="1:12" ht="15">
      <c r="A80" s="229"/>
      <c r="B80" s="267"/>
      <c r="C80" s="270"/>
      <c r="D80" s="713"/>
      <c r="E80" s="1128" t="s">
        <v>190</v>
      </c>
      <c r="F80" s="1347" t="s">
        <v>621</v>
      </c>
      <c r="G80" s="1347"/>
      <c r="H80" s="1374"/>
      <c r="I80" s="712"/>
      <c r="J80" s="202"/>
    </row>
    <row r="81" spans="1:12" ht="15">
      <c r="A81" s="229"/>
      <c r="B81" s="267"/>
      <c r="C81" s="270"/>
      <c r="D81" s="713"/>
      <c r="E81" s="1128" t="s">
        <v>190</v>
      </c>
      <c r="F81" s="1347" t="s">
        <v>622</v>
      </c>
      <c r="G81" s="1347"/>
      <c r="H81" s="1374"/>
      <c r="I81" s="712"/>
      <c r="J81" s="202"/>
    </row>
    <row r="82" spans="1:12" ht="15">
      <c r="A82" s="229"/>
      <c r="B82" s="267"/>
      <c r="C82" s="270"/>
      <c r="D82" s="713"/>
      <c r="E82" s="1347" t="s">
        <v>619</v>
      </c>
      <c r="F82" s="1347"/>
      <c r="G82" s="1347"/>
      <c r="H82" s="1347"/>
      <c r="I82" s="712"/>
      <c r="J82" s="202"/>
    </row>
    <row r="83" spans="1:12" ht="15">
      <c r="A83" s="229"/>
      <c r="B83" s="267"/>
      <c r="C83" s="270"/>
      <c r="D83" s="713"/>
      <c r="E83" s="1128" t="s">
        <v>190</v>
      </c>
      <c r="F83" s="1347" t="s">
        <v>623</v>
      </c>
      <c r="G83" s="1347"/>
      <c r="H83" s="1374"/>
      <c r="I83" s="712"/>
      <c r="J83" s="202"/>
    </row>
    <row r="84" spans="1:12" ht="15">
      <c r="A84" s="229"/>
      <c r="B84" s="267"/>
      <c r="C84" s="270"/>
      <c r="D84" s="713"/>
      <c r="E84" s="1128" t="s">
        <v>190</v>
      </c>
      <c r="F84" s="1347" t="s">
        <v>624</v>
      </c>
      <c r="G84" s="1347"/>
      <c r="H84" s="1374"/>
      <c r="I84" s="712"/>
      <c r="J84" s="202"/>
    </row>
    <row r="85" spans="1:12" ht="12.75">
      <c r="A85" s="229"/>
      <c r="B85" s="267"/>
      <c r="C85" s="270"/>
      <c r="D85" s="1063" t="s">
        <v>190</v>
      </c>
      <c r="E85" s="1347" t="s">
        <v>625</v>
      </c>
      <c r="F85" s="1347"/>
      <c r="G85" s="1347"/>
      <c r="H85" s="1347"/>
      <c r="I85" s="712"/>
      <c r="J85" s="202"/>
    </row>
    <row r="86" spans="1:12" ht="15">
      <c r="A86" s="229"/>
      <c r="B86" s="267"/>
      <c r="C86" s="270"/>
      <c r="D86" s="713"/>
      <c r="E86" s="1128" t="s">
        <v>190</v>
      </c>
      <c r="F86" s="1347" t="s">
        <v>626</v>
      </c>
      <c r="G86" s="1347"/>
      <c r="H86" s="1374"/>
      <c r="I86" s="712"/>
      <c r="J86" s="202"/>
    </row>
    <row r="87" spans="1:12" ht="15">
      <c r="A87" s="229"/>
      <c r="B87" s="267"/>
      <c r="C87" s="270"/>
      <c r="D87" s="713"/>
      <c r="E87" s="1128" t="s">
        <v>190</v>
      </c>
      <c r="F87" s="1347" t="s">
        <v>620</v>
      </c>
      <c r="G87" s="1347"/>
      <c r="H87" s="1374"/>
      <c r="I87" s="712"/>
      <c r="J87" s="202"/>
    </row>
    <row r="88" spans="1:12" ht="15">
      <c r="A88" s="229"/>
      <c r="B88" s="267"/>
      <c r="C88" s="270"/>
      <c r="D88" s="713"/>
      <c r="E88" s="1347" t="s">
        <v>627</v>
      </c>
      <c r="F88" s="1347"/>
      <c r="G88" s="1347"/>
      <c r="H88" s="1347"/>
      <c r="I88" s="712"/>
      <c r="J88" s="202"/>
    </row>
    <row r="89" spans="1:12" ht="15">
      <c r="A89" s="229"/>
      <c r="B89" s="267"/>
      <c r="C89" s="270"/>
      <c r="D89" s="713"/>
      <c r="E89" s="1128" t="s">
        <v>190</v>
      </c>
      <c r="F89" s="1347" t="s">
        <v>628</v>
      </c>
      <c r="G89" s="1347"/>
      <c r="H89" s="1374"/>
      <c r="I89" s="712"/>
      <c r="J89" s="202"/>
    </row>
    <row r="90" spans="1:12" ht="12.75">
      <c r="A90" s="229"/>
      <c r="B90" s="267"/>
      <c r="C90" s="270"/>
      <c r="D90" s="1063" t="s">
        <v>190</v>
      </c>
      <c r="E90" s="1347" t="s">
        <v>629</v>
      </c>
      <c r="F90" s="1347"/>
      <c r="G90" s="1347"/>
      <c r="H90" s="1347"/>
      <c r="I90" s="712"/>
      <c r="J90" s="202"/>
    </row>
    <row r="91" spans="1:12" ht="26.65" customHeight="1">
      <c r="A91" s="229"/>
      <c r="B91" s="267"/>
      <c r="C91" s="270"/>
      <c r="D91" s="713"/>
      <c r="E91" s="1128" t="s">
        <v>190</v>
      </c>
      <c r="F91" s="1347" t="s">
        <v>816</v>
      </c>
      <c r="G91" s="1347"/>
      <c r="H91" s="1374"/>
      <c r="I91" s="712"/>
      <c r="J91" s="202"/>
    </row>
    <row r="92" spans="1:12" ht="15" customHeight="1">
      <c r="A92" s="229"/>
      <c r="B92" s="267"/>
      <c r="C92" s="270"/>
      <c r="D92" s="713"/>
      <c r="E92" s="1128" t="s">
        <v>190</v>
      </c>
      <c r="F92" s="1347" t="s">
        <v>817</v>
      </c>
      <c r="G92" s="1347"/>
      <c r="H92" s="1374"/>
      <c r="I92" s="712"/>
      <c r="J92" s="202"/>
    </row>
    <row r="93" spans="1:12" ht="15" customHeight="1">
      <c r="A93" s="229"/>
      <c r="B93" s="267"/>
      <c r="C93" s="270"/>
      <c r="D93" s="713"/>
      <c r="E93" s="1128" t="s">
        <v>190</v>
      </c>
      <c r="F93" s="1347" t="s">
        <v>630</v>
      </c>
      <c r="G93" s="1347"/>
      <c r="H93" s="1374"/>
      <c r="I93" s="712"/>
      <c r="J93" s="202"/>
    </row>
    <row r="94" spans="1:12" ht="26.65" customHeight="1">
      <c r="A94" s="229"/>
      <c r="B94" s="267"/>
      <c r="C94" s="270"/>
      <c r="D94" s="713"/>
      <c r="E94" s="1128" t="s">
        <v>190</v>
      </c>
      <c r="F94" s="1347" t="s">
        <v>631</v>
      </c>
      <c r="G94" s="1347"/>
      <c r="H94" s="1374"/>
      <c r="I94" s="712"/>
      <c r="J94" s="202"/>
    </row>
    <row r="95" spans="1:12" ht="18">
      <c r="B95" s="201"/>
      <c r="C95" s="1150" t="s">
        <v>229</v>
      </c>
      <c r="D95" s="1158"/>
      <c r="E95" s="1341" t="s">
        <v>632</v>
      </c>
      <c r="F95" s="1341"/>
      <c r="G95" s="1341"/>
      <c r="H95" s="400"/>
      <c r="I95" s="711">
        <v>2</v>
      </c>
      <c r="J95" s="401">
        <f>IF(L95,I95,0)</f>
        <v>2</v>
      </c>
      <c r="L95" s="197" t="b">
        <v>1</v>
      </c>
    </row>
    <row r="96" spans="1:12" ht="43.5" customHeight="1">
      <c r="B96" s="254"/>
      <c r="C96" s="271"/>
      <c r="D96" s="713"/>
      <c r="E96" s="1342" t="s">
        <v>494</v>
      </c>
      <c r="F96" s="1342"/>
      <c r="G96" s="1342"/>
      <c r="H96" s="354"/>
      <c r="I96" s="710"/>
      <c r="J96" s="202"/>
    </row>
    <row r="97" spans="1:12" ht="26.65" customHeight="1">
      <c r="A97" s="229"/>
      <c r="B97" s="267"/>
      <c r="C97" s="270"/>
      <c r="D97" s="713"/>
      <c r="E97" s="1347" t="s">
        <v>633</v>
      </c>
      <c r="F97" s="1347"/>
      <c r="G97" s="1347"/>
      <c r="H97" s="1347"/>
      <c r="I97" s="712"/>
      <c r="J97" s="202"/>
    </row>
    <row r="98" spans="1:12" ht="18">
      <c r="B98" s="201"/>
      <c r="C98" s="1150" t="s">
        <v>230</v>
      </c>
      <c r="D98" s="1156"/>
      <c r="E98" s="1341" t="s">
        <v>634</v>
      </c>
      <c r="F98" s="1341"/>
      <c r="G98" s="1341"/>
      <c r="H98" s="400"/>
      <c r="I98" s="711">
        <v>2</v>
      </c>
      <c r="J98" s="401">
        <f>IF(L98,I98,0)</f>
        <v>2</v>
      </c>
      <c r="L98" s="197" t="b">
        <v>1</v>
      </c>
    </row>
    <row r="99" spans="1:12" ht="16.5">
      <c r="B99" s="254"/>
      <c r="C99" s="271"/>
      <c r="D99" s="713"/>
      <c r="E99" s="1342" t="s">
        <v>783</v>
      </c>
      <c r="F99" s="1342"/>
      <c r="G99" s="1342"/>
      <c r="H99" s="354"/>
      <c r="I99" s="710"/>
      <c r="J99" s="202"/>
    </row>
    <row r="100" spans="1:12" ht="26.65" customHeight="1">
      <c r="A100" s="229"/>
      <c r="B100" s="267"/>
      <c r="C100" s="270"/>
      <c r="D100" s="713"/>
      <c r="E100" s="1347" t="s">
        <v>635</v>
      </c>
      <c r="F100" s="1347"/>
      <c r="G100" s="1347"/>
      <c r="H100" s="1347"/>
      <c r="I100" s="712"/>
      <c r="J100" s="202"/>
    </row>
    <row r="101" spans="1:12" ht="18">
      <c r="B101" s="201"/>
      <c r="C101" s="1150" t="s">
        <v>231</v>
      </c>
      <c r="D101" s="1158"/>
      <c r="E101" s="1341" t="s">
        <v>636</v>
      </c>
      <c r="F101" s="1341"/>
      <c r="G101" s="1341"/>
      <c r="H101" s="400"/>
      <c r="I101" s="711">
        <v>0.5</v>
      </c>
      <c r="J101" s="401">
        <f>IF(L101,I101,0)</f>
        <v>0.5</v>
      </c>
      <c r="L101" s="197" t="b">
        <v>1</v>
      </c>
    </row>
    <row r="102" spans="1:12" ht="16.5">
      <c r="B102" s="254"/>
      <c r="C102" s="271"/>
      <c r="D102" s="727"/>
      <c r="E102" s="1342"/>
      <c r="F102" s="1342"/>
      <c r="G102" s="1342"/>
      <c r="H102" s="354"/>
      <c r="I102" s="710"/>
      <c r="J102" s="202"/>
    </row>
    <row r="103" spans="1:12" ht="27" customHeight="1">
      <c r="A103" s="229"/>
      <c r="B103" s="267"/>
      <c r="C103" s="270"/>
      <c r="D103" s="713"/>
      <c r="E103" s="1347" t="s">
        <v>637</v>
      </c>
      <c r="F103" s="1347"/>
      <c r="G103" s="1347"/>
      <c r="H103" s="1347"/>
      <c r="I103" s="710"/>
      <c r="J103" s="202"/>
    </row>
    <row r="104" spans="1:12" ht="18">
      <c r="B104" s="201"/>
      <c r="C104" s="1150" t="s">
        <v>232</v>
      </c>
      <c r="D104" s="1156"/>
      <c r="E104" s="1341" t="s">
        <v>638</v>
      </c>
      <c r="F104" s="1341"/>
      <c r="G104" s="1341"/>
      <c r="H104" s="400"/>
      <c r="I104" s="711">
        <v>0.5</v>
      </c>
      <c r="J104" s="401">
        <f>IF(L104,I104,0)</f>
        <v>0.5</v>
      </c>
      <c r="L104" s="197" t="b">
        <v>1</v>
      </c>
    </row>
    <row r="105" spans="1:12" ht="16.5" customHeight="1">
      <c r="B105" s="254"/>
      <c r="C105" s="271"/>
      <c r="D105" s="713"/>
      <c r="E105" s="1342" t="s">
        <v>639</v>
      </c>
      <c r="F105" s="1342"/>
      <c r="G105" s="1342"/>
      <c r="H105" s="354"/>
      <c r="I105" s="710"/>
      <c r="J105" s="202"/>
    </row>
    <row r="106" spans="1:12" ht="12.75">
      <c r="A106" s="229"/>
      <c r="B106" s="267"/>
      <c r="C106" s="270"/>
      <c r="D106" s="1063"/>
      <c r="E106" s="1347" t="s">
        <v>640</v>
      </c>
      <c r="F106" s="1347"/>
      <c r="G106" s="1347"/>
      <c r="H106" s="1347"/>
      <c r="I106" s="712"/>
      <c r="J106" s="202"/>
    </row>
    <row r="107" spans="1:12" ht="15">
      <c r="A107" s="229"/>
      <c r="B107" s="267"/>
      <c r="C107" s="270"/>
      <c r="D107" s="713"/>
      <c r="E107" s="1128" t="s">
        <v>190</v>
      </c>
      <c r="F107" s="1347" t="s">
        <v>641</v>
      </c>
      <c r="G107" s="1347"/>
      <c r="H107" s="1374"/>
      <c r="I107" s="712"/>
      <c r="J107" s="202"/>
    </row>
    <row r="108" spans="1:12" ht="26.65" customHeight="1">
      <c r="A108" s="229"/>
      <c r="B108" s="267"/>
      <c r="C108" s="270"/>
      <c r="D108" s="713"/>
      <c r="E108" s="1128" t="s">
        <v>190</v>
      </c>
      <c r="F108" s="1347" t="s">
        <v>642</v>
      </c>
      <c r="G108" s="1347"/>
      <c r="H108" s="1374"/>
      <c r="I108" s="712"/>
      <c r="J108" s="202"/>
    </row>
    <row r="109" spans="1:12" ht="15" customHeight="1">
      <c r="A109" s="229"/>
      <c r="B109" s="267"/>
      <c r="C109" s="270"/>
      <c r="D109" s="713"/>
      <c r="E109" s="1128" t="s">
        <v>190</v>
      </c>
      <c r="F109" s="1347" t="s">
        <v>643</v>
      </c>
      <c r="G109" s="1347"/>
      <c r="H109" s="1374"/>
      <c r="I109" s="712"/>
      <c r="J109" s="202"/>
    </row>
    <row r="110" spans="1:12" ht="18">
      <c r="B110" s="201"/>
      <c r="C110" s="1150" t="s">
        <v>233</v>
      </c>
      <c r="D110" s="1156"/>
      <c r="E110" s="1341" t="s">
        <v>644</v>
      </c>
      <c r="F110" s="1341"/>
      <c r="G110" s="1341"/>
      <c r="H110" s="400"/>
      <c r="I110" s="711">
        <v>1</v>
      </c>
      <c r="J110" s="401">
        <f>IF(L110,I110,0)</f>
        <v>1</v>
      </c>
      <c r="L110" s="197" t="b">
        <v>1</v>
      </c>
    </row>
    <row r="111" spans="1:12" ht="16.5" customHeight="1">
      <c r="B111" s="254"/>
      <c r="C111" s="271"/>
      <c r="D111" s="713"/>
      <c r="E111" s="1342"/>
      <c r="F111" s="1342"/>
      <c r="G111" s="1342"/>
      <c r="H111" s="354"/>
      <c r="I111" s="710"/>
      <c r="J111" s="202"/>
    </row>
    <row r="112" spans="1:12" ht="15">
      <c r="A112" s="229"/>
      <c r="B112" s="267"/>
      <c r="C112" s="270"/>
      <c r="D112" s="714"/>
      <c r="E112" s="1346" t="s">
        <v>645</v>
      </c>
      <c r="F112" s="1347"/>
      <c r="G112" s="1347"/>
      <c r="H112" s="1347"/>
      <c r="I112" s="712"/>
      <c r="J112" s="202"/>
    </row>
    <row r="113" spans="1:13" ht="15">
      <c r="A113" s="229"/>
      <c r="B113" s="267"/>
      <c r="C113" s="270"/>
      <c r="D113" s="717"/>
      <c r="E113" s="1386" t="s">
        <v>646</v>
      </c>
      <c r="F113" s="1386"/>
      <c r="G113" s="1386"/>
      <c r="H113" s="1387"/>
      <c r="I113" s="701"/>
      <c r="J113" s="202"/>
    </row>
    <row r="114" spans="1:13" ht="18">
      <c r="B114" s="201"/>
      <c r="C114" s="1150" t="s">
        <v>234</v>
      </c>
      <c r="D114" s="1156" t="s">
        <v>10</v>
      </c>
      <c r="E114" s="1343" t="s">
        <v>782</v>
      </c>
      <c r="F114" s="1343"/>
      <c r="G114" s="1343"/>
      <c r="H114" s="400"/>
      <c r="I114" s="711">
        <v>0.5</v>
      </c>
      <c r="J114" s="401">
        <f>IF(L114,I114,0)</f>
        <v>0.5</v>
      </c>
      <c r="L114" s="197" t="b">
        <v>1</v>
      </c>
    </row>
    <row r="115" spans="1:13" ht="16.5">
      <c r="B115" s="254"/>
      <c r="C115" s="271"/>
      <c r="D115" s="713"/>
      <c r="E115" s="1342" t="s">
        <v>504</v>
      </c>
      <c r="F115" s="1342"/>
      <c r="G115" s="1342"/>
      <c r="H115" s="354"/>
      <c r="I115" s="710"/>
      <c r="J115" s="202"/>
    </row>
    <row r="116" spans="1:13" ht="26.65" customHeight="1">
      <c r="A116" s="229"/>
      <c r="B116" s="267"/>
      <c r="C116" s="270"/>
      <c r="D116" s="713"/>
      <c r="E116" s="1346" t="s">
        <v>647</v>
      </c>
      <c r="F116" s="1347"/>
      <c r="G116" s="1347"/>
      <c r="H116" s="1347"/>
      <c r="I116" s="710"/>
      <c r="J116" s="202"/>
    </row>
    <row r="117" spans="1:13" ht="18" customHeight="1">
      <c r="B117" s="201"/>
      <c r="C117" s="1150" t="s">
        <v>235</v>
      </c>
      <c r="D117" s="1156"/>
      <c r="E117" s="1343" t="s">
        <v>478</v>
      </c>
      <c r="F117" s="1343"/>
      <c r="G117" s="1343"/>
      <c r="H117" s="400"/>
      <c r="I117" s="711">
        <v>0.5</v>
      </c>
      <c r="J117" s="401">
        <f>IF(L117,I117,0)</f>
        <v>0.5</v>
      </c>
      <c r="L117" s="197" t="b">
        <v>1</v>
      </c>
    </row>
    <row r="118" spans="1:13" s="80" customFormat="1" ht="16.5" customHeight="1">
      <c r="A118" s="498"/>
      <c r="B118" s="173"/>
      <c r="C118" s="271"/>
      <c r="D118" s="713"/>
      <c r="E118" s="1342"/>
      <c r="F118" s="1342"/>
      <c r="G118" s="1342"/>
      <c r="H118" s="354"/>
      <c r="I118" s="710"/>
      <c r="J118" s="202"/>
      <c r="L118" s="81"/>
      <c r="M118" s="153"/>
    </row>
    <row r="119" spans="1:13" ht="26.65" customHeight="1" thickBot="1">
      <c r="A119" s="229"/>
      <c r="B119" s="267"/>
      <c r="C119" s="270"/>
      <c r="D119" s="714"/>
      <c r="E119" s="1346" t="s">
        <v>648</v>
      </c>
      <c r="F119" s="1347"/>
      <c r="G119" s="1347"/>
      <c r="H119" s="1347"/>
      <c r="I119" s="710"/>
      <c r="J119" s="202"/>
    </row>
    <row r="120" spans="1:13" ht="22.7" customHeight="1" thickBot="1">
      <c r="B120" s="1382" t="s">
        <v>612</v>
      </c>
      <c r="C120" s="1383"/>
      <c r="D120" s="1383"/>
      <c r="E120" s="1383"/>
      <c r="F120" s="1383"/>
      <c r="G120" s="1383"/>
      <c r="H120" s="1383"/>
      <c r="I120" s="503">
        <f>IF(Projektgrundlagen!I21,SUM(I69:I119),0)</f>
        <v>15</v>
      </c>
      <c r="J120" s="504">
        <f>IF(Projektgrundlagen!I21,SUMIF(L69:L119,TRUE,J69:J119),0)</f>
        <v>15</v>
      </c>
    </row>
    <row r="121" spans="1:13" ht="7.5" customHeight="1"/>
    <row r="122" spans="1:13" ht="22.7" customHeight="1">
      <c r="B122" s="506" t="s">
        <v>195</v>
      </c>
      <c r="C122" s="507"/>
      <c r="D122" s="507"/>
      <c r="E122" s="507"/>
      <c r="F122" s="507"/>
      <c r="G122" s="513"/>
      <c r="H122" s="513"/>
      <c r="I122" s="511"/>
      <c r="J122" s="512"/>
    </row>
    <row r="123" spans="1:13" ht="18">
      <c r="B123" s="201"/>
      <c r="C123" s="1150" t="s">
        <v>225</v>
      </c>
      <c r="D123" s="1161"/>
      <c r="E123" s="1345" t="s">
        <v>555</v>
      </c>
      <c r="F123" s="1345"/>
      <c r="G123" s="1345"/>
      <c r="H123" s="400"/>
      <c r="I123" s="709">
        <v>20</v>
      </c>
      <c r="J123" s="401">
        <f>IF(AND(L123,$L$13),(IF(L127,I127,0))+(IF(L144,I144,0))+(IF(L147,I147,0)),IF(AND(L123,NOT($L$13)),I123,0))</f>
        <v>0</v>
      </c>
      <c r="L123" s="197" t="b">
        <v>0</v>
      </c>
    </row>
    <row r="124" spans="1:13" ht="30" customHeight="1">
      <c r="B124" s="254"/>
      <c r="C124" s="271"/>
      <c r="D124" s="727"/>
      <c r="E124" s="1342" t="s">
        <v>507</v>
      </c>
      <c r="F124" s="1342"/>
      <c r="G124" s="1342"/>
      <c r="H124" s="354"/>
      <c r="I124" s="710"/>
      <c r="J124" s="202"/>
    </row>
    <row r="125" spans="1:13" ht="15">
      <c r="A125" s="229"/>
      <c r="B125" s="267"/>
      <c r="C125" s="270"/>
      <c r="D125" s="713"/>
      <c r="E125" s="1344" t="s">
        <v>650</v>
      </c>
      <c r="F125" s="1344"/>
      <c r="G125" s="1344"/>
      <c r="H125" s="1344"/>
      <c r="I125" s="712"/>
      <c r="J125" s="202"/>
    </row>
    <row r="126" spans="1:13" ht="15" customHeight="1">
      <c r="A126" s="229"/>
      <c r="B126" s="267"/>
      <c r="C126" s="270"/>
      <c r="D126" s="713"/>
      <c r="E126" s="1397" t="s">
        <v>916</v>
      </c>
      <c r="F126" s="1344"/>
      <c r="G126" s="1344"/>
      <c r="H126" s="1344"/>
      <c r="I126" s="712"/>
      <c r="J126" s="202"/>
    </row>
    <row r="127" spans="1:13" ht="15.6" customHeight="1">
      <c r="A127" s="229"/>
      <c r="B127" s="267"/>
      <c r="C127" s="270"/>
      <c r="D127" s="879"/>
      <c r="E127" s="1344" t="s">
        <v>927</v>
      </c>
      <c r="F127" s="1344"/>
      <c r="G127" s="1344"/>
      <c r="H127" s="1374"/>
      <c r="I127" s="1221">
        <v>12</v>
      </c>
      <c r="J127" s="202"/>
      <c r="L127" s="197" t="b">
        <v>0</v>
      </c>
    </row>
    <row r="128" spans="1:13" ht="48.6" customHeight="1">
      <c r="A128" s="229"/>
      <c r="B128" s="267"/>
      <c r="C128" s="270"/>
      <c r="D128" s="713"/>
      <c r="E128" s="1344" t="s">
        <v>917</v>
      </c>
      <c r="F128" s="1344"/>
      <c r="G128" s="1344"/>
      <c r="H128" s="1374"/>
      <c r="I128" s="712"/>
      <c r="J128" s="202"/>
    </row>
    <row r="129" spans="1:12" ht="15">
      <c r="A129" s="229"/>
      <c r="B129" s="267"/>
      <c r="C129" s="270"/>
      <c r="D129" s="713"/>
      <c r="E129" s="1219"/>
      <c r="F129" s="1207" t="s">
        <v>918</v>
      </c>
      <c r="G129" s="1202"/>
      <c r="H129" s="1202"/>
      <c r="I129" s="712"/>
      <c r="J129" s="202"/>
      <c r="L129" s="197" t="b">
        <v>0</v>
      </c>
    </row>
    <row r="130" spans="1:12" ht="15">
      <c r="A130" s="229"/>
      <c r="B130" s="267"/>
      <c r="C130" s="270"/>
      <c r="D130" s="713"/>
      <c r="E130" s="1216"/>
      <c r="F130" s="1207" t="s">
        <v>919</v>
      </c>
      <c r="G130" s="1202"/>
      <c r="H130" s="1202"/>
      <c r="I130" s="712"/>
      <c r="J130" s="202"/>
      <c r="L130" s="197" t="b">
        <v>0</v>
      </c>
    </row>
    <row r="131" spans="1:12" ht="15">
      <c r="A131" s="229"/>
      <c r="B131" s="267"/>
      <c r="C131" s="270"/>
      <c r="D131" s="713"/>
      <c r="E131" s="1218"/>
      <c r="F131" s="1202"/>
      <c r="G131" s="1202"/>
      <c r="H131" s="1202"/>
      <c r="I131" s="712"/>
      <c r="J131" s="202"/>
    </row>
    <row r="132" spans="1:12" ht="15">
      <c r="A132" s="229"/>
      <c r="B132" s="267"/>
      <c r="C132" s="270"/>
      <c r="D132" s="713"/>
      <c r="E132" s="1216"/>
      <c r="F132" s="1207" t="s">
        <v>920</v>
      </c>
      <c r="G132" s="1202"/>
      <c r="H132" s="1202"/>
      <c r="I132" s="712"/>
      <c r="J132" s="202"/>
    </row>
    <row r="133" spans="1:12" ht="15">
      <c r="A133" s="229"/>
      <c r="B133" s="267"/>
      <c r="C133" s="270"/>
      <c r="D133" s="713"/>
      <c r="E133" s="1216"/>
      <c r="F133" s="1207" t="s">
        <v>921</v>
      </c>
      <c r="G133" s="1202"/>
      <c r="H133" s="1202"/>
      <c r="I133" s="712"/>
      <c r="J133" s="202"/>
    </row>
    <row r="134" spans="1:12" ht="15">
      <c r="A134" s="229"/>
      <c r="B134" s="267"/>
      <c r="C134" s="270"/>
      <c r="D134" s="713"/>
      <c r="E134" s="1216"/>
      <c r="F134" s="1207" t="s">
        <v>922</v>
      </c>
      <c r="G134" s="1202"/>
      <c r="H134" s="1202"/>
      <c r="I134" s="712"/>
      <c r="J134" s="202"/>
    </row>
    <row r="135" spans="1:12" ht="9" customHeight="1">
      <c r="A135" s="229"/>
      <c r="B135" s="267"/>
      <c r="C135" s="270"/>
      <c r="D135" s="713"/>
      <c r="E135" s="1202"/>
      <c r="F135" s="1202"/>
      <c r="G135" s="1202"/>
      <c r="H135" s="1202"/>
      <c r="I135" s="712"/>
      <c r="J135" s="202"/>
    </row>
    <row r="136" spans="1:12" ht="15" customHeight="1">
      <c r="A136" s="229"/>
      <c r="B136" s="267"/>
      <c r="C136" s="270"/>
      <c r="D136" s="713"/>
      <c r="E136" s="1344" t="s">
        <v>923</v>
      </c>
      <c r="F136" s="1344"/>
      <c r="G136" s="1344"/>
      <c r="H136" s="1374"/>
      <c r="I136" s="712"/>
      <c r="J136" s="202"/>
    </row>
    <row r="137" spans="1:12" ht="15">
      <c r="A137" s="229"/>
      <c r="B137" s="267"/>
      <c r="C137" s="270"/>
      <c r="D137" s="713"/>
      <c r="E137" s="1219"/>
      <c r="F137" s="1207" t="s">
        <v>924</v>
      </c>
      <c r="G137" s="1202"/>
      <c r="H137" s="1202"/>
      <c r="I137" s="712"/>
      <c r="J137" s="202"/>
      <c r="L137" s="197" t="b">
        <v>0</v>
      </c>
    </row>
    <row r="138" spans="1:12" ht="9" customHeight="1">
      <c r="A138" s="229"/>
      <c r="B138" s="267"/>
      <c r="C138" s="270"/>
      <c r="D138" s="713"/>
      <c r="E138" s="1202"/>
      <c r="F138" s="1202"/>
      <c r="G138" s="1202"/>
      <c r="H138" s="1202"/>
      <c r="I138" s="712"/>
      <c r="J138" s="202"/>
    </row>
    <row r="139" spans="1:12" ht="24" customHeight="1">
      <c r="A139" s="229"/>
      <c r="B139" s="267"/>
      <c r="C139" s="270"/>
      <c r="D139" s="713"/>
      <c r="E139" s="1344" t="s">
        <v>925</v>
      </c>
      <c r="F139" s="1344"/>
      <c r="G139" s="1344"/>
      <c r="H139" s="1374"/>
      <c r="I139" s="712"/>
      <c r="J139" s="202"/>
    </row>
    <row r="140" spans="1:12" ht="15">
      <c r="A140" s="229"/>
      <c r="B140" s="267"/>
      <c r="C140" s="270"/>
      <c r="D140" s="713"/>
      <c r="E140" s="1219"/>
      <c r="F140" s="1207" t="s">
        <v>926</v>
      </c>
      <c r="G140" s="1202"/>
      <c r="H140" s="1202"/>
      <c r="I140" s="712"/>
      <c r="J140" s="202"/>
      <c r="L140" s="197" t="b">
        <v>0</v>
      </c>
    </row>
    <row r="141" spans="1:12" ht="15">
      <c r="A141" s="229"/>
      <c r="B141" s="267"/>
      <c r="C141" s="270"/>
      <c r="D141" s="713"/>
      <c r="E141" s="1216"/>
      <c r="F141" s="1207" t="s">
        <v>625</v>
      </c>
      <c r="G141" s="1202"/>
      <c r="H141" s="1202"/>
      <c r="I141" s="712"/>
      <c r="J141" s="202"/>
      <c r="L141" s="197" t="b">
        <v>0</v>
      </c>
    </row>
    <row r="142" spans="1:12" ht="15">
      <c r="A142" s="229"/>
      <c r="B142" s="267"/>
      <c r="C142" s="270"/>
      <c r="D142" s="713"/>
      <c r="E142" s="1216"/>
      <c r="F142" s="1207" t="s">
        <v>629</v>
      </c>
      <c r="G142" s="1202"/>
      <c r="H142" s="1202"/>
      <c r="I142" s="712"/>
      <c r="J142" s="202"/>
      <c r="L142" s="197" t="b">
        <v>0</v>
      </c>
    </row>
    <row r="143" spans="1:12" ht="9" customHeight="1">
      <c r="A143" s="229"/>
      <c r="B143" s="267"/>
      <c r="C143" s="270"/>
      <c r="D143" s="713"/>
      <c r="E143" s="1217"/>
      <c r="F143" s="1202"/>
      <c r="G143" s="1202"/>
      <c r="H143" s="1202"/>
      <c r="I143" s="712"/>
      <c r="J143" s="202"/>
    </row>
    <row r="144" spans="1:12" ht="15.6" customHeight="1">
      <c r="A144" s="229"/>
      <c r="B144" s="267"/>
      <c r="C144" s="270"/>
      <c r="D144" s="879"/>
      <c r="E144" s="1344" t="s">
        <v>929</v>
      </c>
      <c r="F144" s="1344"/>
      <c r="G144" s="1344"/>
      <c r="H144" s="1374"/>
      <c r="I144" s="1221">
        <v>7</v>
      </c>
      <c r="J144" s="202"/>
      <c r="L144" s="197" t="b">
        <v>0</v>
      </c>
    </row>
    <row r="145" spans="1:13" ht="75.599999999999994" customHeight="1">
      <c r="A145" s="229"/>
      <c r="B145" s="267"/>
      <c r="C145" s="270"/>
      <c r="D145" s="713"/>
      <c r="E145" s="1344" t="s">
        <v>928</v>
      </c>
      <c r="F145" s="1344"/>
      <c r="G145" s="1344"/>
      <c r="H145" s="1374"/>
      <c r="I145" s="712"/>
      <c r="J145" s="202"/>
    </row>
    <row r="146" spans="1:13" ht="9" customHeight="1">
      <c r="A146" s="229"/>
      <c r="B146" s="267"/>
      <c r="C146" s="270"/>
      <c r="D146" s="713"/>
      <c r="E146" s="1344"/>
      <c r="F146" s="1344"/>
      <c r="G146" s="1344"/>
      <c r="H146" s="1374"/>
      <c r="I146" s="712"/>
      <c r="J146" s="202"/>
    </row>
    <row r="147" spans="1:13" ht="15.6" customHeight="1">
      <c r="A147" s="229"/>
      <c r="B147" s="267"/>
      <c r="C147" s="270"/>
      <c r="D147" s="879"/>
      <c r="E147" s="1344" t="s">
        <v>930</v>
      </c>
      <c r="F147" s="1344"/>
      <c r="G147" s="1344"/>
      <c r="H147" s="1374"/>
      <c r="I147" s="1221">
        <v>1</v>
      </c>
      <c r="J147" s="202"/>
      <c r="L147" s="197" t="b">
        <v>0</v>
      </c>
    </row>
    <row r="148" spans="1:13" ht="15" customHeight="1">
      <c r="A148" s="229"/>
      <c r="B148" s="267"/>
      <c r="C148" s="270"/>
      <c r="D148" s="713"/>
      <c r="E148" s="1344" t="s">
        <v>931</v>
      </c>
      <c r="F148" s="1344"/>
      <c r="G148" s="1344"/>
      <c r="H148" s="1374"/>
      <c r="I148" s="712"/>
      <c r="J148" s="202"/>
    </row>
    <row r="149" spans="1:13" ht="18">
      <c r="B149" s="201"/>
      <c r="C149" s="1150" t="s">
        <v>228</v>
      </c>
      <c r="D149" s="1158" t="s">
        <v>10</v>
      </c>
      <c r="E149" s="1341" t="s">
        <v>651</v>
      </c>
      <c r="F149" s="1341"/>
      <c r="G149" s="1341"/>
      <c r="H149" s="1220"/>
      <c r="I149" s="711">
        <v>5</v>
      </c>
      <c r="J149" s="401">
        <f>IF(L149,I149,0)</f>
        <v>0</v>
      </c>
      <c r="L149" s="197" t="b">
        <v>0</v>
      </c>
    </row>
    <row r="150" spans="1:13" ht="16.5">
      <c r="B150" s="254"/>
      <c r="C150" s="271"/>
      <c r="D150" s="713"/>
      <c r="E150" s="1342"/>
      <c r="F150" s="1342"/>
      <c r="G150" s="1342"/>
      <c r="H150" s="354"/>
      <c r="I150" s="710"/>
      <c r="J150" s="202"/>
    </row>
    <row r="151" spans="1:13" ht="15">
      <c r="A151" s="229"/>
      <c r="B151" s="267"/>
      <c r="C151" s="270"/>
      <c r="D151" s="714"/>
      <c r="E151" s="1348" t="s">
        <v>652</v>
      </c>
      <c r="F151" s="1348"/>
      <c r="G151" s="1348"/>
      <c r="H151" s="1348"/>
      <c r="I151" s="710"/>
      <c r="J151" s="202"/>
    </row>
    <row r="152" spans="1:13" ht="18">
      <c r="B152" s="201"/>
      <c r="C152" s="1150" t="s">
        <v>229</v>
      </c>
      <c r="D152" s="1158"/>
      <c r="E152" s="1341" t="s">
        <v>510</v>
      </c>
      <c r="F152" s="1341"/>
      <c r="G152" s="1341"/>
      <c r="H152" s="400"/>
      <c r="I152" s="711">
        <v>2</v>
      </c>
      <c r="J152" s="401">
        <f>IF(L152,I152,0)</f>
        <v>0</v>
      </c>
      <c r="L152" s="197" t="b">
        <v>0</v>
      </c>
    </row>
    <row r="153" spans="1:13" ht="42" customHeight="1">
      <c r="B153" s="254"/>
      <c r="C153" s="271"/>
      <c r="D153" s="713"/>
      <c r="E153" s="1342" t="s">
        <v>653</v>
      </c>
      <c r="F153" s="1342"/>
      <c r="G153" s="1342"/>
      <c r="H153" s="354"/>
      <c r="I153" s="710"/>
      <c r="J153" s="202"/>
    </row>
    <row r="154" spans="1:13" ht="25.9" customHeight="1">
      <c r="A154" s="229"/>
      <c r="B154" s="267"/>
      <c r="C154" s="270"/>
      <c r="D154" s="713"/>
      <c r="E154" s="1347" t="s">
        <v>654</v>
      </c>
      <c r="F154" s="1347"/>
      <c r="G154" s="1347"/>
      <c r="H154" s="1347"/>
      <c r="I154" s="710"/>
      <c r="J154" s="202"/>
    </row>
    <row r="155" spans="1:13" ht="12.75">
      <c r="A155" s="229"/>
      <c r="B155" s="267"/>
      <c r="C155" s="270"/>
      <c r="D155" s="1063"/>
      <c r="E155" s="1347" t="s">
        <v>655</v>
      </c>
      <c r="F155" s="1347"/>
      <c r="G155" s="1347"/>
      <c r="H155" s="1347"/>
      <c r="I155" s="712"/>
      <c r="J155" s="202"/>
    </row>
    <row r="156" spans="1:13" ht="25.9" customHeight="1">
      <c r="A156" s="229"/>
      <c r="B156" s="267"/>
      <c r="C156" s="270"/>
      <c r="D156" s="713"/>
      <c r="E156" s="1128" t="s">
        <v>190</v>
      </c>
      <c r="F156" s="1347" t="s">
        <v>656</v>
      </c>
      <c r="G156" s="1347"/>
      <c r="H156" s="1374"/>
      <c r="I156" s="712"/>
      <c r="J156" s="202"/>
    </row>
    <row r="157" spans="1:13" ht="15">
      <c r="A157" s="229"/>
      <c r="B157" s="267"/>
      <c r="C157" s="270"/>
      <c r="D157" s="713"/>
      <c r="E157" s="1128" t="s">
        <v>190</v>
      </c>
      <c r="F157" s="1347" t="s">
        <v>657</v>
      </c>
      <c r="G157" s="1347"/>
      <c r="H157" s="1374"/>
      <c r="I157" s="712"/>
      <c r="J157" s="202"/>
    </row>
    <row r="158" spans="1:13" ht="15" customHeight="1">
      <c r="A158" s="229"/>
      <c r="B158" s="267"/>
      <c r="C158" s="270"/>
      <c r="D158" s="713"/>
      <c r="E158" s="1128" t="s">
        <v>190</v>
      </c>
      <c r="F158" s="1347" t="s">
        <v>658</v>
      </c>
      <c r="G158" s="1347"/>
      <c r="H158" s="1374"/>
      <c r="I158" s="712"/>
      <c r="J158" s="202"/>
    </row>
    <row r="159" spans="1:13" ht="18">
      <c r="B159" s="879"/>
      <c r="C159" s="1150" t="s">
        <v>230</v>
      </c>
      <c r="D159" s="1158"/>
      <c r="E159" s="1341" t="s">
        <v>964</v>
      </c>
      <c r="F159" s="1341"/>
      <c r="G159" s="1341"/>
      <c r="H159" s="400"/>
      <c r="I159" s="711">
        <v>1</v>
      </c>
      <c r="J159" s="401">
        <f>IF(L159,I159,0)</f>
        <v>0</v>
      </c>
      <c r="L159" s="197" t="b">
        <v>0</v>
      </c>
    </row>
    <row r="160" spans="1:13" s="80" customFormat="1" ht="16.5" customHeight="1">
      <c r="A160" s="498"/>
      <c r="B160" s="173"/>
      <c r="C160" s="271"/>
      <c r="D160" s="727"/>
      <c r="E160" s="1342" t="s">
        <v>965</v>
      </c>
      <c r="F160" s="1342"/>
      <c r="G160" s="1342"/>
      <c r="H160" s="354"/>
      <c r="I160" s="710"/>
      <c r="J160" s="202"/>
      <c r="L160" s="81"/>
      <c r="M160" s="153"/>
    </row>
    <row r="161" spans="1:12" ht="15">
      <c r="A161" s="229"/>
      <c r="B161" s="267"/>
      <c r="C161" s="270"/>
      <c r="D161" s="714"/>
      <c r="E161" s="1346" t="s">
        <v>660</v>
      </c>
      <c r="F161" s="1347"/>
      <c r="G161" s="1347"/>
      <c r="H161" s="1347"/>
      <c r="I161" s="712"/>
      <c r="J161" s="202"/>
    </row>
    <row r="162" spans="1:12" ht="35.450000000000003" customHeight="1">
      <c r="A162" s="229"/>
      <c r="B162" s="267"/>
      <c r="C162" s="270"/>
      <c r="D162" s="714"/>
      <c r="E162" s="1344" t="s">
        <v>932</v>
      </c>
      <c r="F162" s="1344"/>
      <c r="G162" s="1344"/>
      <c r="H162" s="1374"/>
      <c r="I162" s="712"/>
      <c r="J162" s="202"/>
    </row>
    <row r="163" spans="1:12" ht="18">
      <c r="B163" s="201"/>
      <c r="C163" s="1150" t="s">
        <v>231</v>
      </c>
      <c r="D163" s="1158"/>
      <c r="E163" s="1341" t="s">
        <v>659</v>
      </c>
      <c r="F163" s="1341"/>
      <c r="G163" s="1341"/>
      <c r="H163" s="400"/>
      <c r="I163" s="711">
        <v>1</v>
      </c>
      <c r="J163" s="401">
        <f>IF(L163,I163,0)</f>
        <v>0</v>
      </c>
      <c r="L163" s="197" t="b">
        <v>0</v>
      </c>
    </row>
    <row r="164" spans="1:12" ht="16.5" customHeight="1">
      <c r="B164" s="254"/>
      <c r="C164" s="271"/>
      <c r="D164" s="727"/>
      <c r="E164" s="1342"/>
      <c r="F164" s="1342"/>
      <c r="G164" s="1342"/>
      <c r="H164" s="354"/>
      <c r="I164" s="710"/>
      <c r="J164" s="202"/>
    </row>
    <row r="165" spans="1:12" ht="15" customHeight="1">
      <c r="A165" s="229"/>
      <c r="B165" s="267"/>
      <c r="C165" s="270"/>
      <c r="D165" s="713"/>
      <c r="E165" s="1344" t="s">
        <v>661</v>
      </c>
      <c r="F165" s="1344"/>
      <c r="G165" s="1344"/>
      <c r="H165" s="1344"/>
      <c r="I165" s="710"/>
      <c r="J165" s="202"/>
    </row>
    <row r="166" spans="1:12" ht="28.15" customHeight="1">
      <c r="A166" s="229"/>
      <c r="B166" s="267"/>
      <c r="C166" s="270"/>
      <c r="D166" s="713"/>
      <c r="E166" s="1344" t="s">
        <v>933</v>
      </c>
      <c r="F166" s="1344"/>
      <c r="G166" s="1344"/>
      <c r="H166" s="1374"/>
      <c r="I166" s="710"/>
      <c r="J166" s="202"/>
    </row>
    <row r="167" spans="1:12" ht="18">
      <c r="B167" s="201"/>
      <c r="C167" s="1162" t="s">
        <v>232</v>
      </c>
      <c r="D167" s="1158"/>
      <c r="E167" s="1341" t="s">
        <v>662</v>
      </c>
      <c r="F167" s="1341"/>
      <c r="G167" s="1341"/>
      <c r="H167" s="400"/>
      <c r="I167" s="711">
        <v>1</v>
      </c>
      <c r="J167" s="401">
        <f>IF(L167,I167,0)</f>
        <v>0</v>
      </c>
      <c r="L167" s="197" t="b">
        <v>0</v>
      </c>
    </row>
    <row r="168" spans="1:12" ht="16.5" customHeight="1">
      <c r="B168" s="254"/>
      <c r="C168" s="271"/>
      <c r="D168" s="727"/>
      <c r="E168" s="1342"/>
      <c r="F168" s="1342"/>
      <c r="G168" s="1342"/>
      <c r="H168" s="354"/>
      <c r="I168" s="710"/>
      <c r="J168" s="202"/>
    </row>
    <row r="169" spans="1:12" ht="15">
      <c r="A169" s="229"/>
      <c r="B169" s="267"/>
      <c r="C169" s="270"/>
      <c r="D169" s="713"/>
      <c r="E169" s="1344" t="s">
        <v>663</v>
      </c>
      <c r="F169" s="1344"/>
      <c r="G169" s="1344"/>
      <c r="H169" s="1344"/>
      <c r="I169" s="710"/>
      <c r="J169" s="202"/>
    </row>
    <row r="170" spans="1:12" ht="15" customHeight="1">
      <c r="A170" s="229"/>
      <c r="B170" s="267"/>
      <c r="C170" s="270"/>
      <c r="D170" s="713"/>
      <c r="E170" s="1344" t="s">
        <v>664</v>
      </c>
      <c r="F170" s="1344"/>
      <c r="G170" s="1344"/>
      <c r="H170" s="1344"/>
      <c r="I170" s="710"/>
      <c r="J170" s="202"/>
    </row>
    <row r="171" spans="1:12" ht="37.9" customHeight="1" thickBot="1">
      <c r="A171" s="229"/>
      <c r="B171" s="267"/>
      <c r="C171" s="270"/>
      <c r="D171" s="713"/>
      <c r="E171" s="1344" t="s">
        <v>934</v>
      </c>
      <c r="F171" s="1344"/>
      <c r="G171" s="1344"/>
      <c r="H171" s="1374"/>
      <c r="I171" s="710"/>
      <c r="J171" s="202"/>
    </row>
    <row r="172" spans="1:12" ht="22.7" customHeight="1" thickBot="1">
      <c r="B172" s="1382" t="s">
        <v>649</v>
      </c>
      <c r="C172" s="1383"/>
      <c r="D172" s="1383"/>
      <c r="E172" s="1383"/>
      <c r="F172" s="1383"/>
      <c r="G172" s="1383"/>
      <c r="H172" s="1384"/>
      <c r="I172" s="505">
        <f>IF(Projektgrundlagen!I21,SUM(I123:I168),0)</f>
        <v>50</v>
      </c>
      <c r="J172" s="504">
        <f>IF(Projektgrundlagen!I21,SUMIF(L123:L168,TRUE,J123:J168),0)</f>
        <v>0</v>
      </c>
    </row>
    <row r="173" spans="1:12" ht="7.5" customHeight="1"/>
    <row r="174" spans="1:12" ht="22.7" customHeight="1">
      <c r="B174" s="506" t="s">
        <v>196</v>
      </c>
      <c r="C174" s="507"/>
      <c r="D174" s="507"/>
      <c r="E174" s="507"/>
      <c r="F174" s="507"/>
      <c r="G174" s="513"/>
      <c r="H174" s="513"/>
      <c r="I174" s="508"/>
      <c r="J174" s="514"/>
    </row>
    <row r="175" spans="1:12" ht="18" customHeight="1">
      <c r="B175" s="206"/>
      <c r="C175" s="1150" t="s">
        <v>225</v>
      </c>
      <c r="D175" s="1158"/>
      <c r="E175" s="1343" t="s">
        <v>517</v>
      </c>
      <c r="F175" s="1343"/>
      <c r="G175" s="1343"/>
      <c r="H175" s="400"/>
      <c r="I175" s="711">
        <v>10</v>
      </c>
      <c r="J175" s="1087">
        <f>IF(L175,IF(AND(L15,'B HZone'!K12,'B HZone'!I13&gt;=3,'B HZone'!I13&lt;=5),13,I175),0)</f>
        <v>0</v>
      </c>
      <c r="L175" s="197" t="b">
        <v>0</v>
      </c>
    </row>
    <row r="176" spans="1:12" ht="16.5" customHeight="1">
      <c r="B176" s="254"/>
      <c r="C176" s="271"/>
      <c r="D176" s="727"/>
      <c r="E176" s="1342" t="s">
        <v>809</v>
      </c>
      <c r="F176" s="1342"/>
      <c r="G176" s="1342"/>
      <c r="H176" s="354"/>
      <c r="I176" s="710"/>
      <c r="J176" s="202"/>
    </row>
    <row r="177" spans="1:12" ht="25.5" customHeight="1">
      <c r="B177" s="267"/>
      <c r="C177" s="271"/>
      <c r="D177" s="727"/>
      <c r="E177" s="1388" t="s">
        <v>685</v>
      </c>
      <c r="F177" s="1388"/>
      <c r="G177" s="1388"/>
      <c r="H177" s="1389"/>
      <c r="I177" s="710"/>
      <c r="J177" s="202"/>
    </row>
    <row r="178" spans="1:12" ht="47.45" customHeight="1">
      <c r="A178" s="229"/>
      <c r="B178" s="267"/>
      <c r="C178" s="230"/>
      <c r="D178" s="714"/>
      <c r="E178" s="1347" t="s">
        <v>686</v>
      </c>
      <c r="F178" s="1347"/>
      <c r="G178" s="1347"/>
      <c r="H178" s="1347"/>
      <c r="I178" s="728"/>
      <c r="J178" s="272"/>
    </row>
    <row r="179" spans="1:12" ht="47.45" customHeight="1">
      <c r="A179" s="229"/>
      <c r="B179" s="267"/>
      <c r="C179" s="230"/>
      <c r="D179" s="714"/>
      <c r="E179" s="1347" t="s">
        <v>687</v>
      </c>
      <c r="F179" s="1347"/>
      <c r="G179" s="1347"/>
      <c r="H179" s="1347"/>
      <c r="I179" s="728"/>
      <c r="J179" s="272"/>
    </row>
    <row r="180" spans="1:12" ht="18">
      <c r="B180" s="201"/>
      <c r="C180" s="1150" t="s">
        <v>228</v>
      </c>
      <c r="D180" s="1158"/>
      <c r="E180" s="1341" t="s">
        <v>518</v>
      </c>
      <c r="F180" s="1341"/>
      <c r="G180" s="1341"/>
      <c r="H180" s="400"/>
      <c r="I180" s="711">
        <v>10</v>
      </c>
      <c r="J180" s="401">
        <f>IF(L15,0,IF(L180,(IF(OR(L175,L184,L193,L197),I180,20)),0))</f>
        <v>0</v>
      </c>
      <c r="L180" s="197" t="b">
        <v>0</v>
      </c>
    </row>
    <row r="181" spans="1:12" ht="16.5">
      <c r="B181" s="254"/>
      <c r="C181" s="271"/>
      <c r="D181" s="727"/>
      <c r="E181" s="1342" t="s">
        <v>810</v>
      </c>
      <c r="F181" s="1342"/>
      <c r="G181" s="1342"/>
      <c r="H181" s="354"/>
      <c r="I181" s="710"/>
      <c r="J181" s="202"/>
    </row>
    <row r="182" spans="1:12" ht="27.75" customHeight="1">
      <c r="B182" s="267"/>
      <c r="C182" s="271"/>
      <c r="D182" s="727"/>
      <c r="E182" s="1388" t="s">
        <v>688</v>
      </c>
      <c r="F182" s="1388"/>
      <c r="G182" s="1388"/>
      <c r="H182" s="1389"/>
      <c r="I182" s="710"/>
      <c r="J182" s="202"/>
    </row>
    <row r="183" spans="1:12" ht="26.45" customHeight="1">
      <c r="A183" s="229"/>
      <c r="B183" s="267"/>
      <c r="C183" s="230"/>
      <c r="D183" s="714"/>
      <c r="E183" s="1347" t="s">
        <v>689</v>
      </c>
      <c r="F183" s="1347"/>
      <c r="G183" s="1347"/>
      <c r="H183" s="1347"/>
      <c r="I183" s="728"/>
      <c r="J183" s="272"/>
    </row>
    <row r="184" spans="1:12" ht="18">
      <c r="B184" s="201"/>
      <c r="C184" s="1150" t="s">
        <v>229</v>
      </c>
      <c r="D184" s="1158"/>
      <c r="E184" s="1341" t="s">
        <v>519</v>
      </c>
      <c r="F184" s="1341"/>
      <c r="G184" s="1341"/>
      <c r="H184" s="400"/>
      <c r="I184" s="711">
        <v>15</v>
      </c>
      <c r="J184" s="401">
        <f>IF(L184,IF(AND(L15,L16),I184,IF(AND(L15,'B HZone'!K12,'B HZone'!I13&gt;=3,'B HZone'!I13&lt;=5),20,IF(L16,18,I184))),0)</f>
        <v>0</v>
      </c>
      <c r="L184" s="197" t="b">
        <v>0</v>
      </c>
    </row>
    <row r="185" spans="1:12" ht="30" customHeight="1">
      <c r="B185" s="254"/>
      <c r="C185" s="271"/>
      <c r="D185" s="727"/>
      <c r="E185" s="1342" t="s">
        <v>811</v>
      </c>
      <c r="F185" s="1342"/>
      <c r="G185" s="1342"/>
      <c r="H185" s="354"/>
      <c r="I185" s="710"/>
      <c r="J185" s="202"/>
    </row>
    <row r="186" spans="1:12" ht="50.25" customHeight="1">
      <c r="B186" s="267"/>
      <c r="C186" s="271"/>
      <c r="D186" s="727"/>
      <c r="E186" s="1388" t="s">
        <v>690</v>
      </c>
      <c r="F186" s="1388"/>
      <c r="G186" s="1388"/>
      <c r="H186" s="1389"/>
      <c r="I186" s="710"/>
      <c r="J186" s="202"/>
    </row>
    <row r="187" spans="1:12" ht="27" customHeight="1">
      <c r="A187" s="229"/>
      <c r="B187" s="267"/>
      <c r="C187" s="230"/>
      <c r="D187" s="714"/>
      <c r="E187" s="1347" t="s">
        <v>691</v>
      </c>
      <c r="F187" s="1347"/>
      <c r="G187" s="1347"/>
      <c r="H187" s="1347"/>
      <c r="I187" s="728"/>
      <c r="J187" s="272"/>
    </row>
    <row r="188" spans="1:12" ht="27" customHeight="1">
      <c r="A188" s="229"/>
      <c r="B188" s="267"/>
      <c r="C188" s="230"/>
      <c r="D188" s="714"/>
      <c r="E188" s="1347" t="s">
        <v>692</v>
      </c>
      <c r="F188" s="1347"/>
      <c r="G188" s="1347"/>
      <c r="H188" s="1347"/>
      <c r="I188" s="728"/>
      <c r="J188" s="272"/>
    </row>
    <row r="189" spans="1:12" ht="27" customHeight="1">
      <c r="A189" s="229"/>
      <c r="B189" s="267"/>
      <c r="C189" s="230"/>
      <c r="D189" s="714"/>
      <c r="E189" s="1347" t="s">
        <v>693</v>
      </c>
      <c r="F189" s="1347"/>
      <c r="G189" s="1347"/>
      <c r="H189" s="1347"/>
      <c r="I189" s="728"/>
      <c r="J189" s="272"/>
    </row>
    <row r="190" spans="1:12" ht="15">
      <c r="A190" s="229"/>
      <c r="B190" s="267"/>
      <c r="C190" s="230"/>
      <c r="D190" s="714"/>
      <c r="E190" s="1347" t="s">
        <v>694</v>
      </c>
      <c r="F190" s="1347"/>
      <c r="G190" s="1347"/>
      <c r="H190" s="1347"/>
      <c r="I190" s="728"/>
      <c r="J190" s="272"/>
    </row>
    <row r="191" spans="1:12" ht="15">
      <c r="A191" s="229"/>
      <c r="B191" s="267"/>
      <c r="C191" s="230"/>
      <c r="D191" s="714"/>
      <c r="E191" s="1347" t="s">
        <v>695</v>
      </c>
      <c r="F191" s="1347"/>
      <c r="G191" s="1347"/>
      <c r="H191" s="1347"/>
      <c r="I191" s="728"/>
      <c r="J191" s="272"/>
    </row>
    <row r="192" spans="1:12" ht="27" customHeight="1">
      <c r="A192" s="229"/>
      <c r="B192" s="268"/>
      <c r="C192" s="230"/>
      <c r="D192" s="714"/>
      <c r="E192" s="1347" t="s">
        <v>696</v>
      </c>
      <c r="F192" s="1347"/>
      <c r="G192" s="1347"/>
      <c r="H192" s="1347"/>
      <c r="I192" s="728"/>
      <c r="J192" s="272"/>
    </row>
    <row r="193" spans="1:13" ht="18">
      <c r="B193" s="201"/>
      <c r="C193" s="1150" t="s">
        <v>230</v>
      </c>
      <c r="D193" s="1158"/>
      <c r="E193" s="1341" t="s">
        <v>697</v>
      </c>
      <c r="F193" s="1341"/>
      <c r="G193" s="1341"/>
      <c r="H193" s="400"/>
      <c r="I193" s="711">
        <v>3</v>
      </c>
      <c r="J193" s="401">
        <f>IF(L193,IF(AND(L15,L16),I193,IF(AND(L15,'B HZone'!K12,'B HZone'!I13&gt;=3,'B HZone'!I13&lt;=5),4,IF(L16,4,I193))),0)</f>
        <v>0</v>
      </c>
      <c r="L193" s="197" t="b">
        <v>0</v>
      </c>
    </row>
    <row r="194" spans="1:13" s="80" customFormat="1" ht="16.5" customHeight="1">
      <c r="A194" s="498"/>
      <c r="B194" s="173"/>
      <c r="C194" s="271"/>
      <c r="D194" s="727"/>
      <c r="E194" s="1342" t="s">
        <v>812</v>
      </c>
      <c r="F194" s="1342"/>
      <c r="G194" s="1342"/>
      <c r="H194" s="354"/>
      <c r="I194" s="710"/>
      <c r="J194" s="202"/>
      <c r="L194" s="81"/>
      <c r="M194" s="153"/>
    </row>
    <row r="195" spans="1:13" ht="53.25" customHeight="1">
      <c r="B195" s="267"/>
      <c r="C195" s="271"/>
      <c r="D195" s="727"/>
      <c r="E195" s="1388" t="s">
        <v>698</v>
      </c>
      <c r="F195" s="1388"/>
      <c r="G195" s="1388"/>
      <c r="H195" s="1389"/>
      <c r="I195" s="710"/>
      <c r="J195" s="202"/>
    </row>
    <row r="196" spans="1:13" ht="26.45" customHeight="1">
      <c r="A196" s="229"/>
      <c r="B196" s="267"/>
      <c r="C196" s="230"/>
      <c r="D196" s="714"/>
      <c r="E196" s="1347" t="s">
        <v>699</v>
      </c>
      <c r="F196" s="1347"/>
      <c r="G196" s="1347"/>
      <c r="H196" s="1347"/>
      <c r="I196" s="728"/>
      <c r="J196" s="272"/>
    </row>
    <row r="197" spans="1:13" ht="18">
      <c r="B197" s="201"/>
      <c r="C197" s="1150" t="s">
        <v>231</v>
      </c>
      <c r="D197" s="1158"/>
      <c r="E197" s="1341" t="s">
        <v>700</v>
      </c>
      <c r="F197" s="1341"/>
      <c r="G197" s="1341"/>
      <c r="H197" s="400"/>
      <c r="I197" s="711">
        <v>2</v>
      </c>
      <c r="J197" s="401">
        <f>IF(L197,IF(AND(L15,L16),H153,IF(AND(L15,'B HZone'!I13&gt;=3,'StB-C1 Grundlstg'!D15:J15&lt;=5),3,I197)),0)</f>
        <v>0</v>
      </c>
      <c r="L197" s="197" t="b">
        <v>0</v>
      </c>
    </row>
    <row r="198" spans="1:13" s="80" customFormat="1" ht="16.5" customHeight="1">
      <c r="A198" s="498"/>
      <c r="B198" s="173"/>
      <c r="C198" s="271"/>
      <c r="D198" s="727"/>
      <c r="E198" s="1342" t="s">
        <v>813</v>
      </c>
      <c r="F198" s="1342"/>
      <c r="G198" s="1342"/>
      <c r="H198" s="354"/>
      <c r="I198" s="710"/>
      <c r="J198" s="202"/>
      <c r="L198" s="81"/>
      <c r="M198" s="153"/>
    </row>
    <row r="199" spans="1:13" ht="29.25" customHeight="1">
      <c r="B199" s="267"/>
      <c r="C199" s="271"/>
      <c r="D199" s="727"/>
      <c r="E199" s="1388" t="s">
        <v>701</v>
      </c>
      <c r="F199" s="1388"/>
      <c r="G199" s="1388"/>
      <c r="H199" s="1389"/>
      <c r="I199" s="710"/>
      <c r="J199" s="202"/>
    </row>
    <row r="200" spans="1:13" ht="26.45" customHeight="1">
      <c r="A200" s="229"/>
      <c r="B200" s="267"/>
      <c r="C200" s="230"/>
      <c r="D200" s="714"/>
      <c r="E200" s="1347" t="s">
        <v>702</v>
      </c>
      <c r="F200" s="1347"/>
      <c r="G200" s="1347"/>
      <c r="H200" s="1347"/>
      <c r="I200" s="728"/>
      <c r="J200" s="272"/>
    </row>
    <row r="201" spans="1:13" ht="15">
      <c r="A201" s="229"/>
      <c r="B201" s="267"/>
      <c r="C201" s="230"/>
      <c r="D201" s="714"/>
      <c r="E201" s="1347" t="s">
        <v>663</v>
      </c>
      <c r="F201" s="1347"/>
      <c r="G201" s="1347"/>
      <c r="H201" s="1347"/>
      <c r="I201" s="728"/>
      <c r="J201" s="272"/>
    </row>
    <row r="202" spans="1:13" ht="15.75" thickBot="1">
      <c r="A202" s="229"/>
      <c r="B202" s="267"/>
      <c r="C202" s="230"/>
      <c r="D202" s="714"/>
      <c r="E202" s="1347" t="s">
        <v>703</v>
      </c>
      <c r="F202" s="1347"/>
      <c r="G202" s="1347"/>
      <c r="H202" s="1347"/>
      <c r="I202" s="728"/>
      <c r="J202" s="272"/>
    </row>
    <row r="203" spans="1:13" ht="22.7" customHeight="1" thickBot="1">
      <c r="B203" s="1382" t="s">
        <v>803</v>
      </c>
      <c r="C203" s="1383"/>
      <c r="D203" s="1383"/>
      <c r="E203" s="1383"/>
      <c r="F203" s="1383"/>
      <c r="G203" s="1383"/>
      <c r="H203" s="1384"/>
      <c r="I203" s="503">
        <f>IF(Projektgrundlagen!I21,SUM(I175:I202),0)</f>
        <v>40</v>
      </c>
      <c r="J203" s="504">
        <f>IF(Projektgrundlagen!I21,SUMIF(L175:L202,TRUE,J175:J202),0)</f>
        <v>0</v>
      </c>
    </row>
    <row r="204" spans="1:13" ht="7.5" customHeight="1"/>
    <row r="205" spans="1:13" s="207" customFormat="1" ht="22.7" customHeight="1">
      <c r="A205" s="500"/>
      <c r="B205" s="506" t="s">
        <v>197</v>
      </c>
      <c r="C205" s="507"/>
      <c r="D205" s="507"/>
      <c r="E205" s="507"/>
      <c r="F205" s="507"/>
      <c r="G205" s="515"/>
      <c r="H205" s="515"/>
      <c r="I205" s="516"/>
      <c r="J205" s="517"/>
      <c r="L205" s="208"/>
    </row>
    <row r="206" spans="1:13" ht="18">
      <c r="B206" s="201"/>
      <c r="C206" s="1150" t="s">
        <v>225</v>
      </c>
      <c r="D206" s="1161"/>
      <c r="E206" s="1345" t="s">
        <v>784</v>
      </c>
      <c r="F206" s="1345"/>
      <c r="G206" s="1345"/>
      <c r="H206" s="400"/>
      <c r="I206" s="709">
        <v>1</v>
      </c>
      <c r="J206" s="401">
        <f>IF(L206,I206,0)</f>
        <v>0</v>
      </c>
      <c r="L206" s="197" t="b">
        <v>0</v>
      </c>
    </row>
    <row r="207" spans="1:13" ht="43.5" customHeight="1">
      <c r="B207" s="254"/>
      <c r="C207" s="271"/>
      <c r="D207" s="727"/>
      <c r="E207" s="1342" t="s">
        <v>785</v>
      </c>
      <c r="F207" s="1342"/>
      <c r="G207" s="1342"/>
      <c r="H207" s="354"/>
      <c r="I207" s="710"/>
      <c r="J207" s="202"/>
    </row>
    <row r="208" spans="1:13" ht="39" customHeight="1">
      <c r="A208" s="229"/>
      <c r="B208" s="267"/>
      <c r="C208" s="230"/>
      <c r="D208" s="714"/>
      <c r="E208" s="1347" t="s">
        <v>672</v>
      </c>
      <c r="F208" s="1347"/>
      <c r="G208" s="1347"/>
      <c r="H208" s="1347"/>
      <c r="I208" s="728"/>
      <c r="J208" s="272"/>
    </row>
    <row r="209" spans="1:12" ht="15">
      <c r="A209" s="229"/>
      <c r="B209" s="267"/>
      <c r="C209" s="270"/>
      <c r="D209" s="713"/>
      <c r="E209" s="1128" t="s">
        <v>190</v>
      </c>
      <c r="F209" s="1347" t="s">
        <v>673</v>
      </c>
      <c r="G209" s="1347"/>
      <c r="H209" s="1374"/>
      <c r="I209" s="712"/>
      <c r="J209" s="202"/>
    </row>
    <row r="210" spans="1:12" ht="15">
      <c r="A210" s="229"/>
      <c r="B210" s="267"/>
      <c r="C210" s="270"/>
      <c r="D210" s="713"/>
      <c r="E210" s="1128" t="s">
        <v>190</v>
      </c>
      <c r="F210" s="1347" t="s">
        <v>674</v>
      </c>
      <c r="G210" s="1347"/>
      <c r="H210" s="1374"/>
      <c r="I210" s="712"/>
      <c r="J210" s="202"/>
    </row>
    <row r="211" spans="1:12" ht="15">
      <c r="A211" s="229"/>
      <c r="B211" s="267"/>
      <c r="C211" s="270"/>
      <c r="D211" s="713"/>
      <c r="E211" s="1128" t="s">
        <v>190</v>
      </c>
      <c r="F211" s="1347" t="s">
        <v>675</v>
      </c>
      <c r="G211" s="1347"/>
      <c r="H211" s="1374"/>
      <c r="I211" s="712"/>
      <c r="J211" s="202"/>
    </row>
    <row r="212" spans="1:12" ht="15">
      <c r="A212" s="229"/>
      <c r="B212" s="267"/>
      <c r="C212" s="270"/>
      <c r="D212" s="713"/>
      <c r="E212" s="1128" t="s">
        <v>190</v>
      </c>
      <c r="F212" s="1347" t="s">
        <v>676</v>
      </c>
      <c r="G212" s="1347"/>
      <c r="H212" s="1374"/>
      <c r="I212" s="712"/>
      <c r="J212" s="202"/>
    </row>
    <row r="213" spans="1:12" ht="18">
      <c r="B213" s="201"/>
      <c r="C213" s="1150" t="s">
        <v>228</v>
      </c>
      <c r="D213" s="1158" t="s">
        <v>10</v>
      </c>
      <c r="E213" s="1341" t="s">
        <v>677</v>
      </c>
      <c r="F213" s="1341"/>
      <c r="G213" s="1341"/>
      <c r="H213" s="400"/>
      <c r="I213" s="711">
        <v>0.5</v>
      </c>
      <c r="J213" s="401">
        <f>IF(L213,I213,0)</f>
        <v>0</v>
      </c>
      <c r="L213" s="197" t="b">
        <v>0</v>
      </c>
    </row>
    <row r="214" spans="1:12" ht="30" customHeight="1">
      <c r="B214" s="254"/>
      <c r="C214" s="271"/>
      <c r="D214" s="727"/>
      <c r="E214" s="1342" t="s">
        <v>678</v>
      </c>
      <c r="F214" s="1342"/>
      <c r="G214" s="1342"/>
      <c r="H214" s="354"/>
      <c r="I214" s="710"/>
      <c r="J214" s="202"/>
    </row>
    <row r="215" spans="1:12" ht="15">
      <c r="A215" s="229"/>
      <c r="B215" s="267"/>
      <c r="C215" s="230"/>
      <c r="D215" s="714"/>
      <c r="E215" s="1347" t="s">
        <v>679</v>
      </c>
      <c r="F215" s="1347"/>
      <c r="G215" s="1347"/>
      <c r="H215" s="1347"/>
      <c r="I215" s="728"/>
      <c r="J215" s="272"/>
    </row>
    <row r="216" spans="1:12" ht="15">
      <c r="A216" s="229"/>
      <c r="B216" s="267"/>
      <c r="C216" s="230"/>
      <c r="D216" s="714"/>
      <c r="E216" s="1347" t="s">
        <v>680</v>
      </c>
      <c r="F216" s="1347"/>
      <c r="G216" s="1347"/>
      <c r="H216" s="1347"/>
      <c r="I216" s="728"/>
      <c r="J216" s="272"/>
    </row>
    <row r="217" spans="1:12" ht="18">
      <c r="B217" s="201"/>
      <c r="C217" s="1150" t="s">
        <v>229</v>
      </c>
      <c r="D217" s="1158"/>
      <c r="E217" s="1341" t="s">
        <v>682</v>
      </c>
      <c r="F217" s="1341"/>
      <c r="G217" s="1341"/>
      <c r="H217" s="400"/>
      <c r="I217" s="711">
        <v>0.5</v>
      </c>
      <c r="J217" s="401">
        <f>IF(L217,I217,0)</f>
        <v>0</v>
      </c>
      <c r="L217" s="197" t="b">
        <v>0</v>
      </c>
    </row>
    <row r="218" spans="1:12" ht="30" customHeight="1">
      <c r="B218" s="254"/>
      <c r="C218" s="271"/>
      <c r="D218" s="729"/>
      <c r="E218" s="1342" t="s">
        <v>681</v>
      </c>
      <c r="F218" s="1342"/>
      <c r="G218" s="1342"/>
      <c r="H218" s="354"/>
      <c r="I218" s="710"/>
      <c r="J218" s="202"/>
    </row>
    <row r="219" spans="1:12" ht="71.45" customHeight="1">
      <c r="A219" s="229"/>
      <c r="B219" s="267"/>
      <c r="C219" s="230"/>
      <c r="D219" s="714"/>
      <c r="E219" s="1347" t="s">
        <v>683</v>
      </c>
      <c r="F219" s="1347"/>
      <c r="G219" s="1347"/>
      <c r="H219" s="1347"/>
      <c r="I219" s="728"/>
      <c r="J219" s="272"/>
    </row>
    <row r="220" spans="1:12" ht="27" customHeight="1" thickBot="1">
      <c r="A220" s="229"/>
      <c r="B220" s="267"/>
      <c r="C220" s="230"/>
      <c r="D220" s="714"/>
      <c r="E220" s="1347" t="s">
        <v>684</v>
      </c>
      <c r="F220" s="1347"/>
      <c r="G220" s="1347"/>
      <c r="H220" s="1347"/>
      <c r="I220" s="728"/>
      <c r="J220" s="272"/>
    </row>
    <row r="221" spans="1:12" ht="22.7" customHeight="1" thickBot="1">
      <c r="B221" s="1382" t="s">
        <v>671</v>
      </c>
      <c r="C221" s="1383"/>
      <c r="D221" s="1383"/>
      <c r="E221" s="1383"/>
      <c r="F221" s="1383"/>
      <c r="G221" s="1383"/>
      <c r="H221" s="1384"/>
      <c r="I221" s="503">
        <f>IF(Projektgrundlagen!I21,SUM(I206:I220),0)</f>
        <v>2</v>
      </c>
      <c r="J221" s="504">
        <f>IF(Projektgrundlagen!I21,SUMIF(L206:L220,TRUE,J206:J220),0)</f>
        <v>0</v>
      </c>
    </row>
    <row r="222" spans="1:12" ht="7.5" customHeight="1"/>
    <row r="223" spans="1:12" ht="22.7" customHeight="1">
      <c r="B223" s="506" t="s">
        <v>198</v>
      </c>
      <c r="C223" s="507"/>
      <c r="D223" s="507"/>
      <c r="E223" s="507"/>
      <c r="F223" s="507"/>
      <c r="G223" s="513"/>
      <c r="H223" s="513"/>
      <c r="I223" s="508"/>
      <c r="J223" s="514"/>
    </row>
    <row r="224" spans="1:12" ht="18">
      <c r="B224" s="209"/>
      <c r="C224" s="1040"/>
      <c r="D224" s="1066"/>
      <c r="E224" s="1339"/>
      <c r="F224" s="1339"/>
      <c r="G224" s="1339"/>
      <c r="H224" s="400"/>
      <c r="I224" s="1068"/>
      <c r="J224" s="1069"/>
      <c r="L224" s="203" t="b">
        <v>0</v>
      </c>
    </row>
    <row r="225" spans="1:13" s="80" customFormat="1" ht="16.5" customHeight="1" thickBot="1">
      <c r="A225" s="498"/>
      <c r="B225" s="173"/>
      <c r="C225" s="271"/>
      <c r="D225" s="727"/>
      <c r="E225" s="1340"/>
      <c r="F225" s="1340"/>
      <c r="G225" s="1340"/>
      <c r="H225" s="354"/>
      <c r="I225" s="710"/>
      <c r="J225" s="202"/>
      <c r="L225" s="81"/>
      <c r="M225" s="153"/>
    </row>
    <row r="226" spans="1:13" ht="22.7" customHeight="1" thickBot="1">
      <c r="B226" s="1382" t="s">
        <v>670</v>
      </c>
      <c r="C226" s="1383"/>
      <c r="D226" s="1383"/>
      <c r="E226" s="1383"/>
      <c r="F226" s="1383"/>
      <c r="G226" s="1383"/>
      <c r="H226" s="1384"/>
      <c r="I226" s="503">
        <f>IF(Projektgrundlagen!I21,SUM(I224:I225),0)</f>
        <v>0</v>
      </c>
      <c r="J226" s="504">
        <f>IF(Projektgrundlagen!I21,SUMIF(L224:L225,TRUE,J224:J225),0)</f>
        <v>0</v>
      </c>
    </row>
    <row r="227" spans="1:13" ht="7.5" customHeight="1"/>
    <row r="228" spans="1:13" ht="22.7" customHeight="1">
      <c r="B228" s="506" t="s">
        <v>668</v>
      </c>
      <c r="C228" s="507"/>
      <c r="D228" s="507"/>
      <c r="E228" s="507"/>
      <c r="F228" s="507"/>
      <c r="G228" s="513"/>
      <c r="H228" s="513"/>
      <c r="I228" s="511"/>
      <c r="J228" s="512"/>
    </row>
    <row r="229" spans="1:13" ht="18">
      <c r="B229" s="209"/>
      <c r="C229" s="1040"/>
      <c r="D229" s="1066"/>
      <c r="E229" s="1339"/>
      <c r="F229" s="1339"/>
      <c r="G229" s="1339"/>
      <c r="H229" s="1067"/>
      <c r="I229" s="1068"/>
      <c r="J229" s="1069"/>
      <c r="L229" s="197" t="b">
        <v>0</v>
      </c>
    </row>
    <row r="230" spans="1:13" ht="17.25" thickBot="1">
      <c r="B230" s="254"/>
      <c r="C230" s="271"/>
      <c r="D230" s="727"/>
      <c r="E230" s="1340"/>
      <c r="F230" s="1340"/>
      <c r="G230" s="1340"/>
      <c r="H230" s="1070"/>
      <c r="I230" s="710"/>
      <c r="J230" s="202"/>
    </row>
    <row r="231" spans="1:13" ht="22.7" customHeight="1" thickBot="1">
      <c r="B231" s="1382" t="s">
        <v>669</v>
      </c>
      <c r="C231" s="1383"/>
      <c r="D231" s="1383"/>
      <c r="E231" s="1383"/>
      <c r="F231" s="1383"/>
      <c r="G231" s="1383"/>
      <c r="H231" s="1384"/>
      <c r="I231" s="503">
        <f>IF(Projektgrundlagen!I21,SUM(I229:I230),0)</f>
        <v>0</v>
      </c>
      <c r="J231" s="504">
        <f>IF(Projektgrundlagen!I21,SUMIF(L229:L230,TRUE,J229:J230),0)</f>
        <v>0</v>
      </c>
    </row>
    <row r="232" spans="1:13" ht="7.5" customHeight="1"/>
    <row r="233" spans="1:13" ht="22.7" customHeight="1">
      <c r="B233" s="506" t="s">
        <v>199</v>
      </c>
      <c r="C233" s="507"/>
      <c r="D233" s="507"/>
      <c r="E233" s="507"/>
      <c r="F233" s="507"/>
      <c r="G233" s="513"/>
      <c r="H233" s="513"/>
      <c r="I233" s="511"/>
      <c r="J233" s="512"/>
    </row>
    <row r="234" spans="1:13" ht="18">
      <c r="B234" s="209"/>
      <c r="C234" s="1064"/>
      <c r="D234" s="1065"/>
      <c r="E234" s="1385"/>
      <c r="F234" s="1385"/>
      <c r="G234" s="1385"/>
      <c r="H234" s="353"/>
      <c r="I234" s="710"/>
      <c r="J234" s="202"/>
      <c r="L234" s="197" t="b">
        <v>0</v>
      </c>
    </row>
    <row r="235" spans="1:13" s="80" customFormat="1" ht="16.5" customHeight="1" thickBot="1">
      <c r="A235" s="498"/>
      <c r="B235" s="173"/>
      <c r="C235" s="271"/>
      <c r="D235" s="727"/>
      <c r="E235" s="1340"/>
      <c r="F235" s="1340"/>
      <c r="G235" s="1340"/>
      <c r="H235" s="354"/>
      <c r="I235" s="710"/>
      <c r="J235" s="202"/>
      <c r="L235" s="81"/>
      <c r="M235" s="153"/>
    </row>
    <row r="236" spans="1:13" ht="22.7" customHeight="1" thickBot="1">
      <c r="B236" s="1382" t="s">
        <v>666</v>
      </c>
      <c r="C236" s="1383"/>
      <c r="D236" s="1383"/>
      <c r="E236" s="1383"/>
      <c r="F236" s="1383"/>
      <c r="G236" s="1383"/>
      <c r="H236" s="1384"/>
      <c r="I236" s="503">
        <f>IF(Projektgrundlagen!I21,SUM(I234:I235),0)</f>
        <v>0</v>
      </c>
      <c r="J236" s="504">
        <f>IF(Projektgrundlagen!I21,SUMIF(L234:L235,TRUE,J234:J235),0)</f>
        <v>0</v>
      </c>
    </row>
    <row r="237" spans="1:13" ht="17.25" thickBot="1">
      <c r="B237" s="196"/>
    </row>
    <row r="238" spans="1:13" ht="30" customHeight="1" thickBot="1">
      <c r="B238" s="1375" t="s">
        <v>665</v>
      </c>
      <c r="C238" s="1376"/>
      <c r="D238" s="1376"/>
      <c r="E238" s="1376"/>
      <c r="F238" s="1376"/>
      <c r="G238" s="1376"/>
      <c r="H238" s="1377"/>
      <c r="I238" s="707">
        <f>SUM(I37,I66,I120,I172,I203,I221,I226,I231,I236)</f>
        <v>120</v>
      </c>
      <c r="J238" s="708">
        <f>SUM(J37,J66,J120,J172,J203,J221,J226,J231,J236)</f>
        <v>25</v>
      </c>
    </row>
    <row r="239" spans="1:13" ht="12.75" customHeight="1"/>
    <row r="240" spans="1:13" ht="16.5"/>
    <row r="241" spans="6:9" ht="12.75" customHeight="1">
      <c r="F241" s="355"/>
      <c r="G241" s="355"/>
      <c r="H241" s="355"/>
      <c r="I241" s="355"/>
    </row>
    <row r="242" spans="6:9" ht="16.5"/>
    <row r="243" spans="6:9" ht="16.5" hidden="1"/>
    <row r="244" spans="6:9" ht="16.5" hidden="1"/>
    <row r="245" spans="6:9" ht="16.5" hidden="1"/>
    <row r="246" spans="6:9" ht="16.5" hidden="1"/>
    <row r="247" spans="6:9" ht="16.5" hidden="1"/>
    <row r="248" spans="6:9" ht="16.5" hidden="1"/>
    <row r="249" spans="6:9" ht="16.5" hidden="1"/>
    <row r="250" spans="6:9" ht="16.5" hidden="1"/>
    <row r="251" spans="6:9" ht="16.5" hidden="1"/>
    <row r="252" spans="6:9" ht="16.5" hidden="1"/>
    <row r="253" spans="6:9" ht="16.5" hidden="1"/>
    <row r="254" spans="6:9" ht="16.5" hidden="1"/>
    <row r="255" spans="6:9" ht="16.5" hidden="1"/>
    <row r="256" spans="6:9" ht="16.5" hidden="1"/>
    <row r="257" ht="16.5" hidden="1"/>
    <row r="258" ht="16.5" hidden="1"/>
    <row r="259" ht="16.5" hidden="1"/>
    <row r="260" ht="16.5" hidden="1"/>
    <row r="261" ht="16.5" hidden="1"/>
    <row r="262" ht="16.5" hidden="1"/>
    <row r="263" ht="16.5" hidden="1"/>
    <row r="264" ht="16.5" hidden="1"/>
    <row r="265" ht="16.5" hidden="1"/>
    <row r="266" ht="16.5" hidden="1"/>
    <row r="267" ht="16.5" hidden="1"/>
    <row r="268" ht="16.5" hidden="1"/>
    <row r="269" ht="16.5" hidden="1"/>
    <row r="270" ht="16.5" hidden="1"/>
    <row r="271" ht="16.5" hidden="1"/>
    <row r="272" ht="16.5" hidden="1"/>
    <row r="273" ht="16.5" hidden="1"/>
    <row r="274" ht="16.5" hidden="1"/>
    <row r="275" ht="16.5" hidden="1"/>
    <row r="276" ht="16.5" hidden="1"/>
    <row r="277" ht="16.5" hidden="1"/>
    <row r="278" ht="16.5" hidden="1"/>
    <row r="279" ht="16.5" hidden="1"/>
    <row r="280" ht="16.5" hidden="1"/>
    <row r="281" ht="16.5" hidden="1"/>
    <row r="282" ht="16.5" hidden="1"/>
    <row r="283" ht="16.5" hidden="1"/>
    <row r="284" ht="16.5" hidden="1"/>
    <row r="285" ht="16.5" hidden="1"/>
    <row r="286" ht="16.5" hidden="1"/>
    <row r="287" ht="16.5" hidden="1"/>
    <row r="288" ht="16.5" hidden="1"/>
    <row r="289" ht="16.5" hidden="1"/>
    <row r="290" ht="16.5" hidden="1"/>
    <row r="291" ht="16.5" hidden="1"/>
    <row r="292" ht="16.5" hidden="1"/>
    <row r="293" ht="16.5" hidden="1"/>
    <row r="294" ht="16.5" hidden="1"/>
    <row r="295" ht="16.5" hidden="1"/>
    <row r="296" ht="16.5" hidden="1"/>
    <row r="297" ht="16.5" hidden="1"/>
    <row r="298" ht="16.5" hidden="1"/>
    <row r="299" ht="16.5" hidden="1"/>
    <row r="300" ht="16.5" hidden="1"/>
    <row r="301" ht="16.5" hidden="1"/>
    <row r="302" ht="16.5" hidden="1"/>
    <row r="303" ht="16.5" hidden="1"/>
    <row r="304" ht="16.5" hidden="1"/>
    <row r="305" ht="16.5" hidden="1"/>
    <row r="306" ht="16.5" hidden="1"/>
    <row r="307" ht="16.5" hidden="1"/>
    <row r="308" ht="16.5" hidden="1"/>
    <row r="309" ht="16.5" hidden="1"/>
    <row r="310" ht="16.5" hidden="1"/>
    <row r="311" ht="16.5" hidden="1"/>
    <row r="312" ht="16.5" hidden="1"/>
    <row r="313" ht="16.5" hidden="1"/>
    <row r="314" ht="16.5" hidden="1"/>
    <row r="315" ht="16.5" hidden="1"/>
    <row r="316" ht="16.5" hidden="1"/>
    <row r="317" ht="16.5" hidden="1"/>
    <row r="318" ht="16.5" hidden="1"/>
    <row r="319" ht="16.5" hidden="1"/>
    <row r="320" ht="16.5" hidden="1"/>
    <row r="321" ht="16.5" hidden="1"/>
    <row r="322" ht="16.5" hidden="1"/>
    <row r="323" ht="16.5" hidden="1"/>
    <row r="324" ht="16.5" hidden="1"/>
    <row r="325" ht="16.5" hidden="1"/>
    <row r="326" ht="16.5" hidden="1"/>
    <row r="327" ht="16.5" hidden="1"/>
    <row r="328" ht="16.5" hidden="1"/>
    <row r="329" ht="16.5" hidden="1"/>
    <row r="330" ht="16.5" hidden="1"/>
    <row r="331" ht="16.5" hidden="1"/>
    <row r="332" ht="16.5" hidden="1"/>
    <row r="333" ht="16.5" hidden="1"/>
    <row r="334" ht="16.5" hidden="1"/>
    <row r="335" ht="16.5" hidden="1"/>
    <row r="336" ht="16.5" hidden="1"/>
    <row r="337" ht="16.5" hidden="1"/>
    <row r="338" ht="16.5" hidden="1"/>
    <row r="339" ht="16.5" hidden="1"/>
    <row r="340" ht="16.5" hidden="1"/>
    <row r="341" ht="16.5" hidden="1"/>
    <row r="342" ht="16.5" hidden="1"/>
    <row r="343" ht="16.5" hidden="1"/>
    <row r="344" ht="16.5" hidden="1"/>
    <row r="345" ht="16.5" hidden="1"/>
    <row r="346" ht="16.5" hidden="1"/>
    <row r="347" ht="16.5" hidden="1"/>
    <row r="348" ht="16.5" hidden="1"/>
    <row r="349" ht="16.5" hidden="1"/>
    <row r="350" ht="16.5" hidden="1"/>
    <row r="351" ht="16.5" hidden="1"/>
    <row r="352" ht="16.5" hidden="1"/>
    <row r="353" ht="16.5" hidden="1"/>
    <row r="354" ht="16.5" hidden="1"/>
    <row r="355" ht="16.5" hidden="1"/>
    <row r="356" ht="16.5" hidden="1"/>
    <row r="357" ht="16.5" hidden="1"/>
    <row r="358" ht="16.5" hidden="1"/>
    <row r="359" ht="16.5" hidden="1"/>
    <row r="360" ht="16.5" hidden="1"/>
    <row r="361" ht="16.5" hidden="1"/>
    <row r="362" ht="16.5" hidden="1"/>
    <row r="363" ht="16.5" hidden="1"/>
    <row r="364" ht="16.5" hidden="1"/>
    <row r="365" ht="16.5" hidden="1"/>
    <row r="366" ht="16.5" hidden="1"/>
    <row r="367" ht="16.5" hidden="1"/>
    <row r="368" ht="16.5" hidden="1"/>
    <row r="369" ht="16.5" hidden="1"/>
    <row r="370" ht="16.5" hidden="1"/>
    <row r="371" ht="16.5" hidden="1"/>
    <row r="372" ht="16.5" hidden="1"/>
    <row r="373" ht="16.5" hidden="1"/>
    <row r="374" ht="16.5" hidden="1"/>
    <row r="375" ht="16.5" hidden="1"/>
    <row r="376" ht="16.5" hidden="1"/>
    <row r="377" ht="16.5" hidden="1"/>
    <row r="378" ht="16.5" hidden="1"/>
    <row r="379" ht="16.5" hidden="1"/>
    <row r="380" ht="16.5" hidden="1"/>
    <row r="381" ht="12.75" hidden="1" customHeight="1"/>
    <row r="382" ht="0" hidden="1" customHeight="1"/>
    <row r="383" ht="0" hidden="1" customHeight="1"/>
    <row r="384" ht="0" hidden="1" customHeight="1"/>
    <row r="385" ht="0" hidden="1" customHeight="1"/>
  </sheetData>
  <sheetProtection algorithmName="SHA-512" hashValue="T0VWPqkXxqwgeWaZAHYJgahfR84w00ynDJJG2tRQGIwoEDgVq0tbFo5NHN8sqvY6W+FYzka3DYwy0LI/OvrzRg==" saltValue="jccEp7cJH7VodMyv5oGTwQ==" spinCount="100000" sheet="1" formatRows="0"/>
  <mergeCells count="212">
    <mergeCell ref="E162:H162"/>
    <mergeCell ref="E166:H166"/>
    <mergeCell ref="E171:H171"/>
    <mergeCell ref="E127:H127"/>
    <mergeCell ref="E128:H128"/>
    <mergeCell ref="E146:H146"/>
    <mergeCell ref="E136:H136"/>
    <mergeCell ref="E139:H139"/>
    <mergeCell ref="E144:H144"/>
    <mergeCell ref="E145:H145"/>
    <mergeCell ref="E147:H147"/>
    <mergeCell ref="E148:H148"/>
    <mergeCell ref="D13:J13"/>
    <mergeCell ref="D14:J14"/>
    <mergeCell ref="E23:H23"/>
    <mergeCell ref="E34:H34"/>
    <mergeCell ref="E45:H45"/>
    <mergeCell ref="E54:H54"/>
    <mergeCell ref="E65:H65"/>
    <mergeCell ref="E73:H73"/>
    <mergeCell ref="E126:H126"/>
    <mergeCell ref="E76:H76"/>
    <mergeCell ref="E77:H77"/>
    <mergeCell ref="E82:H82"/>
    <mergeCell ref="E35:H35"/>
    <mergeCell ref="E36:H36"/>
    <mergeCell ref="F78:H78"/>
    <mergeCell ref="F80:H80"/>
    <mergeCell ref="F81:H81"/>
    <mergeCell ref="F79:H79"/>
    <mergeCell ref="E64:H64"/>
    <mergeCell ref="F66:H66"/>
    <mergeCell ref="E31:H31"/>
    <mergeCell ref="E28:G28"/>
    <mergeCell ref="E29:G29"/>
    <mergeCell ref="E40:G40"/>
    <mergeCell ref="E194:G194"/>
    <mergeCell ref="E196:H196"/>
    <mergeCell ref="E182:H182"/>
    <mergeCell ref="E186:H186"/>
    <mergeCell ref="E195:H195"/>
    <mergeCell ref="E70:G70"/>
    <mergeCell ref="E74:G74"/>
    <mergeCell ref="C66:E66"/>
    <mergeCell ref="E72:H72"/>
    <mergeCell ref="E71:H71"/>
    <mergeCell ref="E69:G69"/>
    <mergeCell ref="E170:H170"/>
    <mergeCell ref="E169:H169"/>
    <mergeCell ref="E177:H177"/>
    <mergeCell ref="E176:G176"/>
    <mergeCell ref="E179:H179"/>
    <mergeCell ref="F83:H83"/>
    <mergeCell ref="F84:H84"/>
    <mergeCell ref="F86:H86"/>
    <mergeCell ref="F87:H87"/>
    <mergeCell ref="E88:H88"/>
    <mergeCell ref="E85:H85"/>
    <mergeCell ref="E193:G193"/>
    <mergeCell ref="E95:G95"/>
    <mergeCell ref="E41:G41"/>
    <mergeCell ref="E63:G63"/>
    <mergeCell ref="E42:H42"/>
    <mergeCell ref="E33:H33"/>
    <mergeCell ref="E61:H61"/>
    <mergeCell ref="E60:H60"/>
    <mergeCell ref="E58:G58"/>
    <mergeCell ref="E32:H32"/>
    <mergeCell ref="E43:H43"/>
    <mergeCell ref="E51:H51"/>
    <mergeCell ref="E52:H52"/>
    <mergeCell ref="E218:G218"/>
    <mergeCell ref="E219:H219"/>
    <mergeCell ref="E215:H215"/>
    <mergeCell ref="E216:H216"/>
    <mergeCell ref="E214:G214"/>
    <mergeCell ref="E184:G184"/>
    <mergeCell ref="E185:G185"/>
    <mergeCell ref="E197:G197"/>
    <mergeCell ref="E198:G198"/>
    <mergeCell ref="E206:G206"/>
    <mergeCell ref="E207:G207"/>
    <mergeCell ref="E213:G213"/>
    <mergeCell ref="E192:H192"/>
    <mergeCell ref="E202:H202"/>
    <mergeCell ref="E208:H208"/>
    <mergeCell ref="F212:H212"/>
    <mergeCell ref="E187:H187"/>
    <mergeCell ref="E188:H188"/>
    <mergeCell ref="E201:H201"/>
    <mergeCell ref="E200:H200"/>
    <mergeCell ref="F209:H209"/>
    <mergeCell ref="F211:H211"/>
    <mergeCell ref="F210:H210"/>
    <mergeCell ref="E199:H199"/>
    <mergeCell ref="E98:G98"/>
    <mergeCell ref="E99:G99"/>
    <mergeCell ref="E101:G101"/>
    <mergeCell ref="E102:G102"/>
    <mergeCell ref="E119:H119"/>
    <mergeCell ref="E106:H106"/>
    <mergeCell ref="F107:H107"/>
    <mergeCell ref="F108:H108"/>
    <mergeCell ref="F109:H109"/>
    <mergeCell ref="E100:H100"/>
    <mergeCell ref="E191:H191"/>
    <mergeCell ref="E189:H189"/>
    <mergeCell ref="E190:H190"/>
    <mergeCell ref="E183:H183"/>
    <mergeCell ref="E181:G181"/>
    <mergeCell ref="E178:H178"/>
    <mergeCell ref="E163:G163"/>
    <mergeCell ref="E164:G164"/>
    <mergeCell ref="E167:G167"/>
    <mergeCell ref="E168:G168"/>
    <mergeCell ref="E175:G175"/>
    <mergeCell ref="B238:H238"/>
    <mergeCell ref="F8:J8"/>
    <mergeCell ref="B8:E8"/>
    <mergeCell ref="E115:G115"/>
    <mergeCell ref="E117:G117"/>
    <mergeCell ref="E118:G118"/>
    <mergeCell ref="E116:H116"/>
    <mergeCell ref="B236:H236"/>
    <mergeCell ref="B203:H203"/>
    <mergeCell ref="B172:H172"/>
    <mergeCell ref="B120:H120"/>
    <mergeCell ref="B37:H37"/>
    <mergeCell ref="E234:G234"/>
    <mergeCell ref="E235:G235"/>
    <mergeCell ref="B221:H221"/>
    <mergeCell ref="B226:H226"/>
    <mergeCell ref="B231:H231"/>
    <mergeCell ref="E113:H113"/>
    <mergeCell ref="E155:H155"/>
    <mergeCell ref="F156:H156"/>
    <mergeCell ref="F157:H157"/>
    <mergeCell ref="F158:H158"/>
    <mergeCell ref="E180:G180"/>
    <mergeCell ref="E22:H22"/>
    <mergeCell ref="E26:H26"/>
    <mergeCell ref="E112:H112"/>
    <mergeCell ref="E48:H48"/>
    <mergeCell ref="E53:H53"/>
    <mergeCell ref="E57:H57"/>
    <mergeCell ref="E46:G46"/>
    <mergeCell ref="E47:G47"/>
    <mergeCell ref="E49:G49"/>
    <mergeCell ref="E50:G50"/>
    <mergeCell ref="E55:G55"/>
    <mergeCell ref="E56:G56"/>
    <mergeCell ref="E59:G59"/>
    <mergeCell ref="E62:G62"/>
    <mergeCell ref="E44:H44"/>
    <mergeCell ref="E97:H97"/>
    <mergeCell ref="E103:H103"/>
    <mergeCell ref="E75:G75"/>
    <mergeCell ref="F89:H89"/>
    <mergeCell ref="E90:H90"/>
    <mergeCell ref="F91:H91"/>
    <mergeCell ref="F92:H92"/>
    <mergeCell ref="F93:H93"/>
    <mergeCell ref="F94:H94"/>
    <mergeCell ref="E96:G96"/>
    <mergeCell ref="K2:K8"/>
    <mergeCell ref="E27:H27"/>
    <mergeCell ref="B10:F10"/>
    <mergeCell ref="E30:H30"/>
    <mergeCell ref="I3:J3"/>
    <mergeCell ref="I5:J5"/>
    <mergeCell ref="I2:J2"/>
    <mergeCell ref="G2:H2"/>
    <mergeCell ref="G3:H3"/>
    <mergeCell ref="G5:H5"/>
    <mergeCell ref="E19:G19"/>
    <mergeCell ref="E20:G20"/>
    <mergeCell ref="E24:G24"/>
    <mergeCell ref="E25:G25"/>
    <mergeCell ref="B2:F2"/>
    <mergeCell ref="B3:F3"/>
    <mergeCell ref="B5:E5"/>
    <mergeCell ref="B6:E6"/>
    <mergeCell ref="B7:E7"/>
    <mergeCell ref="F6:J6"/>
    <mergeCell ref="F7:J7"/>
    <mergeCell ref="E21:H21"/>
    <mergeCell ref="D15:J15"/>
    <mergeCell ref="D16:J16"/>
    <mergeCell ref="E224:G224"/>
    <mergeCell ref="E225:G225"/>
    <mergeCell ref="E229:G229"/>
    <mergeCell ref="E230:G230"/>
    <mergeCell ref="E104:G104"/>
    <mergeCell ref="E105:G105"/>
    <mergeCell ref="E110:G110"/>
    <mergeCell ref="E111:G111"/>
    <mergeCell ref="E114:G114"/>
    <mergeCell ref="E125:H125"/>
    <mergeCell ref="E123:G123"/>
    <mergeCell ref="E124:G124"/>
    <mergeCell ref="E161:H161"/>
    <mergeCell ref="E165:H165"/>
    <mergeCell ref="E149:G149"/>
    <mergeCell ref="E150:G150"/>
    <mergeCell ref="E152:G152"/>
    <mergeCell ref="E153:G153"/>
    <mergeCell ref="E159:G159"/>
    <mergeCell ref="E160:G160"/>
    <mergeCell ref="E151:H151"/>
    <mergeCell ref="E154:H154"/>
    <mergeCell ref="E220:H220"/>
    <mergeCell ref="E217:G217"/>
  </mergeCells>
  <conditionalFormatting sqref="E23:H23">
    <cfRule type="expression" dxfId="1870" priority="232">
      <formula>NOT($L$13)</formula>
    </cfRule>
  </conditionalFormatting>
  <conditionalFormatting sqref="E34:H34">
    <cfRule type="expression" dxfId="1869" priority="53">
      <formula>NOT($L$13)</formula>
    </cfRule>
  </conditionalFormatting>
  <conditionalFormatting sqref="E45:H45">
    <cfRule type="expression" dxfId="1868" priority="51">
      <formula>NOT($L$13)</formula>
    </cfRule>
  </conditionalFormatting>
  <conditionalFormatting sqref="E54:H54">
    <cfRule type="expression" dxfId="1867" priority="49">
      <formula>NOT($L$13)</formula>
    </cfRule>
  </conditionalFormatting>
  <conditionalFormatting sqref="E65:H65">
    <cfRule type="expression" dxfId="1866" priority="47">
      <formula>NOT($L$13)</formula>
    </cfRule>
  </conditionalFormatting>
  <conditionalFormatting sqref="E73:H73">
    <cfRule type="expression" dxfId="1865" priority="45">
      <formula>NOT($L$13)</formula>
    </cfRule>
  </conditionalFormatting>
  <conditionalFormatting sqref="E126:H128">
    <cfRule type="expression" dxfId="1864" priority="43">
      <formula>NOT($L$13)</formula>
    </cfRule>
  </conditionalFormatting>
  <conditionalFormatting sqref="E136:H136">
    <cfRule type="expression" dxfId="1863" priority="41">
      <formula>NOT($L$13)</formula>
    </cfRule>
  </conditionalFormatting>
  <conditionalFormatting sqref="E139">
    <cfRule type="expression" dxfId="1862" priority="39">
      <formula>NOT($L$13)</formula>
    </cfRule>
  </conditionalFormatting>
  <conditionalFormatting sqref="E144:H148">
    <cfRule type="expression" dxfId="1861" priority="37">
      <formula>NOT($L$13)</formula>
    </cfRule>
  </conditionalFormatting>
  <conditionalFormatting sqref="F140:F142">
    <cfRule type="expression" dxfId="1860" priority="35">
      <formula>NOT($L$13)</formula>
    </cfRule>
  </conditionalFormatting>
  <conditionalFormatting sqref="F137">
    <cfRule type="expression" dxfId="1859" priority="33">
      <formula>NOT($L$13)</formula>
    </cfRule>
  </conditionalFormatting>
  <conditionalFormatting sqref="F132:F134">
    <cfRule type="expression" dxfId="1858" priority="31">
      <formula>NOT($L$13)</formula>
    </cfRule>
  </conditionalFormatting>
  <conditionalFormatting sqref="F129:F130">
    <cfRule type="expression" dxfId="1857" priority="29">
      <formula>NOT($L$13)</formula>
    </cfRule>
  </conditionalFormatting>
  <conditionalFormatting sqref="I127 I144 I147">
    <cfRule type="expression" dxfId="1856" priority="27">
      <formula>NOT($L$13)</formula>
    </cfRule>
  </conditionalFormatting>
  <conditionalFormatting sqref="E162:H162">
    <cfRule type="expression" dxfId="1855" priority="26">
      <formula>NOT($L$13)</formula>
    </cfRule>
  </conditionalFormatting>
  <conditionalFormatting sqref="E166:H166">
    <cfRule type="expression" dxfId="1854" priority="24">
      <formula>NOT($L$13)</formula>
    </cfRule>
  </conditionalFormatting>
  <conditionalFormatting sqref="E171:H171">
    <cfRule type="expression" dxfId="1853" priority="22">
      <formula>NOT($L$13)</formula>
    </cfRule>
  </conditionalFormatting>
  <conditionalFormatting sqref="E30:H30">
    <cfRule type="expression" dxfId="1852" priority="20">
      <formula>($L$13)</formula>
    </cfRule>
  </conditionalFormatting>
  <conditionalFormatting sqref="E31:H33">
    <cfRule type="expression" dxfId="1851" priority="18">
      <formula>($L$13)</formula>
    </cfRule>
  </conditionalFormatting>
  <conditionalFormatting sqref="E21:H22">
    <cfRule type="expression" dxfId="1850" priority="16">
      <formula>($L$13)</formula>
    </cfRule>
  </conditionalFormatting>
  <conditionalFormatting sqref="E42:H44">
    <cfRule type="expression" dxfId="1849" priority="14">
      <formula>($L$13)</formula>
    </cfRule>
  </conditionalFormatting>
  <conditionalFormatting sqref="E51:H53">
    <cfRule type="expression" dxfId="1848" priority="12">
      <formula>($L$13)</formula>
    </cfRule>
  </conditionalFormatting>
  <conditionalFormatting sqref="E64:H64">
    <cfRule type="expression" dxfId="1847" priority="10">
      <formula>($L$13)</formula>
    </cfRule>
  </conditionalFormatting>
  <conditionalFormatting sqref="E71:H72">
    <cfRule type="expression" dxfId="1846" priority="8">
      <formula>($L$13)</formula>
    </cfRule>
  </conditionalFormatting>
  <conditionalFormatting sqref="E125:H125">
    <cfRule type="expression" dxfId="1845" priority="6">
      <formula>($L$13)</formula>
    </cfRule>
  </conditionalFormatting>
  <conditionalFormatting sqref="E165:H165">
    <cfRule type="expression" dxfId="1844" priority="4">
      <formula>($L$13)</formula>
    </cfRule>
  </conditionalFormatting>
  <conditionalFormatting sqref="E169:H170">
    <cfRule type="expression" dxfId="1843" priority="2">
      <formula>($L$13)</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Juni 2023&amp;R&amp;P</oddFooter>
  </headerFooter>
  <rowBreaks count="10" manualBreakCount="10">
    <brk id="38" max="10" man="1"/>
    <brk id="61" max="10" man="1"/>
    <brk id="67" max="10" man="1"/>
    <brk id="100" max="10" man="1"/>
    <brk id="121" max="10" man="1"/>
    <brk id="151" max="10" man="1"/>
    <brk id="173" max="10" man="1"/>
    <brk id="196" max="10" man="1"/>
    <brk id="204" max="10" man="1"/>
    <brk id="22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ltText="">
                <anchor moveWithCells="1">
                  <from>
                    <xdr:col>1</xdr:col>
                    <xdr:colOff>0</xdr:colOff>
                    <xdr:row>18</xdr:row>
                    <xdr:rowOff>0</xdr:rowOff>
                  </from>
                  <to>
                    <xdr:col>2</xdr:col>
                    <xdr:colOff>0</xdr:colOff>
                    <xdr:row>19</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ltText="">
                <anchor moveWithCells="1">
                  <from>
                    <xdr:col>1</xdr:col>
                    <xdr:colOff>0</xdr:colOff>
                    <xdr:row>23</xdr:row>
                    <xdr:rowOff>0</xdr:rowOff>
                  </from>
                  <to>
                    <xdr:col>2</xdr:col>
                    <xdr:colOff>0</xdr:colOff>
                    <xdr:row>24</xdr:row>
                    <xdr:rowOff>9525</xdr:rowOff>
                  </to>
                </anchor>
              </controlPr>
            </control>
          </mc:Choice>
        </mc:AlternateContent>
        <mc:AlternateContent xmlns:mc="http://schemas.openxmlformats.org/markup-compatibility/2006">
          <mc:Choice Requires="x14">
            <control shapeId="53254" r:id="rId6" name="Check Box 6">
              <controlPr defaultSize="0" autoFill="0" autoLine="0" autoPict="0" altText="">
                <anchor moveWithCells="1">
                  <from>
                    <xdr:col>1</xdr:col>
                    <xdr:colOff>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53255" r:id="rId7" name="Check Box 7">
              <controlPr defaultSize="0" autoFill="0" autoLine="0" autoPict="0" altText="">
                <anchor moveWithCells="1">
                  <from>
                    <xdr:col>1</xdr:col>
                    <xdr:colOff>0</xdr:colOff>
                    <xdr:row>45</xdr:row>
                    <xdr:rowOff>0</xdr:rowOff>
                  </from>
                  <to>
                    <xdr:col>2</xdr:col>
                    <xdr:colOff>0</xdr:colOff>
                    <xdr:row>46</xdr:row>
                    <xdr:rowOff>9525</xdr:rowOff>
                  </to>
                </anchor>
              </controlPr>
            </control>
          </mc:Choice>
        </mc:AlternateContent>
        <mc:AlternateContent xmlns:mc="http://schemas.openxmlformats.org/markup-compatibility/2006">
          <mc:Choice Requires="x14">
            <control shapeId="53256" r:id="rId8" name="Check Box 8">
              <controlPr defaultSize="0" autoFill="0" autoLine="0" autoPict="0" altText="">
                <anchor moveWithCells="1">
                  <from>
                    <xdr:col>1</xdr:col>
                    <xdr:colOff>0</xdr:colOff>
                    <xdr:row>48</xdr:row>
                    <xdr:rowOff>0</xdr:rowOff>
                  </from>
                  <to>
                    <xdr:col>2</xdr:col>
                    <xdr:colOff>0</xdr:colOff>
                    <xdr:row>49</xdr:row>
                    <xdr:rowOff>9525</xdr:rowOff>
                  </to>
                </anchor>
              </controlPr>
            </control>
          </mc:Choice>
        </mc:AlternateContent>
        <mc:AlternateContent xmlns:mc="http://schemas.openxmlformats.org/markup-compatibility/2006">
          <mc:Choice Requires="x14">
            <control shapeId="53257" r:id="rId9" name="Check Box 9">
              <controlPr defaultSize="0" autoFill="0" autoLine="0" autoPict="0" altText="">
                <anchor moveWithCells="1">
                  <from>
                    <xdr:col>1</xdr:col>
                    <xdr:colOff>0</xdr:colOff>
                    <xdr:row>54</xdr:row>
                    <xdr:rowOff>0</xdr:rowOff>
                  </from>
                  <to>
                    <xdr:col>2</xdr:col>
                    <xdr:colOff>0</xdr:colOff>
                    <xdr:row>55</xdr:row>
                    <xdr:rowOff>9525</xdr:rowOff>
                  </to>
                </anchor>
              </controlPr>
            </control>
          </mc:Choice>
        </mc:AlternateContent>
        <mc:AlternateContent xmlns:mc="http://schemas.openxmlformats.org/markup-compatibility/2006">
          <mc:Choice Requires="x14">
            <control shapeId="53258" r:id="rId10" name="Check Box 10">
              <controlPr defaultSize="0" autoFill="0" autoLine="0" autoPict="0" altText="">
                <anchor moveWithCells="1">
                  <from>
                    <xdr:col>1</xdr:col>
                    <xdr:colOff>0</xdr:colOff>
                    <xdr:row>57</xdr:row>
                    <xdr:rowOff>0</xdr:rowOff>
                  </from>
                  <to>
                    <xdr:col>2</xdr:col>
                    <xdr:colOff>0</xdr:colOff>
                    <xdr:row>58</xdr:row>
                    <xdr:rowOff>9525</xdr:rowOff>
                  </to>
                </anchor>
              </controlPr>
            </control>
          </mc:Choice>
        </mc:AlternateContent>
        <mc:AlternateContent xmlns:mc="http://schemas.openxmlformats.org/markup-compatibility/2006">
          <mc:Choice Requires="x14">
            <control shapeId="53259" r:id="rId11" name="Check Box 11">
              <controlPr defaultSize="0" autoFill="0" autoLine="0" autoPict="0" altText="">
                <anchor moveWithCells="1">
                  <from>
                    <xdr:col>1</xdr:col>
                    <xdr:colOff>0</xdr:colOff>
                    <xdr:row>61</xdr:row>
                    <xdr:rowOff>0</xdr:rowOff>
                  </from>
                  <to>
                    <xdr:col>2</xdr:col>
                    <xdr:colOff>0</xdr:colOff>
                    <xdr:row>62</xdr:row>
                    <xdr:rowOff>9525</xdr:rowOff>
                  </to>
                </anchor>
              </controlPr>
            </control>
          </mc:Choice>
        </mc:AlternateContent>
        <mc:AlternateContent xmlns:mc="http://schemas.openxmlformats.org/markup-compatibility/2006">
          <mc:Choice Requires="x14">
            <control shapeId="53265" r:id="rId12" name="Check Box 17">
              <controlPr defaultSize="0" autoFill="0" autoLine="0" autoPict="0" altText="">
                <anchor moveWithCells="1">
                  <from>
                    <xdr:col>1</xdr:col>
                    <xdr:colOff>0</xdr:colOff>
                    <xdr:row>73</xdr:row>
                    <xdr:rowOff>0</xdr:rowOff>
                  </from>
                  <to>
                    <xdr:col>2</xdr:col>
                    <xdr:colOff>0</xdr:colOff>
                    <xdr:row>74</xdr:row>
                    <xdr:rowOff>9525</xdr:rowOff>
                  </to>
                </anchor>
              </controlPr>
            </control>
          </mc:Choice>
        </mc:AlternateContent>
        <mc:AlternateContent xmlns:mc="http://schemas.openxmlformats.org/markup-compatibility/2006">
          <mc:Choice Requires="x14">
            <control shapeId="53266" r:id="rId13" name="Check Box 18">
              <controlPr defaultSize="0" autoFill="0" autoLine="0" autoPict="0" altText="">
                <anchor moveWithCells="1">
                  <from>
                    <xdr:col>1</xdr:col>
                    <xdr:colOff>0</xdr:colOff>
                    <xdr:row>94</xdr:row>
                    <xdr:rowOff>0</xdr:rowOff>
                  </from>
                  <to>
                    <xdr:col>2</xdr:col>
                    <xdr:colOff>0</xdr:colOff>
                    <xdr:row>94</xdr:row>
                    <xdr:rowOff>190500</xdr:rowOff>
                  </to>
                </anchor>
              </controlPr>
            </control>
          </mc:Choice>
        </mc:AlternateContent>
        <mc:AlternateContent xmlns:mc="http://schemas.openxmlformats.org/markup-compatibility/2006">
          <mc:Choice Requires="x14">
            <control shapeId="53267" r:id="rId14" name="Check Box 19">
              <controlPr defaultSize="0" autoFill="0" autoLine="0" autoPict="0" altText="">
                <anchor moveWithCells="1">
                  <from>
                    <xdr:col>1</xdr:col>
                    <xdr:colOff>0</xdr:colOff>
                    <xdr:row>97</xdr:row>
                    <xdr:rowOff>0</xdr:rowOff>
                  </from>
                  <to>
                    <xdr:col>2</xdr:col>
                    <xdr:colOff>0</xdr:colOff>
                    <xdr:row>98</xdr:row>
                    <xdr:rowOff>9525</xdr:rowOff>
                  </to>
                </anchor>
              </controlPr>
            </control>
          </mc:Choice>
        </mc:AlternateContent>
        <mc:AlternateContent xmlns:mc="http://schemas.openxmlformats.org/markup-compatibility/2006">
          <mc:Choice Requires="x14">
            <control shapeId="53268" r:id="rId15" name="Check Box 20">
              <controlPr defaultSize="0" autoFill="0" autoLine="0" autoPict="0" altText="">
                <anchor moveWithCells="1">
                  <from>
                    <xdr:col>1</xdr:col>
                    <xdr:colOff>0</xdr:colOff>
                    <xdr:row>100</xdr:row>
                    <xdr:rowOff>0</xdr:rowOff>
                  </from>
                  <to>
                    <xdr:col>2</xdr:col>
                    <xdr:colOff>0</xdr:colOff>
                    <xdr:row>101</xdr:row>
                    <xdr:rowOff>9525</xdr:rowOff>
                  </to>
                </anchor>
              </controlPr>
            </control>
          </mc:Choice>
        </mc:AlternateContent>
        <mc:AlternateContent xmlns:mc="http://schemas.openxmlformats.org/markup-compatibility/2006">
          <mc:Choice Requires="x14">
            <control shapeId="53269" r:id="rId16" name="Check Box 21">
              <controlPr defaultSize="0" autoFill="0" autoLine="0" autoPict="0" altText="">
                <anchor moveWithCells="1">
                  <from>
                    <xdr:col>1</xdr:col>
                    <xdr:colOff>0</xdr:colOff>
                    <xdr:row>103</xdr:row>
                    <xdr:rowOff>0</xdr:rowOff>
                  </from>
                  <to>
                    <xdr:col>2</xdr:col>
                    <xdr:colOff>0</xdr:colOff>
                    <xdr:row>104</xdr:row>
                    <xdr:rowOff>9525</xdr:rowOff>
                  </to>
                </anchor>
              </controlPr>
            </control>
          </mc:Choice>
        </mc:AlternateContent>
        <mc:AlternateContent xmlns:mc="http://schemas.openxmlformats.org/markup-compatibility/2006">
          <mc:Choice Requires="x14">
            <control shapeId="53270" r:id="rId17" name="Check Box 22">
              <controlPr defaultSize="0" autoFill="0" autoLine="0" autoPict="0" altText="3 Fahrstreifen">
                <anchor moveWithCells="1">
                  <from>
                    <xdr:col>1</xdr:col>
                    <xdr:colOff>0</xdr:colOff>
                    <xdr:row>109</xdr:row>
                    <xdr:rowOff>0</xdr:rowOff>
                  </from>
                  <to>
                    <xdr:col>2</xdr:col>
                    <xdr:colOff>0</xdr:colOff>
                    <xdr:row>110</xdr:row>
                    <xdr:rowOff>9525</xdr:rowOff>
                  </to>
                </anchor>
              </controlPr>
            </control>
          </mc:Choice>
        </mc:AlternateContent>
        <mc:AlternateContent xmlns:mc="http://schemas.openxmlformats.org/markup-compatibility/2006">
          <mc:Choice Requires="x14">
            <control shapeId="53271" r:id="rId18" name="Check Box 23">
              <controlPr defaultSize="0" autoFill="0" autoLine="0" autoPict="0" altText="">
                <anchor moveWithCells="1">
                  <from>
                    <xdr:col>1</xdr:col>
                    <xdr:colOff>0</xdr:colOff>
                    <xdr:row>148</xdr:row>
                    <xdr:rowOff>0</xdr:rowOff>
                  </from>
                  <to>
                    <xdr:col>2</xdr:col>
                    <xdr:colOff>0</xdr:colOff>
                    <xdr:row>149</xdr:row>
                    <xdr:rowOff>9525</xdr:rowOff>
                  </to>
                </anchor>
              </controlPr>
            </control>
          </mc:Choice>
        </mc:AlternateContent>
        <mc:AlternateContent xmlns:mc="http://schemas.openxmlformats.org/markup-compatibility/2006">
          <mc:Choice Requires="x14">
            <control shapeId="53272" r:id="rId19" name="Check Box 24">
              <controlPr defaultSize="0" autoFill="0" autoLine="0" autoPict="0" altText="">
                <anchor moveWithCells="1">
                  <from>
                    <xdr:col>1</xdr:col>
                    <xdr:colOff>0</xdr:colOff>
                    <xdr:row>158</xdr:row>
                    <xdr:rowOff>0</xdr:rowOff>
                  </from>
                  <to>
                    <xdr:col>2</xdr:col>
                    <xdr:colOff>0</xdr:colOff>
                    <xdr:row>159</xdr:row>
                    <xdr:rowOff>9525</xdr:rowOff>
                  </to>
                </anchor>
              </controlPr>
            </control>
          </mc:Choice>
        </mc:AlternateContent>
        <mc:AlternateContent xmlns:mc="http://schemas.openxmlformats.org/markup-compatibility/2006">
          <mc:Choice Requires="x14">
            <control shapeId="53273" r:id="rId20" name="Check Box 25">
              <controlPr defaultSize="0" autoFill="0" autoLine="0" autoPict="0" altText="3 Fahrstreifen">
                <anchor moveWithCells="1">
                  <from>
                    <xdr:col>1</xdr:col>
                    <xdr:colOff>0</xdr:colOff>
                    <xdr:row>151</xdr:row>
                    <xdr:rowOff>0</xdr:rowOff>
                  </from>
                  <to>
                    <xdr:col>2</xdr:col>
                    <xdr:colOff>0</xdr:colOff>
                    <xdr:row>152</xdr:row>
                    <xdr:rowOff>9525</xdr:rowOff>
                  </to>
                </anchor>
              </controlPr>
            </control>
          </mc:Choice>
        </mc:AlternateContent>
        <mc:AlternateContent xmlns:mc="http://schemas.openxmlformats.org/markup-compatibility/2006">
          <mc:Choice Requires="x14">
            <control shapeId="53274" r:id="rId21" name="Check Box 26">
              <controlPr defaultSize="0" autoFill="0" autoLine="0" autoPict="0" altText="3 Fahrstreifen">
                <anchor moveWithCells="1">
                  <from>
                    <xdr:col>1</xdr:col>
                    <xdr:colOff>0</xdr:colOff>
                    <xdr:row>162</xdr:row>
                    <xdr:rowOff>0</xdr:rowOff>
                  </from>
                  <to>
                    <xdr:col>2</xdr:col>
                    <xdr:colOff>0</xdr:colOff>
                    <xdr:row>163</xdr:row>
                    <xdr:rowOff>9525</xdr:rowOff>
                  </to>
                </anchor>
              </controlPr>
            </control>
          </mc:Choice>
        </mc:AlternateContent>
        <mc:AlternateContent xmlns:mc="http://schemas.openxmlformats.org/markup-compatibility/2006">
          <mc:Choice Requires="x14">
            <control shapeId="53275" r:id="rId22" name="Check Box 27">
              <controlPr defaultSize="0" autoFill="0" autoLine="0" autoPict="0" altText="">
                <anchor moveWithCells="1">
                  <from>
                    <xdr:col>1</xdr:col>
                    <xdr:colOff>0</xdr:colOff>
                    <xdr:row>166</xdr:row>
                    <xdr:rowOff>0</xdr:rowOff>
                  </from>
                  <to>
                    <xdr:col>2</xdr:col>
                    <xdr:colOff>0</xdr:colOff>
                    <xdr:row>167</xdr:row>
                    <xdr:rowOff>9525</xdr:rowOff>
                  </to>
                </anchor>
              </controlPr>
            </control>
          </mc:Choice>
        </mc:AlternateContent>
        <mc:AlternateContent xmlns:mc="http://schemas.openxmlformats.org/markup-compatibility/2006">
          <mc:Choice Requires="x14">
            <control shapeId="53276" r:id="rId23" name="Check Box 28">
              <controlPr defaultSize="0" autoFill="0" autoLine="0" autoPict="0" altText="">
                <anchor moveWithCells="1">
                  <from>
                    <xdr:col>1</xdr:col>
                    <xdr:colOff>0</xdr:colOff>
                    <xdr:row>174</xdr:row>
                    <xdr:rowOff>0</xdr:rowOff>
                  </from>
                  <to>
                    <xdr:col>2</xdr:col>
                    <xdr:colOff>0</xdr:colOff>
                    <xdr:row>175</xdr:row>
                    <xdr:rowOff>9525</xdr:rowOff>
                  </to>
                </anchor>
              </controlPr>
            </control>
          </mc:Choice>
        </mc:AlternateContent>
        <mc:AlternateContent xmlns:mc="http://schemas.openxmlformats.org/markup-compatibility/2006">
          <mc:Choice Requires="x14">
            <control shapeId="53277" r:id="rId24" name="Check Box 29">
              <controlPr defaultSize="0" autoFill="0" autoLine="0" autoPict="0" altText="">
                <anchor moveWithCells="1">
                  <from>
                    <xdr:col>1</xdr:col>
                    <xdr:colOff>0</xdr:colOff>
                    <xdr:row>179</xdr:row>
                    <xdr:rowOff>0</xdr:rowOff>
                  </from>
                  <to>
                    <xdr:col>2</xdr:col>
                    <xdr:colOff>0</xdr:colOff>
                    <xdr:row>180</xdr:row>
                    <xdr:rowOff>9525</xdr:rowOff>
                  </to>
                </anchor>
              </controlPr>
            </control>
          </mc:Choice>
        </mc:AlternateContent>
        <mc:AlternateContent xmlns:mc="http://schemas.openxmlformats.org/markup-compatibility/2006">
          <mc:Choice Requires="x14">
            <control shapeId="53278" r:id="rId25" name="Check Box 30">
              <controlPr defaultSize="0" autoFill="0" autoLine="0" autoPict="0" altText="">
                <anchor moveWithCells="1">
                  <from>
                    <xdr:col>1</xdr:col>
                    <xdr:colOff>0</xdr:colOff>
                    <xdr:row>183</xdr:row>
                    <xdr:rowOff>0</xdr:rowOff>
                  </from>
                  <to>
                    <xdr:col>2</xdr:col>
                    <xdr:colOff>0</xdr:colOff>
                    <xdr:row>184</xdr:row>
                    <xdr:rowOff>9525</xdr:rowOff>
                  </to>
                </anchor>
              </controlPr>
            </control>
          </mc:Choice>
        </mc:AlternateContent>
        <mc:AlternateContent xmlns:mc="http://schemas.openxmlformats.org/markup-compatibility/2006">
          <mc:Choice Requires="x14">
            <control shapeId="53279" r:id="rId26" name="Check Box 31">
              <controlPr defaultSize="0" autoFill="0" autoLine="0" autoPict="0" altText="">
                <anchor moveWithCells="1">
                  <from>
                    <xdr:col>1</xdr:col>
                    <xdr:colOff>0</xdr:colOff>
                    <xdr:row>196</xdr:row>
                    <xdr:rowOff>0</xdr:rowOff>
                  </from>
                  <to>
                    <xdr:col>2</xdr:col>
                    <xdr:colOff>0</xdr:colOff>
                    <xdr:row>197</xdr:row>
                    <xdr:rowOff>9525</xdr:rowOff>
                  </to>
                </anchor>
              </controlPr>
            </control>
          </mc:Choice>
        </mc:AlternateContent>
        <mc:AlternateContent xmlns:mc="http://schemas.openxmlformats.org/markup-compatibility/2006">
          <mc:Choice Requires="x14">
            <control shapeId="53280" r:id="rId27" name="Check Box 32">
              <controlPr defaultSize="0" autoFill="0" autoLine="0" autoPict="0" altText="">
                <anchor moveWithCells="1">
                  <from>
                    <xdr:col>1</xdr:col>
                    <xdr:colOff>0</xdr:colOff>
                    <xdr:row>205</xdr:row>
                    <xdr:rowOff>0</xdr:rowOff>
                  </from>
                  <to>
                    <xdr:col>2</xdr:col>
                    <xdr:colOff>0</xdr:colOff>
                    <xdr:row>206</xdr:row>
                    <xdr:rowOff>9525</xdr:rowOff>
                  </to>
                </anchor>
              </controlPr>
            </control>
          </mc:Choice>
        </mc:AlternateContent>
        <mc:AlternateContent xmlns:mc="http://schemas.openxmlformats.org/markup-compatibility/2006">
          <mc:Choice Requires="x14">
            <control shapeId="53281" r:id="rId28" name="Check Box 33">
              <controlPr defaultSize="0" autoFill="0" autoLine="0" autoPict="0" altText="">
                <anchor moveWithCells="1">
                  <from>
                    <xdr:col>1</xdr:col>
                    <xdr:colOff>0</xdr:colOff>
                    <xdr:row>212</xdr:row>
                    <xdr:rowOff>0</xdr:rowOff>
                  </from>
                  <to>
                    <xdr:col>2</xdr:col>
                    <xdr:colOff>0</xdr:colOff>
                    <xdr:row>213</xdr:row>
                    <xdr:rowOff>9525</xdr:rowOff>
                  </to>
                </anchor>
              </controlPr>
            </control>
          </mc:Choice>
        </mc:AlternateContent>
        <mc:AlternateContent xmlns:mc="http://schemas.openxmlformats.org/markup-compatibility/2006">
          <mc:Choice Requires="x14">
            <control shapeId="53282" r:id="rId29" name="Check Box 34">
              <controlPr defaultSize="0" autoFill="0" autoLine="0" autoPict="0" altText="3 Fahrstreifen">
                <anchor moveWithCells="1">
                  <from>
                    <xdr:col>1</xdr:col>
                    <xdr:colOff>0</xdr:colOff>
                    <xdr:row>216</xdr:row>
                    <xdr:rowOff>0</xdr:rowOff>
                  </from>
                  <to>
                    <xdr:col>2</xdr:col>
                    <xdr:colOff>0</xdr:colOff>
                    <xdr:row>217</xdr:row>
                    <xdr:rowOff>9525</xdr:rowOff>
                  </to>
                </anchor>
              </controlPr>
            </control>
          </mc:Choice>
        </mc:AlternateContent>
        <mc:AlternateContent xmlns:mc="http://schemas.openxmlformats.org/markup-compatibility/2006">
          <mc:Choice Requires="x14">
            <control shapeId="53308" r:id="rId30" name="Check Box 60">
              <controlPr defaultSize="0" autoFill="0" autoLine="0" autoPict="0" altText="">
                <anchor moveWithCells="1">
                  <from>
                    <xdr:col>1</xdr:col>
                    <xdr:colOff>0</xdr:colOff>
                    <xdr:row>116</xdr:row>
                    <xdr:rowOff>0</xdr:rowOff>
                  </from>
                  <to>
                    <xdr:col>2</xdr:col>
                    <xdr:colOff>0</xdr:colOff>
                    <xdr:row>117</xdr:row>
                    <xdr:rowOff>9525</xdr:rowOff>
                  </to>
                </anchor>
              </controlPr>
            </control>
          </mc:Choice>
        </mc:AlternateContent>
        <mc:AlternateContent xmlns:mc="http://schemas.openxmlformats.org/markup-compatibility/2006">
          <mc:Choice Requires="x14">
            <control shapeId="53309" r:id="rId31" name="Check Box 61">
              <controlPr defaultSize="0" autoFill="0" autoLine="0" autoPict="0" altText="">
                <anchor moveWithCells="1">
                  <from>
                    <xdr:col>1</xdr:col>
                    <xdr:colOff>0</xdr:colOff>
                    <xdr:row>122</xdr:row>
                    <xdr:rowOff>0</xdr:rowOff>
                  </from>
                  <to>
                    <xdr:col>2</xdr:col>
                    <xdr:colOff>0</xdr:colOff>
                    <xdr:row>122</xdr:row>
                    <xdr:rowOff>209550</xdr:rowOff>
                  </to>
                </anchor>
              </controlPr>
            </control>
          </mc:Choice>
        </mc:AlternateContent>
        <mc:AlternateContent xmlns:mc="http://schemas.openxmlformats.org/markup-compatibility/2006">
          <mc:Choice Requires="x14">
            <control shapeId="53310" r:id="rId32" name="Check Box 62">
              <controlPr defaultSize="0" autoFill="0" autoLine="0" autoPict="0" altText="3 Fahrstreifen">
                <anchor moveWithCells="1">
                  <from>
                    <xdr:col>1</xdr:col>
                    <xdr:colOff>0</xdr:colOff>
                    <xdr:row>68</xdr:row>
                    <xdr:rowOff>0</xdr:rowOff>
                  </from>
                  <to>
                    <xdr:col>2</xdr:col>
                    <xdr:colOff>0</xdr:colOff>
                    <xdr:row>69</xdr:row>
                    <xdr:rowOff>9525</xdr:rowOff>
                  </to>
                </anchor>
              </controlPr>
            </control>
          </mc:Choice>
        </mc:AlternateContent>
        <mc:AlternateContent xmlns:mc="http://schemas.openxmlformats.org/markup-compatibility/2006">
          <mc:Choice Requires="x14">
            <control shapeId="53311" r:id="rId33" name="Check Box 63">
              <controlPr defaultSize="0" autoFill="0" autoLine="0" autoPict="0" altText="">
                <anchor moveWithCells="1">
                  <from>
                    <xdr:col>1</xdr:col>
                    <xdr:colOff>0</xdr:colOff>
                    <xdr:row>113</xdr:row>
                    <xdr:rowOff>0</xdr:rowOff>
                  </from>
                  <to>
                    <xdr:col>2</xdr:col>
                    <xdr:colOff>0</xdr:colOff>
                    <xdr:row>114</xdr:row>
                    <xdr:rowOff>9525</xdr:rowOff>
                  </to>
                </anchor>
              </controlPr>
            </control>
          </mc:Choice>
        </mc:AlternateContent>
        <mc:AlternateContent xmlns:mc="http://schemas.openxmlformats.org/markup-compatibility/2006">
          <mc:Choice Requires="x14">
            <control shapeId="53312" r:id="rId34" name="Check Box 64">
              <controlPr defaultSize="0" autoFill="0" autoLine="0" autoPict="0" altText="">
                <anchor moveWithCells="1">
                  <from>
                    <xdr:col>1</xdr:col>
                    <xdr:colOff>0</xdr:colOff>
                    <xdr:row>27</xdr:row>
                    <xdr:rowOff>0</xdr:rowOff>
                  </from>
                  <to>
                    <xdr:col>2</xdr:col>
                    <xdr:colOff>0</xdr:colOff>
                    <xdr:row>28</xdr:row>
                    <xdr:rowOff>9525</xdr:rowOff>
                  </to>
                </anchor>
              </controlPr>
            </control>
          </mc:Choice>
        </mc:AlternateContent>
        <mc:AlternateContent xmlns:mc="http://schemas.openxmlformats.org/markup-compatibility/2006">
          <mc:Choice Requires="x14">
            <control shapeId="53321" r:id="rId35" name="Check Box 73">
              <controlPr defaultSize="0" autoFill="0" autoLine="0" autoPict="0" altText="">
                <anchor moveWithCells="1">
                  <from>
                    <xdr:col>1</xdr:col>
                    <xdr:colOff>0</xdr:colOff>
                    <xdr:row>61</xdr:row>
                    <xdr:rowOff>0</xdr:rowOff>
                  </from>
                  <to>
                    <xdr:col>2</xdr:col>
                    <xdr:colOff>0</xdr:colOff>
                    <xdr:row>62</xdr:row>
                    <xdr:rowOff>9525</xdr:rowOff>
                  </to>
                </anchor>
              </controlPr>
            </control>
          </mc:Choice>
        </mc:AlternateContent>
        <mc:AlternateContent xmlns:mc="http://schemas.openxmlformats.org/markup-compatibility/2006">
          <mc:Choice Requires="x14">
            <control shapeId="53322" r:id="rId36" name="Check Box 74">
              <controlPr defaultSize="0" autoFill="0" autoLine="0" autoPict="0" altText="">
                <anchor moveWithCells="1">
                  <from>
                    <xdr:col>1</xdr:col>
                    <xdr:colOff>9525</xdr:colOff>
                    <xdr:row>14</xdr:row>
                    <xdr:rowOff>0</xdr:rowOff>
                  </from>
                  <to>
                    <xdr:col>2</xdr:col>
                    <xdr:colOff>9525</xdr:colOff>
                    <xdr:row>15</xdr:row>
                    <xdr:rowOff>0</xdr:rowOff>
                  </to>
                </anchor>
              </controlPr>
            </control>
          </mc:Choice>
        </mc:AlternateContent>
        <mc:AlternateContent xmlns:mc="http://schemas.openxmlformats.org/markup-compatibility/2006">
          <mc:Choice Requires="x14">
            <control shapeId="53324" r:id="rId37" name="Check Box 76">
              <controlPr defaultSize="0" autoFill="0" autoLine="0" autoPict="0" altText="">
                <anchor moveWithCells="1">
                  <from>
                    <xdr:col>1</xdr:col>
                    <xdr:colOff>9525</xdr:colOff>
                    <xdr:row>15</xdr:row>
                    <xdr:rowOff>0</xdr:rowOff>
                  </from>
                  <to>
                    <xdr:col>2</xdr:col>
                    <xdr:colOff>9525</xdr:colOff>
                    <xdr:row>16</xdr:row>
                    <xdr:rowOff>0</xdr:rowOff>
                  </to>
                </anchor>
              </controlPr>
            </control>
          </mc:Choice>
        </mc:AlternateContent>
        <mc:AlternateContent xmlns:mc="http://schemas.openxmlformats.org/markup-compatibility/2006">
          <mc:Choice Requires="x14">
            <control shapeId="53329" r:id="rId38" name="Check Box 81">
              <controlPr defaultSize="0" autoFill="0" autoLine="0" autoPict="0" altText="">
                <anchor moveWithCells="1">
                  <from>
                    <xdr:col>1</xdr:col>
                    <xdr:colOff>0</xdr:colOff>
                    <xdr:row>192</xdr:row>
                    <xdr:rowOff>0</xdr:rowOff>
                  </from>
                  <to>
                    <xdr:col>2</xdr:col>
                    <xdr:colOff>0</xdr:colOff>
                    <xdr:row>193</xdr:row>
                    <xdr:rowOff>9525</xdr:rowOff>
                  </to>
                </anchor>
              </controlPr>
            </control>
          </mc:Choice>
        </mc:AlternateContent>
        <mc:AlternateContent xmlns:mc="http://schemas.openxmlformats.org/markup-compatibility/2006">
          <mc:Choice Requires="x14">
            <control shapeId="53330" r:id="rId39" name="Check Box 82">
              <controlPr defaultSize="0" autoFill="0" autoLine="0" autoPict="0" altText="">
                <anchor moveWithCells="1">
                  <from>
                    <xdr:col>1</xdr:col>
                    <xdr:colOff>9525</xdr:colOff>
                    <xdr:row>12</xdr:row>
                    <xdr:rowOff>0</xdr:rowOff>
                  </from>
                  <to>
                    <xdr:col>2</xdr:col>
                    <xdr:colOff>9525</xdr:colOff>
                    <xdr:row>13</xdr:row>
                    <xdr:rowOff>0</xdr:rowOff>
                  </to>
                </anchor>
              </controlPr>
            </control>
          </mc:Choice>
        </mc:AlternateContent>
        <mc:AlternateContent xmlns:mc="http://schemas.openxmlformats.org/markup-compatibility/2006">
          <mc:Choice Requires="x14">
            <control shapeId="53331" r:id="rId40" name="Check Box 83">
              <controlPr defaultSize="0" autoFill="0" autoLine="0" autoPict="0" altText="">
                <anchor moveWithCells="1">
                  <from>
                    <xdr:col>3</xdr:col>
                    <xdr:colOff>0</xdr:colOff>
                    <xdr:row>126</xdr:row>
                    <xdr:rowOff>0</xdr:rowOff>
                  </from>
                  <to>
                    <xdr:col>4</xdr:col>
                    <xdr:colOff>0</xdr:colOff>
                    <xdr:row>127</xdr:row>
                    <xdr:rowOff>19050</xdr:rowOff>
                  </to>
                </anchor>
              </controlPr>
            </control>
          </mc:Choice>
        </mc:AlternateContent>
        <mc:AlternateContent xmlns:mc="http://schemas.openxmlformats.org/markup-compatibility/2006">
          <mc:Choice Requires="x14">
            <control shapeId="53332" r:id="rId41" name="Check Box 84">
              <controlPr defaultSize="0" autoFill="0" autoLine="0" autoPict="0" altText="">
                <anchor moveWithCells="1">
                  <from>
                    <xdr:col>4</xdr:col>
                    <xdr:colOff>0</xdr:colOff>
                    <xdr:row>128</xdr:row>
                    <xdr:rowOff>0</xdr:rowOff>
                  </from>
                  <to>
                    <xdr:col>5</xdr:col>
                    <xdr:colOff>0</xdr:colOff>
                    <xdr:row>129</xdr:row>
                    <xdr:rowOff>0</xdr:rowOff>
                  </to>
                </anchor>
              </controlPr>
            </control>
          </mc:Choice>
        </mc:AlternateContent>
        <mc:AlternateContent xmlns:mc="http://schemas.openxmlformats.org/markup-compatibility/2006">
          <mc:Choice Requires="x14">
            <control shapeId="53336" r:id="rId42" name="Check Box 88">
              <controlPr defaultSize="0" autoFill="0" autoLine="0" autoPict="0" altText="">
                <anchor moveWithCells="1">
                  <from>
                    <xdr:col>4</xdr:col>
                    <xdr:colOff>0</xdr:colOff>
                    <xdr:row>136</xdr:row>
                    <xdr:rowOff>0</xdr:rowOff>
                  </from>
                  <to>
                    <xdr:col>5</xdr:col>
                    <xdr:colOff>0</xdr:colOff>
                    <xdr:row>137</xdr:row>
                    <xdr:rowOff>0</xdr:rowOff>
                  </to>
                </anchor>
              </controlPr>
            </control>
          </mc:Choice>
        </mc:AlternateContent>
        <mc:AlternateContent xmlns:mc="http://schemas.openxmlformats.org/markup-compatibility/2006">
          <mc:Choice Requires="x14">
            <control shapeId="53337" r:id="rId43" name="Check Box 89">
              <controlPr defaultSize="0" autoFill="0" autoLine="0" autoPict="0" altText="">
                <anchor moveWithCells="1">
                  <from>
                    <xdr:col>4</xdr:col>
                    <xdr:colOff>0</xdr:colOff>
                    <xdr:row>139</xdr:row>
                    <xdr:rowOff>0</xdr:rowOff>
                  </from>
                  <to>
                    <xdr:col>5</xdr:col>
                    <xdr:colOff>0</xdr:colOff>
                    <xdr:row>140</xdr:row>
                    <xdr:rowOff>0</xdr:rowOff>
                  </to>
                </anchor>
              </controlPr>
            </control>
          </mc:Choice>
        </mc:AlternateContent>
        <mc:AlternateContent xmlns:mc="http://schemas.openxmlformats.org/markup-compatibility/2006">
          <mc:Choice Requires="x14">
            <control shapeId="53338" r:id="rId44" name="Check Box 90">
              <controlPr defaultSize="0" autoFill="0" autoLine="0" autoPict="0" altText="">
                <anchor moveWithCells="1">
                  <from>
                    <xdr:col>4</xdr:col>
                    <xdr:colOff>0</xdr:colOff>
                    <xdr:row>140</xdr:row>
                    <xdr:rowOff>0</xdr:rowOff>
                  </from>
                  <to>
                    <xdr:col>5</xdr:col>
                    <xdr:colOff>0</xdr:colOff>
                    <xdr:row>141</xdr:row>
                    <xdr:rowOff>0</xdr:rowOff>
                  </to>
                </anchor>
              </controlPr>
            </control>
          </mc:Choice>
        </mc:AlternateContent>
        <mc:AlternateContent xmlns:mc="http://schemas.openxmlformats.org/markup-compatibility/2006">
          <mc:Choice Requires="x14">
            <control shapeId="53339" r:id="rId45" name="Check Box 91">
              <controlPr defaultSize="0" autoFill="0" autoLine="0" autoPict="0" altText="">
                <anchor moveWithCells="1">
                  <from>
                    <xdr:col>4</xdr:col>
                    <xdr:colOff>0</xdr:colOff>
                    <xdr:row>141</xdr:row>
                    <xdr:rowOff>0</xdr:rowOff>
                  </from>
                  <to>
                    <xdr:col>5</xdr:col>
                    <xdr:colOff>0</xdr:colOff>
                    <xdr:row>142</xdr:row>
                    <xdr:rowOff>0</xdr:rowOff>
                  </to>
                </anchor>
              </controlPr>
            </control>
          </mc:Choice>
        </mc:AlternateContent>
        <mc:AlternateContent xmlns:mc="http://schemas.openxmlformats.org/markup-compatibility/2006">
          <mc:Choice Requires="x14">
            <control shapeId="53340" r:id="rId46" name="Check Box 92">
              <controlPr defaultSize="0" autoFill="0" autoLine="0" autoPict="0" altText="">
                <anchor moveWithCells="1">
                  <from>
                    <xdr:col>3</xdr:col>
                    <xdr:colOff>0</xdr:colOff>
                    <xdr:row>143</xdr:row>
                    <xdr:rowOff>0</xdr:rowOff>
                  </from>
                  <to>
                    <xdr:col>4</xdr:col>
                    <xdr:colOff>0</xdr:colOff>
                    <xdr:row>144</xdr:row>
                    <xdr:rowOff>0</xdr:rowOff>
                  </to>
                </anchor>
              </controlPr>
            </control>
          </mc:Choice>
        </mc:AlternateContent>
        <mc:AlternateContent xmlns:mc="http://schemas.openxmlformats.org/markup-compatibility/2006">
          <mc:Choice Requires="x14">
            <control shapeId="53341" r:id="rId47" name="Check Box 93">
              <controlPr defaultSize="0" autoFill="0" autoLine="0" autoPict="0" altText="">
                <anchor moveWithCells="1">
                  <from>
                    <xdr:col>3</xdr:col>
                    <xdr:colOff>0</xdr:colOff>
                    <xdr:row>146</xdr:row>
                    <xdr:rowOff>0</xdr:rowOff>
                  </from>
                  <to>
                    <xdr:col>4</xdr:col>
                    <xdr:colOff>0</xdr:colOff>
                    <xdr:row>147</xdr:row>
                    <xdr:rowOff>0</xdr:rowOff>
                  </to>
                </anchor>
              </controlPr>
            </control>
          </mc:Choice>
        </mc:AlternateContent>
        <mc:AlternateContent xmlns:mc="http://schemas.openxmlformats.org/markup-compatibility/2006">
          <mc:Choice Requires="x14">
            <control shapeId="53343" r:id="rId48" name="Check Box 95">
              <controlPr defaultSize="0" autoFill="0" autoLine="0" autoPict="0" altText="">
                <anchor moveWithCells="1">
                  <from>
                    <xdr:col>4</xdr:col>
                    <xdr:colOff>0</xdr:colOff>
                    <xdr:row>131</xdr:row>
                    <xdr:rowOff>0</xdr:rowOff>
                  </from>
                  <to>
                    <xdr:col>5</xdr:col>
                    <xdr:colOff>0</xdr:colOff>
                    <xdr:row>132</xdr:row>
                    <xdr:rowOff>0</xdr:rowOff>
                  </to>
                </anchor>
              </controlPr>
            </control>
          </mc:Choice>
        </mc:AlternateContent>
        <mc:AlternateContent xmlns:mc="http://schemas.openxmlformats.org/markup-compatibility/2006">
          <mc:Choice Requires="x14">
            <control shapeId="53344" r:id="rId49" name="Check Box 96">
              <controlPr defaultSize="0" autoFill="0" autoLine="0" autoPict="0" altText="">
                <anchor moveWithCells="1">
                  <from>
                    <xdr:col>4</xdr:col>
                    <xdr:colOff>0</xdr:colOff>
                    <xdr:row>132</xdr:row>
                    <xdr:rowOff>0</xdr:rowOff>
                  </from>
                  <to>
                    <xdr:col>5</xdr:col>
                    <xdr:colOff>0</xdr:colOff>
                    <xdr:row>133</xdr:row>
                    <xdr:rowOff>0</xdr:rowOff>
                  </to>
                </anchor>
              </controlPr>
            </control>
          </mc:Choice>
        </mc:AlternateContent>
        <mc:AlternateContent xmlns:mc="http://schemas.openxmlformats.org/markup-compatibility/2006">
          <mc:Choice Requires="x14">
            <control shapeId="53345" r:id="rId50" name="Check Box 97">
              <controlPr defaultSize="0" autoFill="0" autoLine="0" autoPict="0" altText="">
                <anchor moveWithCells="1">
                  <from>
                    <xdr:col>4</xdr:col>
                    <xdr:colOff>0</xdr:colOff>
                    <xdr:row>133</xdr:row>
                    <xdr:rowOff>0</xdr:rowOff>
                  </from>
                  <to>
                    <xdr:col>5</xdr:col>
                    <xdr:colOff>0</xdr:colOff>
                    <xdr:row>134</xdr:row>
                    <xdr:rowOff>0</xdr:rowOff>
                  </to>
                </anchor>
              </controlPr>
            </control>
          </mc:Choice>
        </mc:AlternateContent>
        <mc:AlternateContent xmlns:mc="http://schemas.openxmlformats.org/markup-compatibility/2006">
          <mc:Choice Requires="x14">
            <control shapeId="53347" r:id="rId51" name="Check Box 99">
              <controlPr defaultSize="0" autoFill="0" autoLine="0" autoPict="0" altText="">
                <anchor moveWithCells="1">
                  <from>
                    <xdr:col>4</xdr:col>
                    <xdr:colOff>0</xdr:colOff>
                    <xdr:row>129</xdr:row>
                    <xdr:rowOff>0</xdr:rowOff>
                  </from>
                  <to>
                    <xdr:col>5</xdr:col>
                    <xdr:colOff>0</xdr:colOff>
                    <xdr:row>130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4" id="{7FA46E8A-C670-42B1-B1F1-6E41F6CC9ECB}">
            <xm:f>NOT(Projektgrundlagen!$I$21)</xm:f>
            <x14:dxf>
              <font>
                <strike/>
                <color theme="0" tint="-0.14996795556505021"/>
              </font>
              <fill>
                <patternFill>
                  <bgColor theme="0"/>
                </patternFill>
              </fill>
            </x14:dxf>
          </x14:cfRule>
          <xm:sqref>B30:C34 I40:J65 B140:E143 I123:J171 B139:D139 B149:E161 B144:D148 B163:E164 B162:D162 B167:E168 B165:D166 B169:D171</xm:sqref>
        </x14:conditionalFormatting>
        <x14:conditionalFormatting xmlns:xm="http://schemas.microsoft.com/office/excel/2006/main">
          <x14:cfRule type="expression" priority="260" id="{76175C03-C10E-4907-B855-907B070FAE81}">
            <xm:f>NOT(Projektgrundlagen!$I$21)</xm:f>
            <x14:dxf>
              <font>
                <strike/>
                <color theme="0" tint="-0.14996795556505021"/>
              </font>
              <fill>
                <patternFill>
                  <bgColor theme="0"/>
                </patternFill>
              </fill>
            </x14:dxf>
          </x14:cfRule>
          <xm:sqref>B15:D16</xm:sqref>
        </x14:conditionalFormatting>
        <x14:conditionalFormatting xmlns:xm="http://schemas.microsoft.com/office/excel/2006/main">
          <x14:cfRule type="expression" priority="674" id="{FFBE9E00-A198-49F8-A468-A8FB11ABD1A9}">
            <xm:f>NOT(Projektgrundlagen!$I$21)</xm:f>
            <x14:dxf>
              <font>
                <strike/>
                <color theme="0" tint="-0.14996795556505021"/>
              </font>
              <fill>
                <patternFill>
                  <bgColor theme="0"/>
                </patternFill>
              </fill>
            </x14:dxf>
          </x14:cfRule>
          <xm:sqref>B29:D29</xm:sqref>
        </x14:conditionalFormatting>
        <x14:conditionalFormatting xmlns:xm="http://schemas.microsoft.com/office/excel/2006/main">
          <x14:cfRule type="expression" priority="531" id="{1D187EEA-6038-42BA-92C5-BA528D622ABA}">
            <xm:f>NOT(Projektgrundlagen!$I$21)</xm:f>
            <x14:dxf>
              <font>
                <strike/>
                <color theme="0" tint="-0.14996795556505021"/>
              </font>
              <fill>
                <patternFill>
                  <bgColor theme="0"/>
                </patternFill>
              </fill>
            </x14:dxf>
          </x14:cfRule>
          <xm:sqref>B48:D48</xm:sqref>
        </x14:conditionalFormatting>
        <x14:conditionalFormatting xmlns:xm="http://schemas.microsoft.com/office/excel/2006/main">
          <x14:cfRule type="expression" priority="213" id="{FFDE38F1-D0BC-4902-B47A-06C003D80040}">
            <xm:f>NOT(Projektgrundlagen!$I$21)</xm:f>
            <x14:dxf>
              <font>
                <strike/>
                <color theme="0" tint="-0.14996795556505021"/>
              </font>
              <fill>
                <patternFill>
                  <bgColor theme="0"/>
                </patternFill>
              </fill>
            </x14:dxf>
          </x14:cfRule>
          <xm:sqref>B51:D54</xm:sqref>
        </x14:conditionalFormatting>
        <x14:conditionalFormatting xmlns:xm="http://schemas.microsoft.com/office/excel/2006/main">
          <x14:cfRule type="expression" priority="54" id="{424755B9-3B06-401C-AA7E-DACE0D69ADDC}">
            <xm:f>NOT(Projektgrundlagen!$I$21)</xm:f>
            <x14:dxf>
              <font>
                <strike/>
                <color theme="0" tint="-0.14996795556505021"/>
              </font>
              <fill>
                <patternFill>
                  <bgColor theme="0"/>
                </patternFill>
              </fill>
            </x14:dxf>
          </x14:cfRule>
          <xm:sqref>B19:E20 B23:E28 B21:D22</xm:sqref>
        </x14:conditionalFormatting>
        <x14:conditionalFormatting xmlns:xm="http://schemas.microsoft.com/office/excel/2006/main">
          <x14:cfRule type="expression" priority="67" id="{77340B6B-E850-4160-8A2F-EB60C64C6E6B}">
            <xm:f>NOT(Projektgrundlagen!$I$21)</xm:f>
            <x14:dxf>
              <font>
                <strike/>
                <color theme="0" tint="-0.14996795556505021"/>
              </font>
              <fill>
                <patternFill>
                  <bgColor theme="0"/>
                </patternFill>
              </fill>
            </x14:dxf>
          </x14:cfRule>
          <xm:sqref>B35:E36</xm:sqref>
        </x14:conditionalFormatting>
        <x14:conditionalFormatting xmlns:xm="http://schemas.microsoft.com/office/excel/2006/main">
          <x14:cfRule type="expression" priority="217" id="{7E6A64CE-C5B2-42A7-A403-7D90B091E1B7}">
            <xm:f>NOT(Projektgrundlagen!$I$21)</xm:f>
            <x14:dxf>
              <font>
                <strike/>
                <color theme="0" tint="-0.14996795556505021"/>
              </font>
              <fill>
                <patternFill>
                  <bgColor theme="0"/>
                </patternFill>
              </fill>
            </x14:dxf>
          </x14:cfRule>
          <xm:sqref>B40:E41 B42:D45</xm:sqref>
        </x14:conditionalFormatting>
        <x14:conditionalFormatting xmlns:xm="http://schemas.microsoft.com/office/excel/2006/main">
          <x14:cfRule type="expression" priority="142" id="{498B1613-DA3A-41C5-BD9E-C2C92565A20F}">
            <xm:f>NOT(Projektgrundlagen!$I$21)</xm:f>
            <x14:dxf>
              <font>
                <strike/>
                <color theme="0" tint="-0.14996795556505021"/>
              </font>
              <fill>
                <patternFill>
                  <bgColor theme="0"/>
                </patternFill>
              </fill>
            </x14:dxf>
          </x14:cfRule>
          <xm:sqref>B69:E70 B74:E119 B71:D73</xm:sqref>
        </x14:conditionalFormatting>
        <x14:conditionalFormatting xmlns:xm="http://schemas.microsoft.com/office/excel/2006/main">
          <x14:cfRule type="expression" priority="130" id="{47BDC2BE-399B-467C-A70F-49B7D01D394A}">
            <xm:f>NOT(Projektgrundlagen!$I$21)</xm:f>
            <x14:dxf>
              <font>
                <strike/>
                <color theme="0" tint="-0.14996795556505021"/>
              </font>
              <fill>
                <patternFill>
                  <bgColor theme="0"/>
                </patternFill>
              </fill>
            </x14:dxf>
          </x14:cfRule>
          <xm:sqref>B123:E124 B132:E134 B131:D131 B137:E137 B138:D138 B129:E130 B135:D136 B125:D128</xm:sqref>
        </x14:conditionalFormatting>
        <x14:conditionalFormatting xmlns:xm="http://schemas.microsoft.com/office/excel/2006/main">
          <x14:cfRule type="expression" priority="71" id="{A9EDB7FE-7757-44E9-8D73-33E182BF428E}">
            <xm:f>NOT(Projektgrundlagen!$I$21)</xm:f>
            <x14:dxf>
              <font>
                <strike/>
                <color theme="0" tint="-0.14996795556505021"/>
              </font>
              <fill>
                <patternFill>
                  <bgColor theme="0"/>
                </patternFill>
              </fill>
            </x14:dxf>
          </x14:cfRule>
          <xm:sqref>B175:E202</xm:sqref>
        </x14:conditionalFormatting>
        <x14:conditionalFormatting xmlns:xm="http://schemas.microsoft.com/office/excel/2006/main">
          <x14:cfRule type="expression" priority="558" id="{AFD774C0-3DE1-474A-B30A-6BC99809E88A}">
            <xm:f>NOT(Projektgrundlagen!$I$21)</xm:f>
            <x14:dxf>
              <font>
                <strike/>
                <color theme="0" tint="-0.14996795556505021"/>
              </font>
              <fill>
                <patternFill>
                  <bgColor theme="0"/>
                </patternFill>
              </fill>
            </x14:dxf>
          </x14:cfRule>
          <xm:sqref>B224:E225</xm:sqref>
        </x14:conditionalFormatting>
        <x14:conditionalFormatting xmlns:xm="http://schemas.microsoft.com/office/excel/2006/main">
          <x14:cfRule type="expression" priority="64" id="{4276AB75-01EA-4BD1-8358-3024428AD6B3}">
            <xm:f>NOT(Projektgrundlagen!$I$21)</xm:f>
            <x14:dxf>
              <font>
                <strike/>
                <color theme="0" tint="-0.14996795556505021"/>
              </font>
              <fill>
                <patternFill>
                  <bgColor theme="0"/>
                </patternFill>
              </fill>
            </x14:dxf>
          </x14:cfRule>
          <xm:sqref>B209:F212</xm:sqref>
        </x14:conditionalFormatting>
        <x14:conditionalFormatting xmlns:xm="http://schemas.microsoft.com/office/excel/2006/main">
          <x14:cfRule type="expression" priority="707" id="{85F0669F-1CCE-403F-9444-163507AE4186}">
            <xm:f>NOT(Projektgrundlagen!$I$21)</xm:f>
            <x14:dxf>
              <font>
                <strike/>
                <color theme="0" tint="-0.14996795556505021"/>
              </font>
              <fill>
                <patternFill>
                  <bgColor theme="0"/>
                </patternFill>
              </fill>
            </x14:dxf>
          </x14:cfRule>
          <xm:sqref>C47:D47</xm:sqref>
        </x14:conditionalFormatting>
        <x14:conditionalFormatting xmlns:xm="http://schemas.microsoft.com/office/excel/2006/main">
          <x14:cfRule type="expression" priority="538" id="{1B1D5776-4C14-4F80-BC6D-F561865D859F}">
            <xm:f>NOT(Projektgrundlagen!$I$21)</xm:f>
            <x14:dxf>
              <font>
                <strike/>
                <color theme="0" tint="-0.14996795556505021"/>
              </font>
              <fill>
                <patternFill>
                  <bgColor theme="0"/>
                </patternFill>
              </fill>
            </x14:dxf>
          </x14:cfRule>
          <xm:sqref>C50:D50</xm:sqref>
        </x14:conditionalFormatting>
        <x14:conditionalFormatting xmlns:xm="http://schemas.microsoft.com/office/excel/2006/main">
          <x14:cfRule type="expression" priority="672" id="{92AE0CF6-7C90-4B25-A109-F383E39034F0}">
            <xm:f>NOT(Projektgrundlagen!$I$21)</xm:f>
            <x14:dxf>
              <font>
                <strike/>
                <color theme="0" tint="-0.14996795556505021"/>
              </font>
              <fill>
                <patternFill>
                  <bgColor theme="0"/>
                </patternFill>
              </fill>
            </x14:dxf>
          </x14:cfRule>
          <xm:sqref>C46:E46</xm:sqref>
        </x14:conditionalFormatting>
        <x14:conditionalFormatting xmlns:xm="http://schemas.microsoft.com/office/excel/2006/main">
          <x14:cfRule type="expression" priority="226" id="{44819D12-1C95-4C56-9EA6-E6B4B769BDF6}">
            <xm:f>NOT(Projektgrundlagen!$I$21)</xm:f>
            <x14:dxf>
              <font>
                <strike/>
                <color theme="0" tint="-0.14996795556505021"/>
              </font>
              <fill>
                <patternFill>
                  <bgColor theme="0"/>
                </patternFill>
              </fill>
            </x14:dxf>
          </x14:cfRule>
          <xm:sqref>E29</xm:sqref>
        </x14:conditionalFormatting>
        <x14:conditionalFormatting xmlns:xm="http://schemas.microsoft.com/office/excel/2006/main">
          <x14:cfRule type="expression" priority="222" id="{994AEC66-73F2-450F-8E6E-3DEF6E7B2E7F}">
            <xm:f>'A anrechb Kosten'!$I$19</xm:f>
            <x14:dxf>
              <font>
                <b/>
                <i val="0"/>
              </font>
            </x14:dxf>
          </x14:cfRule>
          <xm:sqref>E35:E36</xm:sqref>
        </x14:conditionalFormatting>
        <x14:conditionalFormatting xmlns:xm="http://schemas.microsoft.com/office/excel/2006/main">
          <x14:cfRule type="expression" priority="212" id="{D3D94CD2-3931-47A0-9D35-3D93907C2409}">
            <xm:f>NOT(Projektgrundlagen!$I$21)</xm:f>
            <x14:dxf>
              <font>
                <strike/>
                <color theme="0" tint="-0.14996795556505021"/>
              </font>
              <fill>
                <patternFill>
                  <bgColor theme="0"/>
                </patternFill>
              </fill>
            </x14:dxf>
          </x14:cfRule>
          <xm:sqref>E50</xm:sqref>
        </x14:conditionalFormatting>
        <x14:conditionalFormatting xmlns:xm="http://schemas.microsoft.com/office/excel/2006/main">
          <x14:cfRule type="expression" priority="61" id="{959444A0-4F8E-4B27-A03C-A9B08CCD67FC}">
            <xm:f>NOT(Projektgrundlagen!$I$21)</xm:f>
            <x14:dxf>
              <font>
                <strike/>
                <color theme="0" tint="-0.14996795556505021"/>
              </font>
              <fill>
                <patternFill>
                  <bgColor theme="0"/>
                </patternFill>
              </fill>
            </x14:dxf>
          </x14:cfRule>
          <xm:sqref>F78:F81</xm:sqref>
        </x14:conditionalFormatting>
        <x14:conditionalFormatting xmlns:xm="http://schemas.microsoft.com/office/excel/2006/main">
          <x14:cfRule type="expression" priority="60" id="{5B9FBC6E-9A7D-44E0-B224-B1B34B8D113A}">
            <xm:f>NOT(Projektgrundlagen!$I$21)</xm:f>
            <x14:dxf>
              <font>
                <strike/>
                <color theme="0" tint="-0.14996795556505021"/>
              </font>
              <fill>
                <patternFill>
                  <bgColor theme="0"/>
                </patternFill>
              </fill>
            </x14:dxf>
          </x14:cfRule>
          <xm:sqref>F83:F84</xm:sqref>
        </x14:conditionalFormatting>
        <x14:conditionalFormatting xmlns:xm="http://schemas.microsoft.com/office/excel/2006/main">
          <x14:cfRule type="expression" priority="59" id="{D22E8769-275F-42FC-BB85-18574A346B35}">
            <xm:f>NOT(Projektgrundlagen!$I$21)</xm:f>
            <x14:dxf>
              <font>
                <strike/>
                <color theme="0" tint="-0.14996795556505021"/>
              </font>
              <fill>
                <patternFill>
                  <bgColor theme="0"/>
                </patternFill>
              </fill>
            </x14:dxf>
          </x14:cfRule>
          <xm:sqref>F86:F87</xm:sqref>
        </x14:conditionalFormatting>
        <x14:conditionalFormatting xmlns:xm="http://schemas.microsoft.com/office/excel/2006/main">
          <x14:cfRule type="expression" priority="58" id="{B610FF07-0CCA-4734-839C-263298011B6B}">
            <xm:f>NOT(Projektgrundlagen!$I$21)</xm:f>
            <x14:dxf>
              <font>
                <strike/>
                <color theme="0" tint="-0.14996795556505021"/>
              </font>
              <fill>
                <patternFill>
                  <bgColor theme="0"/>
                </patternFill>
              </fill>
            </x14:dxf>
          </x14:cfRule>
          <xm:sqref>F89</xm:sqref>
        </x14:conditionalFormatting>
        <x14:conditionalFormatting xmlns:xm="http://schemas.microsoft.com/office/excel/2006/main">
          <x14:cfRule type="expression" priority="62" id="{49BB94C9-1FDE-41BF-8C26-534987CA5D28}">
            <xm:f>NOT(Projektgrundlagen!$I$21)</xm:f>
            <x14:dxf>
              <font>
                <strike/>
                <color theme="0" tint="-0.14996795556505021"/>
              </font>
              <fill>
                <patternFill>
                  <bgColor theme="0"/>
                </patternFill>
              </fill>
            </x14:dxf>
          </x14:cfRule>
          <xm:sqref>F91:F94</xm:sqref>
        </x14:conditionalFormatting>
        <x14:conditionalFormatting xmlns:xm="http://schemas.microsoft.com/office/excel/2006/main">
          <x14:cfRule type="expression" priority="63" id="{D0D267A6-6E85-4335-93D9-3D14BE107D5B}">
            <xm:f>NOT(Projektgrundlagen!$I$21)</xm:f>
            <x14:dxf>
              <font>
                <strike/>
                <color theme="0" tint="-0.14996795556505021"/>
              </font>
              <fill>
                <patternFill>
                  <bgColor theme="0"/>
                </patternFill>
              </fill>
            </x14:dxf>
          </x14:cfRule>
          <xm:sqref>F107:F109</xm:sqref>
        </x14:conditionalFormatting>
        <x14:conditionalFormatting xmlns:xm="http://schemas.microsoft.com/office/excel/2006/main">
          <x14:cfRule type="expression" priority="65" id="{D69B0ADA-90B4-435C-BA9D-0918373B6C33}">
            <xm:f>NOT(Projektgrundlagen!$I$21)</xm:f>
            <x14:dxf>
              <font>
                <strike/>
                <color theme="0" tint="-0.14996795556505021"/>
              </font>
              <fill>
                <patternFill>
                  <bgColor theme="0"/>
                </patternFill>
              </fill>
            </x14:dxf>
          </x14:cfRule>
          <xm:sqref>F156:F158</xm:sqref>
        </x14:conditionalFormatting>
        <x14:conditionalFormatting xmlns:xm="http://schemas.microsoft.com/office/excel/2006/main">
          <x14:cfRule type="expression" priority="264" id="{2E90F5B8-D2F6-41B8-A748-77EE8FE64A72}">
            <xm:f>NOT(Projektgrundlagen!$I$21)</xm:f>
            <x14:dxf>
              <font>
                <strike/>
                <color theme="0" tint="-0.14996795556505021"/>
              </font>
              <fill>
                <patternFill>
                  <bgColor theme="0"/>
                </patternFill>
              </fill>
            </x14:dxf>
          </x14:cfRule>
          <xm:sqref>H19:H20 H24:H25 H28:H29 H40:H41 B46:B47 H46:H47 E47:E48 C49:E49 B49:B50 H49:H50 H55:H56 H58:H59 H62:H63 H69:H70 H74:H75 H95:H96 H98:H99 H101:H102 H104:H105 H110:H111 H114:H115 H117:H118 H123:H124 H149:H150 H152:H153 H159:H160 H163:H164 H167:H168 H175:H176 H180:H181 H184:H185 H197:H198 H206:H207 B206:E208 H213:H214 B213:E220 H217:H218 H224:J225 B229:E230 H229:J230 B234:E235 H234:J235 B55:E63 B64:D65</xm:sqref>
        </x14:conditionalFormatting>
        <x14:conditionalFormatting xmlns:xm="http://schemas.microsoft.com/office/excel/2006/main">
          <x14:cfRule type="expression" priority="102" id="{DC0749BD-9128-4683-AD0D-7A6BBA8E9DA0}">
            <xm:f>NOT(Projektgrundlagen!$I$21)</xm:f>
            <x14:dxf>
              <font>
                <strike/>
                <color theme="0" tint="-0.14996795556505021"/>
              </font>
              <fill>
                <patternFill>
                  <bgColor theme="0"/>
                </patternFill>
              </fill>
            </x14:dxf>
          </x14:cfRule>
          <xm:sqref>H193:H194</xm:sqref>
        </x14:conditionalFormatting>
        <x14:conditionalFormatting xmlns:xm="http://schemas.microsoft.com/office/excel/2006/main">
          <x14:cfRule type="expression" priority="68" id="{A3B5A7F1-9504-43F2-B40E-81806BCABA8B}">
            <xm:f>NOT(Projektgrundlagen!$I$21)</xm:f>
            <x14:dxf>
              <font>
                <strike/>
                <color theme="0" tint="-0.14996795556505021"/>
              </font>
              <fill>
                <patternFill>
                  <bgColor theme="0"/>
                </patternFill>
              </fill>
            </x14:dxf>
          </x14:cfRule>
          <xm:sqref>I19:J36</xm:sqref>
        </x14:conditionalFormatting>
        <x14:conditionalFormatting xmlns:xm="http://schemas.microsoft.com/office/excel/2006/main">
          <x14:cfRule type="expression" priority="141" id="{A1AEBC4D-3CD0-4887-8775-1DC736264156}">
            <xm:f>NOT(Projektgrundlagen!$I$21)</xm:f>
            <x14:dxf>
              <font>
                <strike/>
                <color theme="0" tint="-0.14996795556505021"/>
              </font>
              <fill>
                <patternFill>
                  <bgColor theme="0"/>
                </patternFill>
              </fill>
            </x14:dxf>
          </x14:cfRule>
          <xm:sqref>I69:J119</xm:sqref>
        </x14:conditionalFormatting>
        <x14:conditionalFormatting xmlns:xm="http://schemas.microsoft.com/office/excel/2006/main">
          <x14:cfRule type="expression" priority="70" id="{D64435E1-DAB8-46B8-AA0C-1A795614C51C}">
            <xm:f>NOT(Projektgrundlagen!$I$21)</xm:f>
            <x14:dxf>
              <font>
                <strike/>
                <color theme="0" tint="-0.14996795556505021"/>
              </font>
              <fill>
                <patternFill>
                  <bgColor theme="0"/>
                </patternFill>
              </fill>
            </x14:dxf>
          </x14:cfRule>
          <xm:sqref>I175:J202</xm:sqref>
        </x14:conditionalFormatting>
        <x14:conditionalFormatting xmlns:xm="http://schemas.microsoft.com/office/excel/2006/main">
          <x14:cfRule type="expression" priority="121" id="{727F5EBA-27A4-4FA1-BA4B-98DFD87ED6CE}">
            <xm:f>NOT(Projektgrundlagen!$I$21)</xm:f>
            <x14:dxf>
              <font>
                <strike/>
                <color theme="0" tint="-0.14996795556505021"/>
              </font>
              <fill>
                <patternFill>
                  <bgColor theme="0"/>
                </patternFill>
              </fill>
            </x14:dxf>
          </x14:cfRule>
          <xm:sqref>I206:J220</xm:sqref>
        </x14:conditionalFormatting>
        <x14:conditionalFormatting xmlns:xm="http://schemas.microsoft.com/office/excel/2006/main">
          <x14:cfRule type="expression" priority="55" id="{ACC8A17F-6694-4DDF-96A9-B96176F15F5E}">
            <xm:f>NOT(Projektgrundlagen!$I$21)</xm:f>
            <x14:dxf>
              <font>
                <strike/>
                <color theme="0" tint="-0.14996795556505021"/>
              </font>
              <fill>
                <patternFill>
                  <bgColor theme="0"/>
                </patternFill>
              </fill>
            </x14:dxf>
          </x14:cfRule>
          <xm:sqref>B13:D14</xm:sqref>
        </x14:conditionalFormatting>
        <x14:conditionalFormatting xmlns:xm="http://schemas.microsoft.com/office/excel/2006/main">
          <x14:cfRule type="expression" priority="52" id="{DD421F19-24CE-41E8-8F53-2D856F5F5247}">
            <xm:f>NOT(Projektgrundlagen!$I$21)</xm:f>
            <x14:dxf>
              <font>
                <strike/>
                <color theme="0" tint="-0.14996795556505021"/>
              </font>
              <fill>
                <patternFill>
                  <bgColor theme="0"/>
                </patternFill>
              </fill>
            </x14:dxf>
          </x14:cfRule>
          <xm:sqref>E34</xm:sqref>
        </x14:conditionalFormatting>
        <x14:conditionalFormatting xmlns:xm="http://schemas.microsoft.com/office/excel/2006/main">
          <x14:cfRule type="expression" priority="50" id="{E2474AE0-1D9C-4521-9FF0-944C19FDB89B}">
            <xm:f>NOT(Projektgrundlagen!$I$21)</xm:f>
            <x14:dxf>
              <font>
                <strike/>
                <color theme="0" tint="-0.14996795556505021"/>
              </font>
              <fill>
                <patternFill>
                  <bgColor theme="0"/>
                </patternFill>
              </fill>
            </x14:dxf>
          </x14:cfRule>
          <xm:sqref>E45</xm:sqref>
        </x14:conditionalFormatting>
        <x14:conditionalFormatting xmlns:xm="http://schemas.microsoft.com/office/excel/2006/main">
          <x14:cfRule type="expression" priority="48" id="{1D769B74-6AD6-4468-8F0B-D410A283EC35}">
            <xm:f>NOT(Projektgrundlagen!$I$21)</xm:f>
            <x14:dxf>
              <font>
                <strike/>
                <color theme="0" tint="-0.14996795556505021"/>
              </font>
              <fill>
                <patternFill>
                  <bgColor theme="0"/>
                </patternFill>
              </fill>
            </x14:dxf>
          </x14:cfRule>
          <xm:sqref>E54</xm:sqref>
        </x14:conditionalFormatting>
        <x14:conditionalFormatting xmlns:xm="http://schemas.microsoft.com/office/excel/2006/main">
          <x14:cfRule type="expression" priority="46" id="{831EA4E4-B877-4B00-ABB6-B6AD920E8284}">
            <xm:f>NOT(Projektgrundlagen!$I$21)</xm:f>
            <x14:dxf>
              <font>
                <strike/>
                <color theme="0" tint="-0.14996795556505021"/>
              </font>
              <fill>
                <patternFill>
                  <bgColor theme="0"/>
                </patternFill>
              </fill>
            </x14:dxf>
          </x14:cfRule>
          <xm:sqref>E65</xm:sqref>
        </x14:conditionalFormatting>
        <x14:conditionalFormatting xmlns:xm="http://schemas.microsoft.com/office/excel/2006/main">
          <x14:cfRule type="expression" priority="44" id="{AA72057A-30D0-4445-B0EA-185655BAB54A}">
            <xm:f>NOT(Projektgrundlagen!$I$21)</xm:f>
            <x14:dxf>
              <font>
                <strike/>
                <color theme="0" tint="-0.14996795556505021"/>
              </font>
              <fill>
                <patternFill>
                  <bgColor theme="0"/>
                </patternFill>
              </fill>
            </x14:dxf>
          </x14:cfRule>
          <xm:sqref>E73</xm:sqref>
        </x14:conditionalFormatting>
        <x14:conditionalFormatting xmlns:xm="http://schemas.microsoft.com/office/excel/2006/main">
          <x14:cfRule type="expression" priority="42" id="{B0BC9724-DA8D-45A2-97C4-F1272B168F9D}">
            <xm:f>NOT(Projektgrundlagen!$I$21)</xm:f>
            <x14:dxf>
              <font>
                <strike/>
                <color theme="0" tint="-0.14996795556505021"/>
              </font>
              <fill>
                <patternFill>
                  <bgColor theme="0"/>
                </patternFill>
              </fill>
            </x14:dxf>
          </x14:cfRule>
          <xm:sqref>E126:E128</xm:sqref>
        </x14:conditionalFormatting>
        <x14:conditionalFormatting xmlns:xm="http://schemas.microsoft.com/office/excel/2006/main">
          <x14:cfRule type="expression" priority="40" id="{6A1C90D5-3BF8-4B8D-B075-1CA156DEEBE2}">
            <xm:f>NOT(Projektgrundlagen!$I$21)</xm:f>
            <x14:dxf>
              <font>
                <strike/>
                <color theme="0" tint="-0.14996795556505021"/>
              </font>
              <fill>
                <patternFill>
                  <bgColor theme="0"/>
                </patternFill>
              </fill>
            </x14:dxf>
          </x14:cfRule>
          <xm:sqref>E136</xm:sqref>
        </x14:conditionalFormatting>
        <x14:conditionalFormatting xmlns:xm="http://schemas.microsoft.com/office/excel/2006/main">
          <x14:cfRule type="expression" priority="38" id="{99E3145D-17CD-468D-A6B1-4642C0F720E7}">
            <xm:f>NOT(Projektgrundlagen!$I$21)</xm:f>
            <x14:dxf>
              <font>
                <strike/>
                <color theme="0" tint="-0.14996795556505021"/>
              </font>
              <fill>
                <patternFill>
                  <bgColor theme="0"/>
                </patternFill>
              </fill>
            </x14:dxf>
          </x14:cfRule>
          <xm:sqref>E139</xm:sqref>
        </x14:conditionalFormatting>
        <x14:conditionalFormatting xmlns:xm="http://schemas.microsoft.com/office/excel/2006/main">
          <x14:cfRule type="expression" priority="36" id="{A7A232C6-13EB-4AFD-8A2D-1AF79276B70B}">
            <xm:f>NOT(Projektgrundlagen!$I$21)</xm:f>
            <x14:dxf>
              <font>
                <strike/>
                <color theme="0" tint="-0.14996795556505021"/>
              </font>
              <fill>
                <patternFill>
                  <bgColor theme="0"/>
                </patternFill>
              </fill>
            </x14:dxf>
          </x14:cfRule>
          <xm:sqref>E144:E148</xm:sqref>
        </x14:conditionalFormatting>
        <x14:conditionalFormatting xmlns:xm="http://schemas.microsoft.com/office/excel/2006/main">
          <x14:cfRule type="expression" priority="34" id="{6D444741-2F97-41B6-BD16-8D1132F756A9}">
            <xm:f>NOT(Projektgrundlagen!$I$21)</xm:f>
            <x14:dxf>
              <font>
                <strike/>
                <color theme="0" tint="-0.14996795556505021"/>
              </font>
              <fill>
                <patternFill>
                  <bgColor theme="0"/>
                </patternFill>
              </fill>
            </x14:dxf>
          </x14:cfRule>
          <xm:sqref>F140:F142</xm:sqref>
        </x14:conditionalFormatting>
        <x14:conditionalFormatting xmlns:xm="http://schemas.microsoft.com/office/excel/2006/main">
          <x14:cfRule type="expression" priority="32" id="{E087E44E-D922-42C9-9576-DABB45BFD25E}">
            <xm:f>NOT(Projektgrundlagen!$I$21)</xm:f>
            <x14:dxf>
              <font>
                <strike/>
                <color theme="0" tint="-0.14996795556505021"/>
              </font>
              <fill>
                <patternFill>
                  <bgColor theme="0"/>
                </patternFill>
              </fill>
            </x14:dxf>
          </x14:cfRule>
          <xm:sqref>F137</xm:sqref>
        </x14:conditionalFormatting>
        <x14:conditionalFormatting xmlns:xm="http://schemas.microsoft.com/office/excel/2006/main">
          <x14:cfRule type="expression" priority="30" id="{858ABC8C-9F34-4FF5-8A4A-D4FA4DE8CFAF}">
            <xm:f>NOT(Projektgrundlagen!$I$21)</xm:f>
            <x14:dxf>
              <font>
                <strike/>
                <color theme="0" tint="-0.14996795556505021"/>
              </font>
              <fill>
                <patternFill>
                  <bgColor theme="0"/>
                </patternFill>
              </fill>
            </x14:dxf>
          </x14:cfRule>
          <xm:sqref>F132:F134</xm:sqref>
        </x14:conditionalFormatting>
        <x14:conditionalFormatting xmlns:xm="http://schemas.microsoft.com/office/excel/2006/main">
          <x14:cfRule type="expression" priority="28" id="{6CAFFF75-6F5D-4A18-94E3-6D9C7A3FD425}">
            <xm:f>NOT(Projektgrundlagen!$I$21)</xm:f>
            <x14:dxf>
              <font>
                <strike/>
                <color theme="0" tint="-0.14996795556505021"/>
              </font>
              <fill>
                <patternFill>
                  <bgColor theme="0"/>
                </patternFill>
              </fill>
            </x14:dxf>
          </x14:cfRule>
          <xm:sqref>F129:F130</xm:sqref>
        </x14:conditionalFormatting>
        <x14:conditionalFormatting xmlns:xm="http://schemas.microsoft.com/office/excel/2006/main">
          <x14:cfRule type="expression" priority="25" id="{D5299300-9ECB-42C6-A10C-CF3450B59C93}">
            <xm:f>NOT(Projektgrundlagen!$I$21)</xm:f>
            <x14:dxf>
              <font>
                <strike/>
                <color theme="0" tint="-0.14996795556505021"/>
              </font>
              <fill>
                <patternFill>
                  <bgColor theme="0"/>
                </patternFill>
              </fill>
            </x14:dxf>
          </x14:cfRule>
          <xm:sqref>E162</xm:sqref>
        </x14:conditionalFormatting>
        <x14:conditionalFormatting xmlns:xm="http://schemas.microsoft.com/office/excel/2006/main">
          <x14:cfRule type="expression" priority="23" id="{F13A9121-E902-40A8-9E03-D33821A288A4}">
            <xm:f>NOT(Projektgrundlagen!$I$21)</xm:f>
            <x14:dxf>
              <font>
                <strike/>
                <color theme="0" tint="-0.14996795556505021"/>
              </font>
              <fill>
                <patternFill>
                  <bgColor theme="0"/>
                </patternFill>
              </fill>
            </x14:dxf>
          </x14:cfRule>
          <xm:sqref>E166</xm:sqref>
        </x14:conditionalFormatting>
        <x14:conditionalFormatting xmlns:xm="http://schemas.microsoft.com/office/excel/2006/main">
          <x14:cfRule type="expression" priority="21" id="{95AEC2CC-EF9C-4FED-822E-AF66F7DD2FFB}">
            <xm:f>NOT(Projektgrundlagen!$I$21)</xm:f>
            <x14:dxf>
              <font>
                <strike/>
                <color theme="0" tint="-0.14996795556505021"/>
              </font>
              <fill>
                <patternFill>
                  <bgColor theme="0"/>
                </patternFill>
              </fill>
            </x14:dxf>
          </x14:cfRule>
          <xm:sqref>E171</xm:sqref>
        </x14:conditionalFormatting>
        <x14:conditionalFormatting xmlns:xm="http://schemas.microsoft.com/office/excel/2006/main">
          <x14:cfRule type="expression" priority="19" id="{CEAEE291-D06D-4D0A-BE0E-550C86E947C9}">
            <xm:f>NOT(Projektgrundlagen!$I$21)</xm:f>
            <x14:dxf>
              <font>
                <strike/>
                <color theme="0" tint="-0.14996795556505021"/>
              </font>
              <fill>
                <patternFill>
                  <bgColor theme="0"/>
                </patternFill>
              </fill>
            </x14:dxf>
          </x14:cfRule>
          <xm:sqref>E30</xm:sqref>
        </x14:conditionalFormatting>
        <x14:conditionalFormatting xmlns:xm="http://schemas.microsoft.com/office/excel/2006/main">
          <x14:cfRule type="expression" priority="17" id="{C95977B3-C052-48F8-806C-F77F544C9785}">
            <xm:f>NOT(Projektgrundlagen!$I$21)</xm:f>
            <x14:dxf>
              <font>
                <strike/>
                <color theme="0" tint="-0.14996795556505021"/>
              </font>
              <fill>
                <patternFill>
                  <bgColor theme="0"/>
                </patternFill>
              </fill>
            </x14:dxf>
          </x14:cfRule>
          <xm:sqref>E31:E33</xm:sqref>
        </x14:conditionalFormatting>
        <x14:conditionalFormatting xmlns:xm="http://schemas.microsoft.com/office/excel/2006/main">
          <x14:cfRule type="expression" priority="15" id="{42D5D270-730F-434C-A7EA-3E1675129214}">
            <xm:f>NOT(Projektgrundlagen!$I$21)</xm:f>
            <x14:dxf>
              <font>
                <strike/>
                <color theme="0" tint="-0.14996795556505021"/>
              </font>
              <fill>
                <patternFill>
                  <bgColor theme="0"/>
                </patternFill>
              </fill>
            </x14:dxf>
          </x14:cfRule>
          <xm:sqref>E21:E22</xm:sqref>
        </x14:conditionalFormatting>
        <x14:conditionalFormatting xmlns:xm="http://schemas.microsoft.com/office/excel/2006/main">
          <x14:cfRule type="expression" priority="13" id="{6240ABF6-9A7B-4674-990F-FD0A0EB779C2}">
            <xm:f>NOT(Projektgrundlagen!$I$21)</xm:f>
            <x14:dxf>
              <font>
                <strike/>
                <color theme="0" tint="-0.14996795556505021"/>
              </font>
              <fill>
                <patternFill>
                  <bgColor theme="0"/>
                </patternFill>
              </fill>
            </x14:dxf>
          </x14:cfRule>
          <xm:sqref>E42:E44</xm:sqref>
        </x14:conditionalFormatting>
        <x14:conditionalFormatting xmlns:xm="http://schemas.microsoft.com/office/excel/2006/main">
          <x14:cfRule type="expression" priority="11" id="{2BFC19A9-E5CB-4319-95B1-483EF49FE71E}">
            <xm:f>NOT(Projektgrundlagen!$I$21)</xm:f>
            <x14:dxf>
              <font>
                <strike/>
                <color theme="0" tint="-0.14996795556505021"/>
              </font>
              <fill>
                <patternFill>
                  <bgColor theme="0"/>
                </patternFill>
              </fill>
            </x14:dxf>
          </x14:cfRule>
          <xm:sqref>E51:E53</xm:sqref>
        </x14:conditionalFormatting>
        <x14:conditionalFormatting xmlns:xm="http://schemas.microsoft.com/office/excel/2006/main">
          <x14:cfRule type="expression" priority="9" id="{8EAD6047-0BB4-44F2-AC06-EDD849C2A39C}">
            <xm:f>NOT(Projektgrundlagen!$I$21)</xm:f>
            <x14:dxf>
              <font>
                <strike/>
                <color theme="0" tint="-0.14996795556505021"/>
              </font>
              <fill>
                <patternFill>
                  <bgColor theme="0"/>
                </patternFill>
              </fill>
            </x14:dxf>
          </x14:cfRule>
          <xm:sqref>E64</xm:sqref>
        </x14:conditionalFormatting>
        <x14:conditionalFormatting xmlns:xm="http://schemas.microsoft.com/office/excel/2006/main">
          <x14:cfRule type="expression" priority="7" id="{83161C61-646A-41A0-BC53-74ABE0493664}">
            <xm:f>NOT(Projektgrundlagen!$I$21)</xm:f>
            <x14:dxf>
              <font>
                <strike/>
                <color theme="0" tint="-0.14996795556505021"/>
              </font>
              <fill>
                <patternFill>
                  <bgColor theme="0"/>
                </patternFill>
              </fill>
            </x14:dxf>
          </x14:cfRule>
          <xm:sqref>E71:E72</xm:sqref>
        </x14:conditionalFormatting>
        <x14:conditionalFormatting xmlns:xm="http://schemas.microsoft.com/office/excel/2006/main">
          <x14:cfRule type="expression" priority="5" id="{E83E1FF6-3008-4875-BFA3-F1103F8BBADA}">
            <xm:f>NOT(Projektgrundlagen!$I$21)</xm:f>
            <x14:dxf>
              <font>
                <strike/>
                <color theme="0" tint="-0.14996795556505021"/>
              </font>
              <fill>
                <patternFill>
                  <bgColor theme="0"/>
                </patternFill>
              </fill>
            </x14:dxf>
          </x14:cfRule>
          <xm:sqref>E125</xm:sqref>
        </x14:conditionalFormatting>
        <x14:conditionalFormatting xmlns:xm="http://schemas.microsoft.com/office/excel/2006/main">
          <x14:cfRule type="expression" priority="3" id="{5A1A5A2E-5B39-402C-A9B5-E66661203B8D}">
            <xm:f>NOT(Projektgrundlagen!$I$21)</xm:f>
            <x14:dxf>
              <font>
                <strike/>
                <color theme="0" tint="-0.14996795556505021"/>
              </font>
              <fill>
                <patternFill>
                  <bgColor theme="0"/>
                </patternFill>
              </fill>
            </x14:dxf>
          </x14:cfRule>
          <xm:sqref>E165</xm:sqref>
        </x14:conditionalFormatting>
        <x14:conditionalFormatting xmlns:xm="http://schemas.microsoft.com/office/excel/2006/main">
          <x14:cfRule type="expression" priority="1" id="{E2A6E72B-FB31-427E-8B09-DB056D0FE6E5}">
            <xm:f>NOT(Projektgrundlagen!$I$21)</xm:f>
            <x14:dxf>
              <font>
                <strike/>
                <color theme="0" tint="-0.14996795556505021"/>
              </font>
              <fill>
                <patternFill>
                  <bgColor theme="0"/>
                </patternFill>
              </fill>
            </x14:dxf>
          </x14:cfRule>
          <xm:sqref>E169:E170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theme="6" tint="0.79998168889431442"/>
    <pageSetUpPr fitToPage="1"/>
  </sheetPr>
  <dimension ref="A1:P187"/>
  <sheetViews>
    <sheetView showGridLines="0" zoomScale="115" zoomScaleNormal="115" zoomScaleSheetLayoutView="110" workbookViewId="0">
      <pane ySplit="12" topLeftCell="A22" activePane="bottomLeft" state="frozen"/>
      <selection pane="bottomLeft" activeCell="F58" sqref="F58"/>
    </sheetView>
  </sheetViews>
  <sheetFormatPr baseColWidth="10" defaultColWidth="0" defaultRowHeight="0" customHeight="1" zeroHeight="1"/>
  <cols>
    <col min="1" max="1" width="5.7109375" style="532" customWidth="1"/>
    <col min="2" max="2" width="3.28515625" style="229" customWidth="1"/>
    <col min="3" max="3" width="4.140625" style="229" customWidth="1"/>
    <col min="4" max="4" width="3.28515625" style="229" customWidth="1"/>
    <col min="5" max="5" width="2.7109375" style="229" customWidth="1"/>
    <col min="6" max="6" width="44.42578125" style="229" customWidth="1"/>
    <col min="7" max="7" width="12.28515625" style="229" customWidth="1"/>
    <col min="8" max="9" width="7.28515625" style="229" customWidth="1"/>
    <col min="10" max="10" width="12.28515625" style="229" customWidth="1"/>
    <col min="11" max="11" width="12.7109375" style="230" customWidth="1"/>
    <col min="12" max="12" width="2.7109375" style="212" customWidth="1"/>
    <col min="13" max="13" width="11.42578125" style="213" hidden="1" customWidth="1"/>
    <col min="14" max="16384" width="10.7109375" style="214" hidden="1"/>
  </cols>
  <sheetData>
    <row r="1" spans="1:16" ht="16.5"/>
    <row r="2" spans="1:16" s="119" customFormat="1" ht="16.5" customHeight="1">
      <c r="A2" s="458"/>
      <c r="B2" s="1327" t="str">
        <f>IF(Projektgrundlagen!B2="","",Projektgrundlagen!B2)</f>
        <v>Fachplanung Tragwerksplanung</v>
      </c>
      <c r="C2" s="1327"/>
      <c r="D2" s="1327"/>
      <c r="E2" s="1327"/>
      <c r="F2" s="1327"/>
      <c r="G2" s="1328"/>
      <c r="H2" s="1355" t="str">
        <f>IF(Projektgrundlagen!F2="","",Projektgrundlagen!F2)</f>
        <v>VII.12.4</v>
      </c>
      <c r="I2" s="1330"/>
      <c r="J2" s="1330" t="s">
        <v>308</v>
      </c>
      <c r="K2" s="1331"/>
      <c r="L2" s="1407" t="s">
        <v>332</v>
      </c>
      <c r="M2" s="211" t="s">
        <v>54</v>
      </c>
      <c r="P2" s="195" t="s">
        <v>153</v>
      </c>
    </row>
    <row r="3" spans="1:16" s="119" customFormat="1" ht="16.5">
      <c r="A3" s="458"/>
      <c r="B3" s="1257" t="s">
        <v>443</v>
      </c>
      <c r="C3" s="1257"/>
      <c r="D3" s="1257"/>
      <c r="E3" s="1257"/>
      <c r="F3" s="1257"/>
      <c r="G3" s="1258"/>
      <c r="H3" s="1356" t="str">
        <f>IF(Projektgrundlagen!F3="","",Projektgrundlagen!F3)</f>
        <v>Vertragsnr.:</v>
      </c>
      <c r="I3" s="1357"/>
      <c r="J3" s="1352" t="str">
        <f>IF(Projektgrundlagen!G3="","",Projektgrundlagen!G3)</f>
        <v>000.411.425</v>
      </c>
      <c r="K3" s="1353"/>
      <c r="L3" s="1407"/>
      <c r="M3" s="120"/>
      <c r="P3" s="1" t="str">
        <f ca="1">MID(CELL("dateiname",A2),FIND("]",CELL("dateiname",A2))+1,255)</f>
        <v>StB-D1 Besondere Lstg</v>
      </c>
    </row>
    <row r="4" spans="1:16" s="119" customFormat="1" ht="7.5" customHeight="1">
      <c r="A4" s="458"/>
      <c r="B4" s="368"/>
      <c r="C4" s="368"/>
      <c r="D4" s="368"/>
      <c r="E4" s="368"/>
      <c r="F4" s="368"/>
      <c r="G4" s="388"/>
      <c r="H4" s="138"/>
      <c r="I4" s="138"/>
      <c r="J4" s="180"/>
      <c r="K4" s="180"/>
      <c r="L4" s="1407"/>
      <c r="M4" s="120"/>
    </row>
    <row r="5" spans="1:16" s="119" customFormat="1" ht="16.5">
      <c r="A5" s="458"/>
      <c r="B5" s="1359" t="str">
        <f>IF(Projektgrundlagen!B5="","",Projektgrundlagen!B5)</f>
        <v>Maßnahmennr:</v>
      </c>
      <c r="C5" s="1360"/>
      <c r="D5" s="1360"/>
      <c r="E5" s="1360"/>
      <c r="F5" s="1402" t="str">
        <f>IF(Projektgrundlagen!E5="","",Projektgrundlagen!E5)</f>
        <v>B63SABBD000300</v>
      </c>
      <c r="G5" s="1402"/>
      <c r="H5" s="1358" t="str">
        <f>IF(Projektgrundlagen!F5="","",Projektgrundlagen!F5)</f>
        <v>Vergabenr.:</v>
      </c>
      <c r="I5" s="1358"/>
      <c r="J5" s="1338" t="str">
        <f>IF(Projektgrundlagen!G5="","",Projektgrundlagen!G5)</f>
        <v>24-080603 D</v>
      </c>
      <c r="K5" s="1354"/>
      <c r="L5" s="1407"/>
      <c r="M5" s="120"/>
    </row>
    <row r="6" spans="1:16" s="119" customFormat="1" ht="16.5">
      <c r="A6" s="458"/>
      <c r="B6" s="1361" t="str">
        <f>IF(Projektgrundlagen!B6="","",Projektgrundlagen!B6)</f>
        <v>Maßnahme:</v>
      </c>
      <c r="C6" s="1362"/>
      <c r="D6" s="1362"/>
      <c r="E6" s="1362"/>
      <c r="F6" s="1365" t="str">
        <f>IF(Projektgrundlagen!E6="","",Projektgrundlagen!E6)</f>
        <v>B 26, Erneuerung der Brücke über die Bahn bei Wernfeld</v>
      </c>
      <c r="G6" s="1365"/>
      <c r="H6" s="1365"/>
      <c r="I6" s="1365"/>
      <c r="J6" s="1365"/>
      <c r="K6" s="1366"/>
      <c r="L6" s="1407"/>
      <c r="M6" s="120"/>
    </row>
    <row r="7" spans="1:16" s="119" customFormat="1" ht="16.5">
      <c r="A7" s="458"/>
      <c r="B7" s="1363" t="str">
        <f>IF(Projektgrundlagen!B7="","",Projektgrundlagen!B7)</f>
        <v/>
      </c>
      <c r="C7" s="1364"/>
      <c r="D7" s="1364"/>
      <c r="E7" s="1364"/>
      <c r="F7" s="1367" t="str">
        <f>IF(Projektgrundlagen!E7="","",Projektgrundlagen!E7)</f>
        <v>Behelfsbrücke über die Bahn</v>
      </c>
      <c r="G7" s="1367"/>
      <c r="H7" s="1367"/>
      <c r="I7" s="1367"/>
      <c r="J7" s="1367"/>
      <c r="K7" s="1368"/>
      <c r="L7" s="1407"/>
      <c r="M7" s="120"/>
    </row>
    <row r="8" spans="1:16" s="119" customFormat="1" ht="16.5">
      <c r="A8" s="458"/>
      <c r="B8" s="1380" t="str">
        <f>IF(Projektgrundlagen!B8="","",Projektgrundlagen!B8)</f>
        <v>Bieter:</v>
      </c>
      <c r="C8" s="1381"/>
      <c r="D8" s="1381"/>
      <c r="E8" s="1381"/>
      <c r="F8" s="1403" t="str">
        <f>IF(Projektgrundlagen!E8="","",Projektgrundlagen!E8)</f>
        <v/>
      </c>
      <c r="G8" s="1403"/>
      <c r="H8" s="1403"/>
      <c r="I8" s="1403"/>
      <c r="J8" s="1403"/>
      <c r="K8" s="1404"/>
      <c r="L8" s="1407"/>
      <c r="M8" s="120"/>
    </row>
    <row r="9" spans="1:16" ht="16.5">
      <c r="B9" s="559"/>
      <c r="C9" s="963"/>
      <c r="D9" s="225"/>
      <c r="E9" s="225"/>
      <c r="F9" s="226"/>
      <c r="G9" s="227"/>
      <c r="H9" s="226"/>
      <c r="I9" s="226"/>
      <c r="J9" s="560"/>
      <c r="K9" s="238"/>
    </row>
    <row r="10" spans="1:16" s="119" customFormat="1" ht="27" customHeight="1">
      <c r="A10" s="458"/>
      <c r="B10" s="1408" t="s">
        <v>342</v>
      </c>
      <c r="C10" s="1408"/>
      <c r="D10" s="1408"/>
      <c r="E10" s="1408"/>
      <c r="F10" s="1408"/>
      <c r="G10" s="565"/>
      <c r="H10" s="856" t="s">
        <v>43</v>
      </c>
      <c r="I10" s="856" t="s">
        <v>42</v>
      </c>
      <c r="J10" s="571" t="s">
        <v>361</v>
      </c>
      <c r="K10" s="569" t="s">
        <v>357</v>
      </c>
      <c r="L10" s="115"/>
      <c r="M10" s="1222"/>
    </row>
    <row r="11" spans="1:16" s="119" customFormat="1" ht="27" customHeight="1">
      <c r="A11" s="458"/>
      <c r="B11" s="566" t="s">
        <v>268</v>
      </c>
      <c r="C11" s="567"/>
      <c r="D11" s="567"/>
      <c r="E11" s="567"/>
      <c r="F11" s="567"/>
      <c r="G11" s="568" t="str">
        <f>IF(Projektgrundlagen!I21,"","Besondere Lstg. Straßenbau sind nicht Teil dieser Honorarermittlung!")</f>
        <v/>
      </c>
      <c r="H11" s="570"/>
      <c r="I11" s="570"/>
      <c r="J11" s="571"/>
      <c r="K11" s="569"/>
      <c r="L11" s="115"/>
      <c r="M11" s="1223" t="s">
        <v>966</v>
      </c>
    </row>
    <row r="12" spans="1:16" ht="7.5" customHeight="1">
      <c r="B12" s="561"/>
      <c r="C12" s="964"/>
      <c r="D12" s="562"/>
      <c r="E12" s="562"/>
      <c r="F12" s="553"/>
      <c r="G12" s="563"/>
      <c r="H12" s="553"/>
      <c r="I12" s="553"/>
      <c r="J12" s="564"/>
      <c r="K12" s="317"/>
      <c r="M12" s="1223"/>
    </row>
    <row r="13" spans="1:16" ht="22.7" customHeight="1">
      <c r="B13" s="506" t="s">
        <v>200</v>
      </c>
      <c r="C13" s="507"/>
      <c r="D13" s="507"/>
      <c r="E13" s="507"/>
      <c r="F13" s="507"/>
      <c r="G13" s="507"/>
      <c r="H13" s="516"/>
      <c r="I13" s="516"/>
      <c r="J13" s="533"/>
      <c r="K13" s="534"/>
      <c r="L13" s="232"/>
      <c r="N13" s="1224" t="b">
        <f>'StB-C1 Grundlstg'!$L$13</f>
        <v>0</v>
      </c>
    </row>
    <row r="14" spans="1:16" ht="18">
      <c r="B14" s="92"/>
      <c r="C14" s="1182" t="s">
        <v>37</v>
      </c>
      <c r="D14" s="1164"/>
      <c r="E14" s="432"/>
      <c r="F14" s="1189" t="s">
        <v>935</v>
      </c>
      <c r="G14" s="425"/>
      <c r="H14" s="694"/>
      <c r="I14" s="696"/>
      <c r="J14" s="687"/>
      <c r="K14" s="428" t="str">
        <f>IF(M14,IF(J14&gt;0,H14*J14,0),"")</f>
        <v/>
      </c>
      <c r="L14" s="232"/>
      <c r="M14" s="213" t="b">
        <v>0</v>
      </c>
    </row>
    <row r="15" spans="1:16" ht="16.5">
      <c r="B15" s="340"/>
      <c r="C15" s="1209"/>
      <c r="D15" s="666"/>
      <c r="E15" s="1210"/>
      <c r="F15" s="1211"/>
      <c r="G15" s="1212"/>
      <c r="H15" s="1074"/>
      <c r="I15" s="1074"/>
      <c r="J15" s="699"/>
      <c r="K15" s="435"/>
      <c r="L15" s="232"/>
    </row>
    <row r="16" spans="1:16" ht="82.9" customHeight="1">
      <c r="B16" s="179"/>
      <c r="C16" s="962"/>
      <c r="D16" s="667"/>
      <c r="E16" s="422"/>
      <c r="F16" s="1397" t="s">
        <v>936</v>
      </c>
      <c r="G16" s="1344"/>
      <c r="H16" s="692"/>
      <c r="I16" s="695"/>
      <c r="J16" s="688"/>
      <c r="K16" s="423"/>
      <c r="L16" s="232"/>
    </row>
    <row r="17" spans="2:13" ht="18">
      <c r="B17" s="92"/>
      <c r="C17" s="1182" t="s">
        <v>36</v>
      </c>
      <c r="D17" s="1167"/>
      <c r="E17" s="1171"/>
      <c r="F17" s="1181"/>
      <c r="G17" s="425"/>
      <c r="H17" s="694"/>
      <c r="I17" s="696"/>
      <c r="J17" s="689"/>
      <c r="K17" s="428" t="str">
        <f t="shared" ref="K17:K21" si="0">IF(M17,IF(J17&gt;0,H17*J17,0),"")</f>
        <v/>
      </c>
      <c r="L17" s="232"/>
      <c r="M17" s="213" t="b">
        <v>0</v>
      </c>
    </row>
    <row r="18" spans="2:13" ht="16.5">
      <c r="B18" s="179"/>
      <c r="C18" s="962"/>
      <c r="D18" s="667"/>
      <c r="E18" s="422"/>
      <c r="F18" s="426"/>
      <c r="G18" s="1183"/>
      <c r="H18" s="692"/>
      <c r="I18" s="695"/>
      <c r="J18" s="688"/>
      <c r="K18" s="423"/>
      <c r="L18" s="232"/>
    </row>
    <row r="19" spans="2:13" ht="18">
      <c r="B19" s="216"/>
      <c r="C19" s="1182" t="s">
        <v>35</v>
      </c>
      <c r="D19" s="1167"/>
      <c r="E19" s="1171"/>
      <c r="F19" s="1181"/>
      <c r="G19" s="425"/>
      <c r="H19" s="694"/>
      <c r="I19" s="696"/>
      <c r="J19" s="689"/>
      <c r="K19" s="428" t="str">
        <f t="shared" si="0"/>
        <v/>
      </c>
      <c r="L19" s="232"/>
      <c r="M19" s="213" t="b">
        <v>0</v>
      </c>
    </row>
    <row r="20" spans="2:13" ht="16.5">
      <c r="B20" s="255"/>
      <c r="C20" s="962"/>
      <c r="D20" s="667"/>
      <c r="E20" s="422"/>
      <c r="F20" s="426"/>
      <c r="G20" s="1183"/>
      <c r="H20" s="692"/>
      <c r="I20" s="695"/>
      <c r="J20" s="688"/>
      <c r="K20" s="423"/>
      <c r="L20" s="232"/>
    </row>
    <row r="21" spans="2:13" ht="18">
      <c r="B21" s="216"/>
      <c r="C21" s="1182" t="s">
        <v>173</v>
      </c>
      <c r="D21" s="1167"/>
      <c r="E21" s="1171"/>
      <c r="F21" s="1181"/>
      <c r="G21" s="425"/>
      <c r="H21" s="694"/>
      <c r="I21" s="696"/>
      <c r="J21" s="689"/>
      <c r="K21" s="428" t="str">
        <f t="shared" si="0"/>
        <v/>
      </c>
      <c r="L21" s="232"/>
      <c r="M21" s="213" t="b">
        <v>0</v>
      </c>
    </row>
    <row r="22" spans="2:13" ht="17.25" thickBot="1">
      <c r="B22" s="255"/>
      <c r="C22" s="962"/>
      <c r="D22" s="667"/>
      <c r="E22" s="422"/>
      <c r="F22" s="426"/>
      <c r="G22" s="1183"/>
      <c r="H22" s="692"/>
      <c r="I22" s="695"/>
      <c r="J22" s="688"/>
      <c r="K22" s="423"/>
      <c r="L22" s="232"/>
    </row>
    <row r="23" spans="2:13" ht="22.7" customHeight="1" thickBot="1">
      <c r="B23" s="535"/>
      <c r="C23" s="965" t="s">
        <v>10</v>
      </c>
      <c r="D23" s="536"/>
      <c r="E23" s="537"/>
      <c r="F23" s="420"/>
      <c r="G23" s="538"/>
      <c r="H23" s="420"/>
      <c r="I23" s="420"/>
      <c r="J23" s="539" t="s">
        <v>253</v>
      </c>
      <c r="K23" s="540" t="str">
        <f>IF(Projektgrundlagen!I21,IF(COUNT(K14:K22)&gt;0,SUM(K14:K22),""),0)</f>
        <v/>
      </c>
    </row>
    <row r="24" spans="2:13" ht="7.5" customHeight="1">
      <c r="B24" s="236"/>
      <c r="C24" s="966"/>
      <c r="D24" s="217"/>
      <c r="E24" s="217"/>
      <c r="F24" s="205"/>
      <c r="G24" s="218"/>
      <c r="H24" s="205"/>
      <c r="I24" s="205"/>
      <c r="J24" s="210"/>
      <c r="K24" s="237"/>
    </row>
    <row r="25" spans="2:13" ht="22.7" customHeight="1">
      <c r="B25" s="506" t="s">
        <v>201</v>
      </c>
      <c r="C25" s="507"/>
      <c r="D25" s="507"/>
      <c r="E25" s="507"/>
      <c r="F25" s="507"/>
      <c r="G25" s="507"/>
      <c r="H25" s="516"/>
      <c r="I25" s="516"/>
      <c r="J25" s="533"/>
      <c r="K25" s="542"/>
    </row>
    <row r="26" spans="2:13" ht="18">
      <c r="B26" s="215"/>
      <c r="C26" s="1182" t="s">
        <v>34</v>
      </c>
      <c r="D26" s="1164"/>
      <c r="E26" s="1171"/>
      <c r="F26" s="1189" t="s">
        <v>718</v>
      </c>
      <c r="G26" s="425"/>
      <c r="H26" s="694"/>
      <c r="I26" s="696"/>
      <c r="J26" s="687"/>
      <c r="K26" s="428" t="str">
        <f>IF(M26,IF(J26&gt;0,H26*J26,0),"")</f>
        <v/>
      </c>
      <c r="M26" s="213" t="b">
        <v>0</v>
      </c>
    </row>
    <row r="27" spans="2:13" ht="25.5">
      <c r="B27" s="255"/>
      <c r="C27" s="962"/>
      <c r="D27" s="667"/>
      <c r="E27" s="422"/>
      <c r="F27" s="430" t="s">
        <v>719</v>
      </c>
      <c r="G27" s="1183"/>
      <c r="H27" s="695"/>
      <c r="I27" s="424"/>
      <c r="J27" s="688"/>
      <c r="K27" s="423"/>
      <c r="L27" s="232"/>
    </row>
    <row r="28" spans="2:13" ht="18">
      <c r="B28" s="215"/>
      <c r="C28" s="1182" t="s">
        <v>33</v>
      </c>
      <c r="D28" s="1167"/>
      <c r="E28" s="1171"/>
      <c r="F28" s="1189" t="s">
        <v>720</v>
      </c>
      <c r="G28" s="425"/>
      <c r="H28" s="694">
        <v>1</v>
      </c>
      <c r="I28" s="696" t="s">
        <v>238</v>
      </c>
      <c r="J28" s="689"/>
      <c r="K28" s="428">
        <f t="shared" ref="K28:K37" si="1">IF(M28,IF(J28&gt;0,H28*J28,0),"")</f>
        <v>0</v>
      </c>
      <c r="M28" s="213" t="b">
        <v>1</v>
      </c>
    </row>
    <row r="29" spans="2:13" ht="25.5">
      <c r="B29" s="255"/>
      <c r="C29" s="962"/>
      <c r="D29" s="667"/>
      <c r="E29" s="422"/>
      <c r="F29" s="430" t="s">
        <v>721</v>
      </c>
      <c r="G29" s="1183"/>
      <c r="H29" s="695"/>
      <c r="I29" s="424"/>
      <c r="J29" s="688"/>
      <c r="K29" s="423"/>
      <c r="L29" s="232"/>
    </row>
    <row r="30" spans="2:13" ht="18">
      <c r="B30" s="215"/>
      <c r="C30" s="1182" t="s">
        <v>32</v>
      </c>
      <c r="D30" s="1167"/>
      <c r="E30" s="1171"/>
      <c r="F30" s="1189" t="s">
        <v>723</v>
      </c>
      <c r="G30" s="425"/>
      <c r="H30" s="694"/>
      <c r="I30" s="696"/>
      <c r="J30" s="689"/>
      <c r="K30" s="428" t="str">
        <f t="shared" si="1"/>
        <v/>
      </c>
      <c r="M30" s="213" t="b">
        <v>0</v>
      </c>
    </row>
    <row r="31" spans="2:13" ht="16.5">
      <c r="B31" s="255"/>
      <c r="C31" s="962"/>
      <c r="D31" s="667"/>
      <c r="E31" s="422"/>
      <c r="F31" s="430" t="s">
        <v>722</v>
      </c>
      <c r="G31" s="1183"/>
      <c r="H31" s="695"/>
      <c r="I31" s="424"/>
      <c r="J31" s="688"/>
      <c r="K31" s="423"/>
      <c r="L31" s="232"/>
    </row>
    <row r="32" spans="2:13" ht="18">
      <c r="B32" s="215"/>
      <c r="C32" s="1182" t="s">
        <v>176</v>
      </c>
      <c r="D32" s="1167"/>
      <c r="E32" s="1171"/>
      <c r="F32" s="1189" t="s">
        <v>724</v>
      </c>
      <c r="G32" s="425"/>
      <c r="H32" s="694"/>
      <c r="I32" s="696"/>
      <c r="J32" s="689"/>
      <c r="K32" s="428" t="str">
        <f t="shared" si="1"/>
        <v/>
      </c>
      <c r="M32" s="213" t="b">
        <v>0</v>
      </c>
    </row>
    <row r="33" spans="2:13" ht="16.5">
      <c r="B33" s="255"/>
      <c r="C33" s="962"/>
      <c r="D33" s="667"/>
      <c r="E33" s="422"/>
      <c r="F33" s="430"/>
      <c r="G33" s="1183"/>
      <c r="H33" s="695"/>
      <c r="I33" s="424"/>
      <c r="J33" s="688"/>
      <c r="K33" s="423"/>
      <c r="L33" s="232"/>
    </row>
    <row r="34" spans="2:13" ht="18">
      <c r="B34" s="219"/>
      <c r="C34" s="1182" t="s">
        <v>177</v>
      </c>
      <c r="D34" s="1167"/>
      <c r="E34" s="1171"/>
      <c r="F34" s="1189" t="s">
        <v>962</v>
      </c>
      <c r="G34" s="425"/>
      <c r="H34" s="694"/>
      <c r="I34" s="696"/>
      <c r="J34" s="689"/>
      <c r="K34" s="428" t="str">
        <f t="shared" si="1"/>
        <v/>
      </c>
      <c r="M34" s="213" t="b">
        <v>0</v>
      </c>
    </row>
    <row r="35" spans="2:13" ht="16.5">
      <c r="B35" s="340"/>
      <c r="C35" s="1209"/>
      <c r="D35" s="666"/>
      <c r="E35" s="1210"/>
      <c r="F35" s="1211" t="s">
        <v>961</v>
      </c>
      <c r="G35" s="1212"/>
      <c r="H35" s="1074"/>
      <c r="I35" s="1074"/>
      <c r="J35" s="699"/>
      <c r="K35" s="435"/>
      <c r="L35" s="232"/>
    </row>
    <row r="36" spans="2:13" ht="111.6" customHeight="1">
      <c r="B36" s="1075"/>
      <c r="C36" s="962"/>
      <c r="D36" s="667"/>
      <c r="E36" s="422"/>
      <c r="F36" s="1397" t="s">
        <v>938</v>
      </c>
      <c r="G36" s="1344"/>
      <c r="H36" s="695"/>
      <c r="I36" s="424"/>
      <c r="J36" s="688"/>
      <c r="K36" s="423"/>
      <c r="L36" s="232"/>
    </row>
    <row r="37" spans="2:13" ht="18">
      <c r="B37" s="220"/>
      <c r="C37" s="1182" t="s">
        <v>178</v>
      </c>
      <c r="D37" s="1167"/>
      <c r="E37" s="1171"/>
      <c r="F37" s="1189" t="s">
        <v>937</v>
      </c>
      <c r="G37" s="425"/>
      <c r="H37" s="694"/>
      <c r="I37" s="427"/>
      <c r="J37" s="689"/>
      <c r="K37" s="428" t="str">
        <f t="shared" si="1"/>
        <v/>
      </c>
      <c r="M37" s="213" t="b">
        <v>0</v>
      </c>
    </row>
    <row r="38" spans="2:13" ht="16.5">
      <c r="B38" s="340"/>
      <c r="C38" s="1209"/>
      <c r="D38" s="666"/>
      <c r="E38" s="1210"/>
      <c r="F38" s="1211"/>
      <c r="G38" s="1212"/>
      <c r="H38" s="1074"/>
      <c r="I38" s="1074"/>
      <c r="J38" s="699"/>
      <c r="K38" s="435"/>
      <c r="L38" s="232"/>
    </row>
    <row r="39" spans="2:13" ht="84" customHeight="1">
      <c r="B39" s="1075"/>
      <c r="C39" s="962"/>
      <c r="D39" s="667"/>
      <c r="E39" s="422"/>
      <c r="F39" s="1397" t="s">
        <v>939</v>
      </c>
      <c r="G39" s="1344"/>
      <c r="H39" s="692"/>
      <c r="I39" s="692"/>
      <c r="J39" s="688"/>
      <c r="K39" s="423"/>
      <c r="L39" s="232"/>
    </row>
    <row r="40" spans="2:13" ht="18">
      <c r="B40" s="220"/>
      <c r="C40" s="1182" t="s">
        <v>202</v>
      </c>
      <c r="D40" s="1167"/>
      <c r="E40" s="1171"/>
      <c r="F40" s="1181"/>
      <c r="G40" s="425"/>
      <c r="H40" s="694"/>
      <c r="I40" s="427"/>
      <c r="J40" s="689"/>
      <c r="K40" s="428" t="str">
        <f t="shared" ref="K40" si="2">IF(M40,IF(J40&gt;0,H40*J40,0),"")</f>
        <v/>
      </c>
      <c r="M40" s="213" t="b">
        <v>0</v>
      </c>
    </row>
    <row r="41" spans="2:13" ht="16.5">
      <c r="B41" s="255"/>
      <c r="C41" s="962"/>
      <c r="D41" s="667"/>
      <c r="E41" s="422"/>
      <c r="F41" s="426"/>
      <c r="G41" s="1183"/>
      <c r="H41" s="692"/>
      <c r="I41" s="692"/>
      <c r="J41" s="688"/>
      <c r="K41" s="423"/>
      <c r="L41" s="232"/>
    </row>
    <row r="42" spans="2:13" ht="18">
      <c r="B42" s="220"/>
      <c r="C42" s="1184" t="s">
        <v>941</v>
      </c>
      <c r="D42" s="1167"/>
      <c r="E42" s="1171"/>
      <c r="F42" s="1181"/>
      <c r="G42" s="425"/>
      <c r="H42" s="694"/>
      <c r="I42" s="427"/>
      <c r="J42" s="689"/>
      <c r="K42" s="428" t="str">
        <f t="shared" ref="K42" si="3">IF(M42,IF(J42&gt;0,H42*J42,0),"")</f>
        <v/>
      </c>
      <c r="M42" s="213" t="b">
        <v>0</v>
      </c>
    </row>
    <row r="43" spans="2:13" ht="17.25" thickBot="1">
      <c r="B43" s="255"/>
      <c r="C43" s="962"/>
      <c r="D43" s="667"/>
      <c r="E43" s="422"/>
      <c r="F43" s="426"/>
      <c r="G43" s="1183"/>
      <c r="H43" s="692"/>
      <c r="I43" s="692"/>
      <c r="J43" s="688"/>
      <c r="K43" s="423"/>
      <c r="L43" s="232"/>
    </row>
    <row r="44" spans="2:13" ht="22.7" customHeight="1" thickBot="1">
      <c r="B44" s="535"/>
      <c r="C44" s="965" t="s">
        <v>10</v>
      </c>
      <c r="D44" s="536"/>
      <c r="E44" s="546"/>
      <c r="F44" s="547"/>
      <c r="G44" s="548"/>
      <c r="H44" s="547"/>
      <c r="I44" s="547"/>
      <c r="J44" s="549" t="s">
        <v>254</v>
      </c>
      <c r="K44" s="540">
        <f>IF(Projektgrundlagen!I21,IF(COUNT(K26:K43)&gt;0,SUM(K26:K43),""),0)</f>
        <v>0</v>
      </c>
    </row>
    <row r="45" spans="2:13" ht="7.5" customHeight="1">
      <c r="B45" s="559"/>
      <c r="C45" s="963"/>
      <c r="D45" s="225"/>
      <c r="E45" s="225"/>
      <c r="F45" s="226"/>
      <c r="G45" s="227"/>
      <c r="H45" s="226"/>
      <c r="I45" s="226"/>
      <c r="J45" s="560"/>
      <c r="K45" s="167"/>
    </row>
    <row r="46" spans="2:13" ht="22.7" customHeight="1">
      <c r="B46" s="506" t="s">
        <v>203</v>
      </c>
      <c r="C46" s="507"/>
      <c r="D46" s="507"/>
      <c r="E46" s="507"/>
      <c r="F46" s="507"/>
      <c r="G46" s="507"/>
      <c r="H46" s="516"/>
      <c r="I46" s="516"/>
      <c r="J46" s="533"/>
      <c r="K46" s="542"/>
    </row>
    <row r="47" spans="2:13" ht="18">
      <c r="B47" s="221"/>
      <c r="C47" s="1182" t="s">
        <v>31</v>
      </c>
      <c r="D47" s="1164"/>
      <c r="E47" s="1171"/>
      <c r="F47" s="1189" t="s">
        <v>725</v>
      </c>
      <c r="G47" s="425"/>
      <c r="H47" s="694"/>
      <c r="I47" s="696"/>
      <c r="J47" s="687"/>
      <c r="K47" s="428" t="str">
        <f>IF(M47,IF(J47&gt;0,H47*J47,0),"")</f>
        <v/>
      </c>
      <c r="M47" s="213" t="b">
        <v>0</v>
      </c>
    </row>
    <row r="48" spans="2:13" ht="16.5">
      <c r="B48" s="255"/>
      <c r="C48" s="962"/>
      <c r="D48" s="667"/>
      <c r="E48" s="422"/>
      <c r="F48" s="430" t="s">
        <v>726</v>
      </c>
      <c r="G48" s="1183"/>
      <c r="H48" s="692"/>
      <c r="I48" s="695"/>
      <c r="J48" s="688"/>
      <c r="K48" s="423"/>
      <c r="L48" s="232"/>
    </row>
    <row r="49" spans="2:13" ht="18">
      <c r="B49" s="221"/>
      <c r="C49" s="1182" t="s">
        <v>30</v>
      </c>
      <c r="D49" s="1167"/>
      <c r="E49" s="1171"/>
      <c r="F49" s="1189" t="s">
        <v>725</v>
      </c>
      <c r="G49" s="425"/>
      <c r="H49" s="694"/>
      <c r="I49" s="696"/>
      <c r="J49" s="689"/>
      <c r="K49" s="428" t="str">
        <f t="shared" ref="K49:K59" si="4">IF(M49,IF(J49&gt;0,H49*J49,0),"")</f>
        <v/>
      </c>
      <c r="M49" s="213" t="b">
        <v>0</v>
      </c>
    </row>
    <row r="50" spans="2:13" ht="16.5">
      <c r="B50" s="255"/>
      <c r="C50" s="962"/>
      <c r="D50" s="667"/>
      <c r="E50" s="422"/>
      <c r="F50" s="430" t="s">
        <v>727</v>
      </c>
      <c r="G50" s="1183"/>
      <c r="H50" s="692"/>
      <c r="I50" s="695"/>
      <c r="J50" s="688"/>
      <c r="K50" s="423"/>
      <c r="L50" s="232"/>
    </row>
    <row r="51" spans="2:13" ht="18">
      <c r="B51" s="221"/>
      <c r="C51" s="1182" t="s">
        <v>29</v>
      </c>
      <c r="D51" s="1167"/>
      <c r="E51" s="1171"/>
      <c r="F51" s="1189" t="s">
        <v>728</v>
      </c>
      <c r="G51" s="425"/>
      <c r="H51" s="694"/>
      <c r="I51" s="696"/>
      <c r="J51" s="689"/>
      <c r="K51" s="428" t="str">
        <f t="shared" si="4"/>
        <v/>
      </c>
      <c r="M51" s="213" t="b">
        <v>0</v>
      </c>
    </row>
    <row r="52" spans="2:13" ht="25.5">
      <c r="B52" s="255"/>
      <c r="C52" s="962"/>
      <c r="D52" s="667"/>
      <c r="E52" s="422"/>
      <c r="F52" s="430" t="s">
        <v>729</v>
      </c>
      <c r="G52" s="1183"/>
      <c r="H52" s="692"/>
      <c r="I52" s="695"/>
      <c r="J52" s="688"/>
      <c r="K52" s="423"/>
      <c r="L52" s="232"/>
    </row>
    <row r="53" spans="2:13" ht="16.5" customHeight="1">
      <c r="B53" s="222"/>
      <c r="C53" s="1182" t="s">
        <v>180</v>
      </c>
      <c r="D53" s="1167"/>
      <c r="E53" s="1171"/>
      <c r="F53" s="1189" t="s">
        <v>730</v>
      </c>
      <c r="G53" s="425"/>
      <c r="H53" s="694"/>
      <c r="I53" s="696"/>
      <c r="J53" s="689"/>
      <c r="K53" s="428" t="str">
        <f t="shared" si="4"/>
        <v/>
      </c>
      <c r="M53" s="213" t="b">
        <v>0</v>
      </c>
    </row>
    <row r="54" spans="2:13" ht="51">
      <c r="B54" s="255"/>
      <c r="C54" s="962"/>
      <c r="D54" s="667"/>
      <c r="E54" s="422"/>
      <c r="F54" s="430" t="s">
        <v>731</v>
      </c>
      <c r="G54" s="1183"/>
      <c r="H54" s="692"/>
      <c r="I54" s="695"/>
      <c r="J54" s="688"/>
      <c r="K54" s="423"/>
      <c r="L54" s="232"/>
    </row>
    <row r="55" spans="2:13" ht="18">
      <c r="B55" s="223"/>
      <c r="C55" s="1182" t="s">
        <v>181</v>
      </c>
      <c r="D55" s="1167"/>
      <c r="E55" s="1171"/>
      <c r="F55" s="1189" t="s">
        <v>732</v>
      </c>
      <c r="G55" s="425"/>
      <c r="H55" s="694"/>
      <c r="I55" s="696"/>
      <c r="J55" s="689"/>
      <c r="K55" s="428" t="str">
        <f t="shared" si="4"/>
        <v/>
      </c>
      <c r="M55" s="213" t="b">
        <v>0</v>
      </c>
    </row>
    <row r="56" spans="2:13" ht="16.5">
      <c r="B56" s="255"/>
      <c r="C56" s="962"/>
      <c r="D56" s="667"/>
      <c r="E56" s="422"/>
      <c r="F56" s="430"/>
      <c r="G56" s="1183"/>
      <c r="H56" s="692"/>
      <c r="I56" s="695"/>
      <c r="J56" s="688"/>
      <c r="K56" s="423"/>
      <c r="L56" s="232"/>
    </row>
    <row r="57" spans="2:13" ht="18">
      <c r="B57" s="223"/>
      <c r="C57" s="1182" t="s">
        <v>182</v>
      </c>
      <c r="D57" s="1167"/>
      <c r="E57" s="1171"/>
      <c r="F57" s="1181" t="s">
        <v>971</v>
      </c>
      <c r="G57" s="425"/>
      <c r="H57" s="694">
        <v>1</v>
      </c>
      <c r="I57" s="696" t="s">
        <v>238</v>
      </c>
      <c r="J57" s="689"/>
      <c r="K57" s="428">
        <f t="shared" si="4"/>
        <v>0</v>
      </c>
      <c r="M57" s="213" t="b">
        <v>1</v>
      </c>
    </row>
    <row r="58" spans="2:13" ht="16.5">
      <c r="B58" s="255"/>
      <c r="C58" s="962"/>
      <c r="D58" s="667"/>
      <c r="E58" s="422"/>
      <c r="F58" s="426"/>
      <c r="G58" s="1183"/>
      <c r="H58" s="692"/>
      <c r="I58" s="695"/>
      <c r="J58" s="688"/>
      <c r="K58" s="423"/>
      <c r="L58" s="232"/>
    </row>
    <row r="59" spans="2:13" ht="18">
      <c r="B59" s="223"/>
      <c r="C59" s="1182" t="s">
        <v>204</v>
      </c>
      <c r="D59" s="1167"/>
      <c r="E59" s="1171"/>
      <c r="F59" s="1181"/>
      <c r="G59" s="425"/>
      <c r="H59" s="694"/>
      <c r="I59" s="696"/>
      <c r="J59" s="689"/>
      <c r="K59" s="428" t="str">
        <f t="shared" si="4"/>
        <v/>
      </c>
      <c r="M59" s="213" t="b">
        <v>0</v>
      </c>
    </row>
    <row r="60" spans="2:13" ht="17.25" thickBot="1">
      <c r="B60" s="255"/>
      <c r="C60" s="962"/>
      <c r="D60" s="667"/>
      <c r="E60" s="422"/>
      <c r="F60" s="426"/>
      <c r="G60" s="1183"/>
      <c r="H60" s="692"/>
      <c r="I60" s="695"/>
      <c r="J60" s="688"/>
      <c r="K60" s="423"/>
      <c r="L60" s="232"/>
    </row>
    <row r="61" spans="2:13" ht="22.7" customHeight="1" thickBot="1">
      <c r="B61" s="535"/>
      <c r="C61" s="967" t="s">
        <v>10</v>
      </c>
      <c r="D61" s="536"/>
      <c r="E61" s="537"/>
      <c r="F61" s="420"/>
      <c r="G61" s="538"/>
      <c r="H61" s="420"/>
      <c r="I61" s="420"/>
      <c r="J61" s="539" t="s">
        <v>255</v>
      </c>
      <c r="K61" s="540">
        <f>IF(Projektgrundlagen!I21,IF(COUNT(K47:K60)&gt;0,SUM(K47:K60),""),0)</f>
        <v>0</v>
      </c>
    </row>
    <row r="62" spans="2:13" ht="7.5" customHeight="1">
      <c r="B62" s="559"/>
      <c r="C62" s="963"/>
      <c r="D62" s="225"/>
      <c r="E62" s="225"/>
      <c r="F62" s="226"/>
      <c r="G62" s="227"/>
      <c r="H62" s="226"/>
      <c r="I62" s="226"/>
      <c r="J62" s="560"/>
      <c r="K62" s="238"/>
    </row>
    <row r="63" spans="2:13" ht="22.7" customHeight="1">
      <c r="B63" s="506" t="s">
        <v>205</v>
      </c>
      <c r="C63" s="507"/>
      <c r="D63" s="507"/>
      <c r="E63" s="507"/>
      <c r="F63" s="507"/>
      <c r="G63" s="551"/>
      <c r="H63" s="516"/>
      <c r="I63" s="516"/>
      <c r="J63" s="533"/>
      <c r="K63" s="542"/>
    </row>
    <row r="64" spans="2:13" ht="18">
      <c r="B64" s="224"/>
      <c r="C64" s="1182" t="s">
        <v>28</v>
      </c>
      <c r="D64" s="1164"/>
      <c r="E64" s="1171"/>
      <c r="F64" s="1189" t="s">
        <v>735</v>
      </c>
      <c r="G64" s="425"/>
      <c r="H64" s="694"/>
      <c r="I64" s="427"/>
      <c r="J64" s="687"/>
      <c r="K64" s="428" t="str">
        <f>IF(M64,IF(J64&gt;0,H64*J64,0),"")</f>
        <v/>
      </c>
      <c r="M64" s="213" t="b">
        <v>0</v>
      </c>
    </row>
    <row r="65" spans="2:13" ht="25.5">
      <c r="B65" s="255"/>
      <c r="C65" s="962"/>
      <c r="D65" s="667"/>
      <c r="E65" s="422"/>
      <c r="F65" s="430" t="s">
        <v>736</v>
      </c>
      <c r="G65" s="1183"/>
      <c r="H65" s="692"/>
      <c r="I65" s="692"/>
      <c r="J65" s="688"/>
      <c r="K65" s="423"/>
      <c r="L65" s="232"/>
    </row>
    <row r="66" spans="2:13" ht="16.5" customHeight="1">
      <c r="B66" s="216"/>
      <c r="C66" s="1182" t="s">
        <v>206</v>
      </c>
      <c r="D66" s="1167"/>
      <c r="E66" s="1171"/>
      <c r="F66" s="1189" t="s">
        <v>737</v>
      </c>
      <c r="G66" s="425"/>
      <c r="H66" s="694"/>
      <c r="I66" s="427"/>
      <c r="J66" s="689"/>
      <c r="K66" s="428" t="str">
        <f t="shared" ref="K66" si="5">IF(M66,IF(J66&gt;0,H66*J66,0),"")</f>
        <v/>
      </c>
      <c r="M66" s="213" t="b">
        <v>0</v>
      </c>
    </row>
    <row r="67" spans="2:13" ht="51">
      <c r="B67" s="255"/>
      <c r="C67" s="962"/>
      <c r="D67" s="667"/>
      <c r="E67" s="422"/>
      <c r="F67" s="430" t="s">
        <v>738</v>
      </c>
      <c r="G67" s="1183"/>
      <c r="H67" s="692"/>
      <c r="I67" s="692"/>
      <c r="J67" s="688"/>
      <c r="K67" s="423"/>
      <c r="L67" s="232"/>
    </row>
    <row r="68" spans="2:13" ht="18">
      <c r="B68" s="216"/>
      <c r="C68" s="1182" t="s">
        <v>44</v>
      </c>
      <c r="D68" s="1167"/>
      <c r="E68" s="1171"/>
      <c r="F68" s="1189" t="s">
        <v>739</v>
      </c>
      <c r="G68" s="425"/>
      <c r="H68" s="694"/>
      <c r="I68" s="427"/>
      <c r="J68" s="689"/>
      <c r="K68" s="428" t="str">
        <f t="shared" ref="K68" si="6">IF(M68,IF(J68&gt;0,H68*J68,0),"")</f>
        <v/>
      </c>
      <c r="M68" s="213" t="b">
        <v>0</v>
      </c>
    </row>
    <row r="69" spans="2:13" ht="76.5">
      <c r="B69" s="255"/>
      <c r="C69" s="962"/>
      <c r="D69" s="667"/>
      <c r="E69" s="422"/>
      <c r="F69" s="430" t="s">
        <v>740</v>
      </c>
      <c r="G69" s="1183"/>
      <c r="H69" s="692"/>
      <c r="I69" s="692"/>
      <c r="J69" s="688"/>
      <c r="K69" s="423"/>
      <c r="L69" s="232"/>
    </row>
    <row r="70" spans="2:13" ht="18">
      <c r="B70" s="216"/>
      <c r="C70" s="1182" t="s">
        <v>207</v>
      </c>
      <c r="D70" s="1167"/>
      <c r="E70" s="1171"/>
      <c r="F70" s="1189" t="s">
        <v>741</v>
      </c>
      <c r="G70" s="425"/>
      <c r="H70" s="694"/>
      <c r="I70" s="427"/>
      <c r="J70" s="689"/>
      <c r="K70" s="428" t="str">
        <f t="shared" ref="K70" si="7">IF(M70,IF(J70&gt;0,H70*J70,0),"")</f>
        <v/>
      </c>
      <c r="M70" s="213" t="b">
        <v>0</v>
      </c>
    </row>
    <row r="71" spans="2:13" ht="16.5">
      <c r="B71" s="255"/>
      <c r="C71" s="962"/>
      <c r="D71" s="667"/>
      <c r="E71" s="422"/>
      <c r="F71" s="430" t="s">
        <v>742</v>
      </c>
      <c r="G71" s="1183"/>
      <c r="H71" s="692"/>
      <c r="I71" s="692"/>
      <c r="J71" s="688"/>
      <c r="K71" s="423"/>
      <c r="L71" s="232"/>
    </row>
    <row r="72" spans="2:13" ht="16.5" customHeight="1">
      <c r="B72" s="216"/>
      <c r="C72" s="1184" t="s">
        <v>208</v>
      </c>
      <c r="D72" s="1167"/>
      <c r="E72" s="1171"/>
      <c r="F72" s="1189" t="s">
        <v>743</v>
      </c>
      <c r="G72" s="425"/>
      <c r="H72" s="694"/>
      <c r="I72" s="427"/>
      <c r="J72" s="689"/>
      <c r="K72" s="428" t="str">
        <f t="shared" ref="K72:K103" si="8">IF(M72,IF(J72&gt;0,H72*J72,0),"")</f>
        <v/>
      </c>
      <c r="M72" s="213" t="b">
        <v>0</v>
      </c>
    </row>
    <row r="73" spans="2:13" ht="25.5">
      <c r="B73" s="255"/>
      <c r="C73" s="962"/>
      <c r="D73" s="667"/>
      <c r="E73" s="422"/>
      <c r="F73" s="430" t="s">
        <v>940</v>
      </c>
      <c r="G73" s="1183"/>
      <c r="H73" s="692"/>
      <c r="I73" s="692"/>
      <c r="J73" s="688"/>
      <c r="K73" s="423"/>
      <c r="L73" s="232"/>
    </row>
    <row r="74" spans="2:13" ht="18">
      <c r="B74" s="216"/>
      <c r="C74" s="1184" t="s">
        <v>376</v>
      </c>
      <c r="D74" s="1167"/>
      <c r="E74" s="1171"/>
      <c r="F74" s="1189" t="s">
        <v>744</v>
      </c>
      <c r="G74" s="425"/>
      <c r="H74" s="694"/>
      <c r="I74" s="427"/>
      <c r="J74" s="689"/>
      <c r="K74" s="428" t="str">
        <f t="shared" si="8"/>
        <v/>
      </c>
      <c r="M74" s="213" t="b">
        <v>0</v>
      </c>
    </row>
    <row r="75" spans="2:13" ht="25.5">
      <c r="B75" s="255"/>
      <c r="C75" s="962"/>
      <c r="D75" s="667"/>
      <c r="E75" s="422"/>
      <c r="F75" s="430" t="s">
        <v>745</v>
      </c>
      <c r="G75" s="1183"/>
      <c r="H75" s="692"/>
      <c r="I75" s="692"/>
      <c r="J75" s="688"/>
      <c r="K75" s="423"/>
      <c r="L75" s="232"/>
    </row>
    <row r="76" spans="2:13" ht="18">
      <c r="B76" s="216"/>
      <c r="C76" s="1184" t="s">
        <v>733</v>
      </c>
      <c r="D76" s="1167"/>
      <c r="E76" s="1171"/>
      <c r="F76" s="1189" t="s">
        <v>947</v>
      </c>
      <c r="G76" s="425"/>
      <c r="H76" s="694"/>
      <c r="I76" s="427"/>
      <c r="J76" s="689"/>
      <c r="K76" s="428" t="str">
        <f t="shared" ref="K76" si="9">IF(M76,IF(J76&gt;0,H76*J76,0),"")</f>
        <v/>
      </c>
      <c r="M76" s="213" t="b">
        <v>0</v>
      </c>
    </row>
    <row r="77" spans="2:13" ht="16.5">
      <c r="B77" s="340"/>
      <c r="C77" s="1209"/>
      <c r="D77" s="666"/>
      <c r="E77" s="1210"/>
      <c r="F77" s="1211" t="s">
        <v>946</v>
      </c>
      <c r="G77" s="1212"/>
      <c r="H77" s="1074"/>
      <c r="I77" s="1074"/>
      <c r="J77" s="699"/>
      <c r="K77" s="435"/>
      <c r="L77" s="232"/>
    </row>
    <row r="78" spans="2:13" ht="49.15" customHeight="1">
      <c r="B78" s="1213"/>
      <c r="C78" s="1209"/>
      <c r="D78" s="666"/>
      <c r="E78" s="1210"/>
      <c r="F78" s="1397" t="s">
        <v>963</v>
      </c>
      <c r="G78" s="1344"/>
      <c r="H78" s="1074"/>
      <c r="I78" s="1074"/>
      <c r="J78" s="699"/>
      <c r="K78" s="435"/>
      <c r="L78" s="232"/>
    </row>
    <row r="79" spans="2:13" ht="16.5" customHeight="1">
      <c r="B79" s="1213"/>
      <c r="C79" s="1209"/>
      <c r="D79" s="666"/>
      <c r="E79" s="1214"/>
      <c r="F79" s="1344" t="s">
        <v>920</v>
      </c>
      <c r="G79" s="1344"/>
      <c r="H79" s="1074"/>
      <c r="I79" s="1074"/>
      <c r="J79" s="699"/>
      <c r="K79" s="435"/>
      <c r="L79" s="232"/>
      <c r="M79" s="213" t="b">
        <v>0</v>
      </c>
    </row>
    <row r="80" spans="2:13" ht="16.5">
      <c r="B80" s="1213"/>
      <c r="C80" s="1209"/>
      <c r="D80" s="666"/>
      <c r="E80" s="1214"/>
      <c r="F80" s="1344" t="s">
        <v>921</v>
      </c>
      <c r="G80" s="1344"/>
      <c r="H80" s="1074"/>
      <c r="I80" s="1074"/>
      <c r="J80" s="699"/>
      <c r="K80" s="435"/>
      <c r="L80" s="232"/>
    </row>
    <row r="81" spans="2:13" ht="16.5" customHeight="1">
      <c r="B81" s="1213"/>
      <c r="C81" s="1209"/>
      <c r="D81" s="666"/>
      <c r="E81" s="1214"/>
      <c r="F81" s="1344" t="s">
        <v>922</v>
      </c>
      <c r="G81" s="1344"/>
      <c r="H81" s="1074"/>
      <c r="I81" s="1074"/>
      <c r="J81" s="699"/>
      <c r="K81" s="435"/>
      <c r="L81" s="232"/>
    </row>
    <row r="82" spans="2:13" ht="15" customHeight="1">
      <c r="B82" s="1213"/>
      <c r="C82" s="1209"/>
      <c r="D82" s="666"/>
      <c r="E82" s="1215"/>
      <c r="F82" s="1344"/>
      <c r="G82" s="1344"/>
      <c r="H82" s="1074"/>
      <c r="I82" s="1074"/>
      <c r="J82" s="699"/>
      <c r="K82" s="435"/>
      <c r="L82" s="232"/>
    </row>
    <row r="83" spans="2:13" ht="16.5" customHeight="1">
      <c r="B83" s="1213"/>
      <c r="C83" s="1209"/>
      <c r="D83" s="666"/>
      <c r="E83" s="1214"/>
      <c r="F83" s="1344" t="s">
        <v>948</v>
      </c>
      <c r="G83" s="1344"/>
      <c r="H83" s="1074"/>
      <c r="I83" s="1074"/>
      <c r="J83" s="699"/>
      <c r="K83" s="435"/>
      <c r="L83" s="232"/>
    </row>
    <row r="84" spans="2:13" ht="36.6" customHeight="1">
      <c r="B84" s="1075"/>
      <c r="C84" s="962"/>
      <c r="D84" s="667"/>
      <c r="E84" s="422"/>
      <c r="F84" s="1344" t="s">
        <v>949</v>
      </c>
      <c r="G84" s="1344"/>
      <c r="H84" s="692"/>
      <c r="I84" s="692"/>
      <c r="J84" s="688"/>
      <c r="K84" s="423"/>
      <c r="L84" s="232"/>
    </row>
    <row r="85" spans="2:13" ht="18">
      <c r="B85" s="216"/>
      <c r="C85" s="1184" t="s">
        <v>734</v>
      </c>
      <c r="D85" s="1167"/>
      <c r="E85" s="1168"/>
      <c r="F85" s="1189" t="s">
        <v>950</v>
      </c>
      <c r="G85" s="425"/>
      <c r="H85" s="694"/>
      <c r="I85" s="427"/>
      <c r="J85" s="689"/>
      <c r="K85" s="428" t="str">
        <f t="shared" ref="K85" si="10">IF(M85,IF(J85&gt;0,H85*J85,0),"")</f>
        <v/>
      </c>
      <c r="M85" s="213" t="b">
        <v>0</v>
      </c>
    </row>
    <row r="86" spans="2:13" ht="63.75">
      <c r="B86" s="340"/>
      <c r="C86" s="1209"/>
      <c r="D86" s="666"/>
      <c r="E86" s="1210"/>
      <c r="F86" s="1211" t="s">
        <v>951</v>
      </c>
      <c r="G86" s="1212"/>
      <c r="H86" s="1074"/>
      <c r="I86" s="1074"/>
      <c r="J86" s="699"/>
      <c r="K86" s="435"/>
      <c r="L86" s="232"/>
    </row>
    <row r="87" spans="2:13" ht="16.5">
      <c r="B87" s="1075"/>
      <c r="C87" s="962"/>
      <c r="D87" s="667"/>
      <c r="E87" s="422"/>
      <c r="F87" s="1397" t="s">
        <v>952</v>
      </c>
      <c r="G87" s="1344"/>
      <c r="H87" s="692"/>
      <c r="I87" s="692"/>
      <c r="J87" s="688"/>
      <c r="K87" s="423"/>
      <c r="L87" s="232"/>
    </row>
    <row r="88" spans="2:13" ht="16.5" customHeight="1">
      <c r="B88" s="216"/>
      <c r="C88" s="1184" t="s">
        <v>942</v>
      </c>
      <c r="D88" s="1167"/>
      <c r="E88" s="1171"/>
      <c r="F88" s="1189" t="s">
        <v>950</v>
      </c>
      <c r="G88" s="425"/>
      <c r="H88" s="694"/>
      <c r="I88" s="427"/>
      <c r="J88" s="689"/>
      <c r="K88" s="428" t="str">
        <f t="shared" ref="K88" si="11">IF(M88,IF(J88&gt;0,H88*J88,0),"")</f>
        <v/>
      </c>
      <c r="M88" s="213" t="b">
        <v>0</v>
      </c>
    </row>
    <row r="89" spans="2:13" ht="51">
      <c r="B89" s="340"/>
      <c r="C89" s="1209"/>
      <c r="D89" s="666"/>
      <c r="E89" s="1210"/>
      <c r="F89" s="1211" t="s">
        <v>953</v>
      </c>
      <c r="G89" s="1212"/>
      <c r="H89" s="1074"/>
      <c r="I89" s="1074"/>
      <c r="J89" s="699"/>
      <c r="K89" s="435"/>
      <c r="L89" s="232"/>
    </row>
    <row r="90" spans="2:13" ht="16.5">
      <c r="B90" s="1075"/>
      <c r="C90" s="962"/>
      <c r="D90" s="667"/>
      <c r="E90" s="422"/>
      <c r="F90" s="1397" t="s">
        <v>952</v>
      </c>
      <c r="G90" s="1344"/>
      <c r="H90" s="692"/>
      <c r="I90" s="692"/>
      <c r="J90" s="688"/>
      <c r="K90" s="423"/>
      <c r="L90" s="232"/>
    </row>
    <row r="91" spans="2:13" ht="18">
      <c r="B91" s="216"/>
      <c r="C91" s="1184" t="s">
        <v>943</v>
      </c>
      <c r="D91" s="1167"/>
      <c r="E91" s="1171"/>
      <c r="F91" s="1189" t="s">
        <v>950</v>
      </c>
      <c r="G91" s="425"/>
      <c r="H91" s="694"/>
      <c r="I91" s="427"/>
      <c r="J91" s="689"/>
      <c r="K91" s="428" t="str">
        <f t="shared" ref="K91" si="12">IF(M91,IF(J91&gt;0,H91*J91,0),"")</f>
        <v/>
      </c>
      <c r="M91" s="213" t="b">
        <v>0</v>
      </c>
    </row>
    <row r="92" spans="2:13" ht="51">
      <c r="B92" s="340"/>
      <c r="C92" s="1209"/>
      <c r="D92" s="666"/>
      <c r="E92" s="1210"/>
      <c r="F92" s="1211" t="s">
        <v>955</v>
      </c>
      <c r="G92" s="1212"/>
      <c r="H92" s="1074"/>
      <c r="I92" s="1074"/>
      <c r="J92" s="699"/>
      <c r="K92" s="435"/>
      <c r="L92" s="232"/>
    </row>
    <row r="93" spans="2:13" ht="16.5">
      <c r="B93" s="1075"/>
      <c r="C93" s="962"/>
      <c r="D93" s="667"/>
      <c r="E93" s="422"/>
      <c r="F93" s="1397" t="s">
        <v>952</v>
      </c>
      <c r="G93" s="1344"/>
      <c r="H93" s="692"/>
      <c r="I93" s="692"/>
      <c r="J93" s="688"/>
      <c r="K93" s="423"/>
      <c r="L93" s="232"/>
    </row>
    <row r="94" spans="2:13" ht="18">
      <c r="B94" s="216"/>
      <c r="C94" s="1184" t="s">
        <v>944</v>
      </c>
      <c r="D94" s="1167"/>
      <c r="E94" s="1171"/>
      <c r="F94" s="1189" t="s">
        <v>950</v>
      </c>
      <c r="G94" s="425"/>
      <c r="H94" s="694"/>
      <c r="I94" s="427"/>
      <c r="J94" s="689"/>
      <c r="K94" s="428" t="str">
        <f t="shared" ref="K94" si="13">IF(M94,IF(J94&gt;0,H94*J94,0),"")</f>
        <v/>
      </c>
      <c r="M94" s="213" t="b">
        <v>0</v>
      </c>
    </row>
    <row r="95" spans="2:13" ht="16.5">
      <c r="B95" s="340"/>
      <c r="C95" s="1209"/>
      <c r="D95" s="666"/>
      <c r="E95" s="1210"/>
      <c r="F95" s="1211" t="s">
        <v>956</v>
      </c>
      <c r="G95" s="1212"/>
      <c r="H95" s="1074"/>
      <c r="I95" s="1074"/>
      <c r="J95" s="699"/>
      <c r="K95" s="435"/>
      <c r="L95" s="232"/>
    </row>
    <row r="96" spans="2:13" ht="61.9" customHeight="1">
      <c r="B96" s="1213"/>
      <c r="C96" s="1209"/>
      <c r="D96" s="666"/>
      <c r="E96" s="422"/>
      <c r="F96" s="1344" t="s">
        <v>967</v>
      </c>
      <c r="G96" s="1344"/>
      <c r="H96" s="1074"/>
      <c r="I96" s="1074"/>
      <c r="J96" s="699"/>
      <c r="K96" s="435"/>
      <c r="L96" s="232"/>
    </row>
    <row r="97" spans="2:13" ht="16.5">
      <c r="B97" s="1213"/>
      <c r="C97" s="1209"/>
      <c r="D97" s="666"/>
      <c r="E97" s="1214"/>
      <c r="F97" s="1344" t="s">
        <v>957</v>
      </c>
      <c r="G97" s="1344"/>
      <c r="H97" s="1074"/>
      <c r="I97" s="1074"/>
      <c r="J97" s="699"/>
      <c r="K97" s="435"/>
      <c r="L97" s="232"/>
    </row>
    <row r="98" spans="2:13" ht="16.5">
      <c r="B98" s="1213"/>
      <c r="C98" s="1209"/>
      <c r="D98" s="666"/>
      <c r="E98" s="1214"/>
      <c r="F98" s="1344" t="s">
        <v>958</v>
      </c>
      <c r="G98" s="1344"/>
      <c r="H98" s="1074"/>
      <c r="I98" s="1074"/>
      <c r="J98" s="699"/>
      <c r="K98" s="435"/>
      <c r="L98" s="232"/>
    </row>
    <row r="99" spans="2:13" ht="16.5">
      <c r="B99" s="1213"/>
      <c r="C99" s="1209"/>
      <c r="D99" s="666"/>
      <c r="E99" s="1214"/>
      <c r="F99" s="1344" t="s">
        <v>959</v>
      </c>
      <c r="G99" s="1344"/>
      <c r="H99" s="1074"/>
      <c r="I99" s="1074"/>
      <c r="J99" s="699"/>
      <c r="K99" s="435"/>
      <c r="L99" s="232"/>
    </row>
    <row r="100" spans="2:13" ht="25.9" customHeight="1">
      <c r="B100" s="1075"/>
      <c r="C100" s="962"/>
      <c r="D100" s="667"/>
      <c r="E100" s="422"/>
      <c r="F100" s="1344" t="s">
        <v>960</v>
      </c>
      <c r="G100" s="1344"/>
      <c r="H100" s="692"/>
      <c r="I100" s="692"/>
      <c r="J100" s="688"/>
      <c r="K100" s="423"/>
      <c r="L100" s="232"/>
    </row>
    <row r="101" spans="2:13" ht="18">
      <c r="B101" s="216"/>
      <c r="C101" s="1184" t="s">
        <v>945</v>
      </c>
      <c r="D101" s="1167"/>
      <c r="E101" s="1171"/>
      <c r="F101" s="1181"/>
      <c r="G101" s="425"/>
      <c r="H101" s="694"/>
      <c r="I101" s="427"/>
      <c r="J101" s="689"/>
      <c r="K101" s="428" t="str">
        <f t="shared" si="8"/>
        <v/>
      </c>
      <c r="M101" s="213" t="b">
        <v>0</v>
      </c>
    </row>
    <row r="102" spans="2:13" ht="16.5">
      <c r="B102" s="255"/>
      <c r="C102" s="962"/>
      <c r="D102" s="667"/>
      <c r="E102" s="422"/>
      <c r="F102" s="426"/>
      <c r="G102" s="1183"/>
      <c r="H102" s="692"/>
      <c r="I102" s="692"/>
      <c r="J102" s="688"/>
      <c r="K102" s="423"/>
      <c r="L102" s="232"/>
    </row>
    <row r="103" spans="2:13" ht="18">
      <c r="B103" s="220"/>
      <c r="C103" s="1184" t="s">
        <v>954</v>
      </c>
      <c r="D103" s="1167"/>
      <c r="E103" s="1171"/>
      <c r="F103" s="1181"/>
      <c r="G103" s="425"/>
      <c r="H103" s="694"/>
      <c r="I103" s="427"/>
      <c r="J103" s="689"/>
      <c r="K103" s="428" t="str">
        <f t="shared" si="8"/>
        <v/>
      </c>
      <c r="M103" s="213" t="b">
        <v>0</v>
      </c>
    </row>
    <row r="104" spans="2:13" ht="17.25" thickBot="1">
      <c r="B104" s="255"/>
      <c r="C104" s="962"/>
      <c r="D104" s="668"/>
      <c r="E104" s="422"/>
      <c r="F104" s="426"/>
      <c r="G104" s="1183"/>
      <c r="H104" s="692"/>
      <c r="I104" s="692"/>
      <c r="J104" s="690"/>
      <c r="K104" s="423"/>
      <c r="L104" s="232"/>
    </row>
    <row r="105" spans="2:13" ht="22.7" customHeight="1" thickBot="1">
      <c r="B105" s="550"/>
      <c r="C105" s="967" t="s">
        <v>10</v>
      </c>
      <c r="D105" s="536"/>
      <c r="E105" s="537"/>
      <c r="F105" s="420"/>
      <c r="G105" s="538"/>
      <c r="H105" s="420"/>
      <c r="I105" s="420"/>
      <c r="J105" s="539" t="s">
        <v>256</v>
      </c>
      <c r="K105" s="540" t="str">
        <f>IF(Projektgrundlagen!I21,IF(COUNT(K64:K104)&gt;0,SUM(K64:K104),""),0)</f>
        <v/>
      </c>
    </row>
    <row r="106" spans="2:13" ht="7.5" customHeight="1">
      <c r="B106" s="559"/>
      <c r="C106" s="963"/>
      <c r="D106" s="225"/>
      <c r="E106" s="225"/>
      <c r="F106" s="226"/>
      <c r="G106" s="227"/>
      <c r="H106" s="226"/>
      <c r="I106" s="226"/>
      <c r="J106" s="560"/>
      <c r="K106" s="238"/>
    </row>
    <row r="107" spans="2:13" ht="22.7" customHeight="1">
      <c r="B107" s="506" t="s">
        <v>209</v>
      </c>
      <c r="C107" s="507"/>
      <c r="D107" s="507"/>
      <c r="E107" s="507"/>
      <c r="F107" s="507"/>
      <c r="G107" s="551"/>
      <c r="H107" s="516"/>
      <c r="I107" s="516"/>
      <c r="J107" s="533"/>
      <c r="K107" s="542"/>
    </row>
    <row r="108" spans="2:13" ht="18">
      <c r="B108" s="215"/>
      <c r="C108" s="1182" t="s">
        <v>27</v>
      </c>
      <c r="D108" s="1164"/>
      <c r="E108" s="1171"/>
      <c r="F108" s="1189" t="s">
        <v>746</v>
      </c>
      <c r="G108" s="425"/>
      <c r="H108" s="694"/>
      <c r="I108" s="427"/>
      <c r="J108" s="687"/>
      <c r="K108" s="428" t="str">
        <f>IF(M108,IF(J108&gt;0,H108*J108,0),"")</f>
        <v/>
      </c>
      <c r="M108" s="213" t="b">
        <v>0</v>
      </c>
    </row>
    <row r="109" spans="2:13" ht="16.5">
      <c r="B109" s="255"/>
      <c r="C109" s="962"/>
      <c r="D109" s="667"/>
      <c r="E109" s="422"/>
      <c r="F109" s="430" t="s">
        <v>747</v>
      </c>
      <c r="G109" s="1183"/>
      <c r="H109" s="692"/>
      <c r="I109" s="692"/>
      <c r="J109" s="688"/>
      <c r="K109" s="423"/>
      <c r="L109" s="232"/>
    </row>
    <row r="110" spans="2:13" ht="18">
      <c r="B110" s="215"/>
      <c r="C110" s="1182" t="s">
        <v>26</v>
      </c>
      <c r="D110" s="1167"/>
      <c r="E110" s="1171"/>
      <c r="F110" s="1189" t="s">
        <v>748</v>
      </c>
      <c r="G110" s="425"/>
      <c r="H110" s="694"/>
      <c r="I110" s="427"/>
      <c r="J110" s="689"/>
      <c r="K110" s="428" t="str">
        <f t="shared" ref="K110:K118" si="14">IF(M110,IF(J110&gt;0,H110*J110,0),"")</f>
        <v/>
      </c>
      <c r="M110" s="213" t="b">
        <v>0</v>
      </c>
    </row>
    <row r="111" spans="2:13" ht="38.25">
      <c r="B111" s="255"/>
      <c r="C111" s="962"/>
      <c r="D111" s="667"/>
      <c r="E111" s="422"/>
      <c r="F111" s="430" t="s">
        <v>749</v>
      </c>
      <c r="G111" s="1183"/>
      <c r="H111" s="692"/>
      <c r="I111" s="692"/>
      <c r="J111" s="688"/>
      <c r="K111" s="423"/>
      <c r="L111" s="232"/>
    </row>
    <row r="112" spans="2:13" ht="18">
      <c r="B112" s="215"/>
      <c r="C112" s="1182" t="s">
        <v>25</v>
      </c>
      <c r="D112" s="1167"/>
      <c r="E112" s="1171"/>
      <c r="F112" s="1189" t="s">
        <v>750</v>
      </c>
      <c r="G112" s="425"/>
      <c r="H112" s="694"/>
      <c r="I112" s="427"/>
      <c r="J112" s="689"/>
      <c r="K112" s="428" t="str">
        <f t="shared" si="14"/>
        <v/>
      </c>
      <c r="M112" s="213" t="b">
        <v>0</v>
      </c>
    </row>
    <row r="113" spans="2:13" ht="25.5">
      <c r="B113" s="255"/>
      <c r="C113" s="962"/>
      <c r="D113" s="667"/>
      <c r="E113" s="422"/>
      <c r="F113" s="430" t="s">
        <v>751</v>
      </c>
      <c r="G113" s="1183"/>
      <c r="H113" s="692"/>
      <c r="I113" s="692"/>
      <c r="J113" s="688"/>
      <c r="K113" s="423"/>
      <c r="L113" s="232"/>
    </row>
    <row r="114" spans="2:13" ht="18">
      <c r="B114" s="215"/>
      <c r="C114" s="1185" t="s">
        <v>210</v>
      </c>
      <c r="D114" s="1170"/>
      <c r="E114" s="1171"/>
      <c r="F114" s="1188" t="s">
        <v>752</v>
      </c>
      <c r="G114" s="421"/>
      <c r="H114" s="694"/>
      <c r="I114" s="427"/>
      <c r="J114" s="700"/>
      <c r="K114" s="431" t="str">
        <f t="shared" si="14"/>
        <v/>
      </c>
      <c r="M114" s="213" t="b">
        <v>0</v>
      </c>
    </row>
    <row r="115" spans="2:13" ht="25.5">
      <c r="B115" s="255"/>
      <c r="C115" s="962"/>
      <c r="D115" s="667"/>
      <c r="E115" s="422"/>
      <c r="F115" s="430" t="s">
        <v>753</v>
      </c>
      <c r="G115" s="1183"/>
      <c r="H115" s="692"/>
      <c r="I115" s="692"/>
      <c r="J115" s="688"/>
      <c r="K115" s="423"/>
      <c r="L115" s="232"/>
    </row>
    <row r="116" spans="2:13" ht="18">
      <c r="B116" s="220"/>
      <c r="C116" s="1182" t="s">
        <v>211</v>
      </c>
      <c r="D116" s="1167"/>
      <c r="E116" s="1171"/>
      <c r="F116" s="1181"/>
      <c r="G116" s="425"/>
      <c r="H116" s="694"/>
      <c r="I116" s="427"/>
      <c r="J116" s="689"/>
      <c r="K116" s="428" t="str">
        <f t="shared" si="14"/>
        <v/>
      </c>
      <c r="M116" s="213" t="b">
        <v>0</v>
      </c>
    </row>
    <row r="117" spans="2:13" ht="16.5">
      <c r="B117" s="255"/>
      <c r="C117" s="962"/>
      <c r="D117" s="667"/>
      <c r="E117" s="422"/>
      <c r="F117" s="426"/>
      <c r="G117" s="1183"/>
      <c r="H117" s="692"/>
      <c r="I117" s="692"/>
      <c r="J117" s="688"/>
      <c r="K117" s="423"/>
      <c r="L117" s="232"/>
    </row>
    <row r="118" spans="2:13" ht="18">
      <c r="B118" s="220"/>
      <c r="C118" s="1182" t="s">
        <v>212</v>
      </c>
      <c r="D118" s="1167"/>
      <c r="E118" s="1171"/>
      <c r="F118" s="1181"/>
      <c r="G118" s="425"/>
      <c r="H118" s="694"/>
      <c r="I118" s="427"/>
      <c r="J118" s="689"/>
      <c r="K118" s="428" t="str">
        <f t="shared" si="14"/>
        <v/>
      </c>
      <c r="M118" s="213" t="b">
        <v>0</v>
      </c>
    </row>
    <row r="119" spans="2:13" ht="17.25" thickBot="1">
      <c r="B119" s="255"/>
      <c r="C119" s="962"/>
      <c r="D119" s="668"/>
      <c r="E119" s="422"/>
      <c r="F119" s="426"/>
      <c r="G119" s="1183"/>
      <c r="H119" s="692"/>
      <c r="I119" s="692"/>
      <c r="J119" s="690"/>
      <c r="K119" s="423"/>
      <c r="L119" s="232"/>
    </row>
    <row r="120" spans="2:13" ht="22.7" customHeight="1" thickBot="1">
      <c r="B120" s="535"/>
      <c r="C120" s="967" t="s">
        <v>10</v>
      </c>
      <c r="D120" s="536"/>
      <c r="E120" s="546"/>
      <c r="F120" s="547"/>
      <c r="G120" s="548"/>
      <c r="H120" s="547"/>
      <c r="I120" s="547"/>
      <c r="J120" s="549" t="s">
        <v>257</v>
      </c>
      <c r="K120" s="540" t="str">
        <f>IF(Projektgrundlagen!I21,IF(COUNT(K108:K119)&gt;0,SUM(K108:K119),""),0)</f>
        <v/>
      </c>
    </row>
    <row r="121" spans="2:13" ht="7.5" customHeight="1">
      <c r="B121" s="559"/>
      <c r="C121" s="963"/>
      <c r="D121" s="225"/>
      <c r="E121" s="225"/>
      <c r="F121" s="226"/>
      <c r="G121" s="227"/>
      <c r="H121" s="226"/>
      <c r="I121" s="226"/>
      <c r="J121" s="560"/>
      <c r="K121" s="238"/>
    </row>
    <row r="122" spans="2:13" ht="22.7" customHeight="1">
      <c r="B122" s="541" t="s">
        <v>213</v>
      </c>
      <c r="C122" s="205"/>
      <c r="D122" s="205"/>
      <c r="E122" s="205"/>
      <c r="F122" s="205"/>
      <c r="G122" s="205"/>
      <c r="H122" s="516"/>
      <c r="I122" s="516"/>
      <c r="J122" s="533"/>
      <c r="K122" s="542"/>
    </row>
    <row r="123" spans="2:13" ht="18">
      <c r="B123" s="215"/>
      <c r="C123" s="1182" t="s">
        <v>24</v>
      </c>
      <c r="D123" s="1164"/>
      <c r="E123" s="1171"/>
      <c r="F123" s="1189" t="s">
        <v>757</v>
      </c>
      <c r="G123" s="425"/>
      <c r="H123" s="694"/>
      <c r="I123" s="427"/>
      <c r="J123" s="687"/>
      <c r="K123" s="428" t="str">
        <f>IF(M123,IF(J123&gt;0,H123*J123,0),"")</f>
        <v/>
      </c>
      <c r="M123" s="213" t="b">
        <v>0</v>
      </c>
    </row>
    <row r="124" spans="2:13" ht="16.5">
      <c r="B124" s="340"/>
      <c r="C124" s="968"/>
      <c r="D124" s="666"/>
      <c r="E124" s="432"/>
      <c r="F124" s="433" t="s">
        <v>758</v>
      </c>
      <c r="G124" s="1186"/>
      <c r="H124" s="1074"/>
      <c r="I124" s="1074"/>
      <c r="J124" s="699"/>
      <c r="K124" s="435"/>
    </row>
    <row r="125" spans="2:13" ht="40.5" customHeight="1">
      <c r="B125" s="1075"/>
      <c r="C125" s="962"/>
      <c r="D125" s="667"/>
      <c r="E125" s="1405" t="s">
        <v>759</v>
      </c>
      <c r="F125" s="1405"/>
      <c r="G125" s="1406"/>
      <c r="H125" s="692"/>
      <c r="I125" s="692"/>
      <c r="J125" s="688"/>
      <c r="K125" s="423"/>
    </row>
    <row r="126" spans="2:13" ht="18">
      <c r="B126" s="216"/>
      <c r="C126" s="1182" t="s">
        <v>23</v>
      </c>
      <c r="D126" s="1167"/>
      <c r="E126" s="1171"/>
      <c r="F126" s="1189" t="s">
        <v>760</v>
      </c>
      <c r="G126" s="425"/>
      <c r="H126" s="694"/>
      <c r="I126" s="427"/>
      <c r="J126" s="689"/>
      <c r="K126" s="428" t="str">
        <f>IF(M126,IF(J126&gt;0,H126*J126,0),"")</f>
        <v/>
      </c>
      <c r="M126" s="213" t="b">
        <v>0</v>
      </c>
    </row>
    <row r="127" spans="2:13" ht="16.5">
      <c r="B127" s="255"/>
      <c r="C127" s="962"/>
      <c r="D127" s="667"/>
      <c r="E127" s="422"/>
      <c r="F127" s="430" t="s">
        <v>761</v>
      </c>
      <c r="G127" s="1183"/>
      <c r="H127" s="692"/>
      <c r="I127" s="692"/>
      <c r="J127" s="688"/>
      <c r="K127" s="423"/>
    </row>
    <row r="128" spans="2:13" ht="16.5" customHeight="1">
      <c r="B128" s="216"/>
      <c r="C128" s="1184" t="s">
        <v>45</v>
      </c>
      <c r="D128" s="1167"/>
      <c r="E128" s="1171"/>
      <c r="F128" s="1189" t="s">
        <v>763</v>
      </c>
      <c r="G128" s="425"/>
      <c r="H128" s="694"/>
      <c r="I128" s="427"/>
      <c r="J128" s="689"/>
      <c r="K128" s="428" t="str">
        <f>IF(M128,IF(J128&gt;0,H128*J128,0),"")</f>
        <v/>
      </c>
      <c r="M128" s="213" t="b">
        <v>0</v>
      </c>
    </row>
    <row r="129" spans="2:13" ht="16.5">
      <c r="B129" s="255"/>
      <c r="C129" s="962"/>
      <c r="D129" s="667"/>
      <c r="E129" s="422"/>
      <c r="F129" s="430" t="s">
        <v>762</v>
      </c>
      <c r="G129" s="1183"/>
      <c r="H129" s="692"/>
      <c r="I129" s="692"/>
      <c r="J129" s="688"/>
      <c r="K129" s="423"/>
    </row>
    <row r="130" spans="2:13" ht="18">
      <c r="B130" s="216"/>
      <c r="C130" s="1184" t="s">
        <v>754</v>
      </c>
      <c r="D130" s="1167"/>
      <c r="E130" s="1171"/>
      <c r="F130" s="1181"/>
      <c r="G130" s="425"/>
      <c r="H130" s="694"/>
      <c r="I130" s="427"/>
      <c r="J130" s="689"/>
      <c r="K130" s="428" t="str">
        <f>IF(M130,IF(J130&gt;0,H130*J130,0),"")</f>
        <v/>
      </c>
      <c r="M130" s="213" t="b">
        <v>0</v>
      </c>
    </row>
    <row r="131" spans="2:13" ht="16.5">
      <c r="B131" s="255"/>
      <c r="C131" s="962"/>
      <c r="D131" s="667"/>
      <c r="E131" s="422"/>
      <c r="F131" s="426"/>
      <c r="G131" s="1183"/>
      <c r="H131" s="692"/>
      <c r="I131" s="692"/>
      <c r="J131" s="688"/>
      <c r="K131" s="423"/>
    </row>
    <row r="132" spans="2:13" ht="18">
      <c r="B132" s="216"/>
      <c r="C132" s="1184" t="s">
        <v>755</v>
      </c>
      <c r="D132" s="1167"/>
      <c r="E132" s="1171"/>
      <c r="F132" s="1181"/>
      <c r="G132" s="425"/>
      <c r="H132" s="694"/>
      <c r="I132" s="427"/>
      <c r="J132" s="689"/>
      <c r="K132" s="428" t="str">
        <f>IF(M132,IF(J132&gt;0,H132*J132,0),"")</f>
        <v/>
      </c>
      <c r="M132" s="213" t="b">
        <v>0</v>
      </c>
    </row>
    <row r="133" spans="2:13" ht="16.5">
      <c r="B133" s="255"/>
      <c r="C133" s="962"/>
      <c r="D133" s="667"/>
      <c r="E133" s="422"/>
      <c r="F133" s="426"/>
      <c r="G133" s="1183"/>
      <c r="H133" s="692"/>
      <c r="I133" s="692"/>
      <c r="J133" s="688"/>
      <c r="K133" s="423"/>
    </row>
    <row r="134" spans="2:13" ht="18">
      <c r="B134" s="220"/>
      <c r="C134" s="1184" t="s">
        <v>756</v>
      </c>
      <c r="D134" s="1167"/>
      <c r="E134" s="1171"/>
      <c r="F134" s="1181"/>
      <c r="G134" s="425"/>
      <c r="H134" s="694"/>
      <c r="I134" s="427"/>
      <c r="J134" s="689"/>
      <c r="K134" s="428" t="str">
        <f>IF(M134,IF(J134&gt;0,H134*J134,0),"")</f>
        <v/>
      </c>
      <c r="M134" s="213" t="b">
        <v>0</v>
      </c>
    </row>
    <row r="135" spans="2:13" ht="17.25" thickBot="1">
      <c r="B135" s="255"/>
      <c r="C135" s="962"/>
      <c r="D135" s="668"/>
      <c r="E135" s="422"/>
      <c r="F135" s="426"/>
      <c r="G135" s="1183"/>
      <c r="H135" s="692"/>
      <c r="I135" s="692"/>
      <c r="J135" s="690"/>
      <c r="K135" s="423"/>
    </row>
    <row r="136" spans="2:13" ht="22.7" customHeight="1" thickBot="1">
      <c r="B136" s="535"/>
      <c r="C136" s="967" t="s">
        <v>10</v>
      </c>
      <c r="D136" s="536"/>
      <c r="E136" s="537"/>
      <c r="F136" s="420"/>
      <c r="G136" s="538"/>
      <c r="H136" s="420"/>
      <c r="I136" s="420"/>
      <c r="J136" s="539" t="s">
        <v>258</v>
      </c>
      <c r="K136" s="540" t="str">
        <f>IF(Projektgrundlagen!I21,IF(COUNT(K123:K134)&gt;0,SUM(K123:K134),""),0)</f>
        <v/>
      </c>
    </row>
    <row r="137" spans="2:13" ht="7.5" customHeight="1">
      <c r="B137" s="236"/>
      <c r="C137" s="966"/>
      <c r="D137" s="217"/>
      <c r="E137" s="217"/>
      <c r="F137" s="205"/>
      <c r="G137" s="218"/>
      <c r="H137" s="205"/>
      <c r="I137" s="205"/>
      <c r="J137" s="210"/>
      <c r="K137" s="237"/>
    </row>
    <row r="138" spans="2:13" ht="22.7" customHeight="1">
      <c r="B138" s="552" t="s">
        <v>214</v>
      </c>
      <c r="C138" s="553"/>
      <c r="D138" s="553"/>
      <c r="E138" s="553"/>
      <c r="F138" s="553"/>
      <c r="G138" s="205"/>
      <c r="H138" s="516"/>
      <c r="I138" s="516"/>
      <c r="J138" s="533"/>
      <c r="K138" s="542"/>
    </row>
    <row r="139" spans="2:13" ht="18">
      <c r="B139" s="215"/>
      <c r="C139" s="1182" t="s">
        <v>22</v>
      </c>
      <c r="D139" s="1164"/>
      <c r="E139" s="1171"/>
      <c r="F139" s="1189" t="s">
        <v>765</v>
      </c>
      <c r="G139" s="425"/>
      <c r="H139" s="691"/>
      <c r="I139" s="702"/>
      <c r="J139" s="687"/>
      <c r="K139" s="428" t="str">
        <f>IF(M139,IF(J139&gt;0,H139*J139,0),"")</f>
        <v/>
      </c>
      <c r="M139" s="213" t="b">
        <v>0</v>
      </c>
    </row>
    <row r="140" spans="2:13" ht="25.5">
      <c r="B140" s="255"/>
      <c r="C140" s="962"/>
      <c r="D140" s="667"/>
      <c r="E140" s="422"/>
      <c r="F140" s="430" t="s">
        <v>766</v>
      </c>
      <c r="G140" s="1183"/>
      <c r="H140" s="695"/>
      <c r="I140" s="424"/>
      <c r="J140" s="688"/>
      <c r="K140" s="423"/>
    </row>
    <row r="141" spans="2:13" ht="18">
      <c r="B141" s="216"/>
      <c r="C141" s="1182" t="s">
        <v>21</v>
      </c>
      <c r="D141" s="1167"/>
      <c r="E141" s="1171"/>
      <c r="F141" s="1189" t="s">
        <v>769</v>
      </c>
      <c r="G141" s="425"/>
      <c r="H141" s="693"/>
      <c r="I141" s="702"/>
      <c r="J141" s="689"/>
      <c r="K141" s="428" t="str">
        <f>IF(M141,IF(J141&gt;0,H141*J141,0),"")</f>
        <v/>
      </c>
      <c r="M141" s="213" t="b">
        <v>0</v>
      </c>
    </row>
    <row r="142" spans="2:13" ht="16.5">
      <c r="B142" s="255"/>
      <c r="C142" s="962"/>
      <c r="D142" s="667"/>
      <c r="E142" s="422"/>
      <c r="F142" s="430" t="s">
        <v>768</v>
      </c>
      <c r="G142" s="1183"/>
      <c r="H142" s="695"/>
      <c r="I142" s="424"/>
      <c r="J142" s="688"/>
      <c r="K142" s="423"/>
    </row>
    <row r="143" spans="2:13" ht="18">
      <c r="B143" s="216"/>
      <c r="C143" s="1187" t="s">
        <v>46</v>
      </c>
      <c r="D143" s="1167"/>
      <c r="E143" s="1171"/>
      <c r="F143" s="1189" t="s">
        <v>767</v>
      </c>
      <c r="G143" s="425"/>
      <c r="H143" s="693"/>
      <c r="I143" s="702"/>
      <c r="J143" s="689"/>
      <c r="K143" s="428" t="str">
        <f>IF(M143,IF(J143&gt;0,H143*J143,0),"")</f>
        <v/>
      </c>
      <c r="M143" s="213" t="b">
        <v>0</v>
      </c>
    </row>
    <row r="144" spans="2:13" ht="25.5">
      <c r="B144" s="255"/>
      <c r="C144" s="962"/>
      <c r="D144" s="667"/>
      <c r="E144" s="422"/>
      <c r="F144" s="430" t="s">
        <v>770</v>
      </c>
      <c r="G144" s="1183"/>
      <c r="H144" s="695"/>
      <c r="I144" s="424"/>
      <c r="J144" s="688"/>
      <c r="K144" s="423"/>
    </row>
    <row r="145" spans="2:13" ht="18">
      <c r="B145" s="216"/>
      <c r="C145" s="1184" t="s">
        <v>537</v>
      </c>
      <c r="D145" s="1167"/>
      <c r="E145" s="1171"/>
      <c r="F145" s="1181"/>
      <c r="G145" s="425"/>
      <c r="H145" s="693"/>
      <c r="I145" s="702"/>
      <c r="J145" s="689"/>
      <c r="K145" s="428" t="str">
        <f>IF(M145,IF(J145&gt;0,H145*J145,0),"")</f>
        <v/>
      </c>
      <c r="M145" s="213" t="b">
        <v>0</v>
      </c>
    </row>
    <row r="146" spans="2:13" ht="16.5">
      <c r="B146" s="255"/>
      <c r="C146" s="962"/>
      <c r="D146" s="667"/>
      <c r="E146" s="422"/>
      <c r="F146" s="426"/>
      <c r="G146" s="1183"/>
      <c r="H146" s="695"/>
      <c r="I146" s="424"/>
      <c r="J146" s="688"/>
      <c r="K146" s="423"/>
    </row>
    <row r="147" spans="2:13" ht="18">
      <c r="B147" s="220"/>
      <c r="C147" s="1184" t="s">
        <v>764</v>
      </c>
      <c r="D147" s="1167"/>
      <c r="E147" s="1171"/>
      <c r="F147" s="1181"/>
      <c r="G147" s="425"/>
      <c r="H147" s="693"/>
      <c r="I147" s="702"/>
      <c r="J147" s="689"/>
      <c r="K147" s="428" t="str">
        <f>IF(M147,IF(J147&gt;0,H147*J147,0),"")</f>
        <v/>
      </c>
      <c r="M147" s="213" t="b">
        <v>0</v>
      </c>
    </row>
    <row r="148" spans="2:13" ht="17.25" thickBot="1">
      <c r="B148" s="255"/>
      <c r="C148" s="962"/>
      <c r="D148" s="668"/>
      <c r="E148" s="422"/>
      <c r="F148" s="426"/>
      <c r="G148" s="1183"/>
      <c r="H148" s="697"/>
      <c r="I148" s="424"/>
      <c r="J148" s="690"/>
      <c r="K148" s="423"/>
    </row>
    <row r="149" spans="2:13" ht="22.7" customHeight="1" thickBot="1">
      <c r="B149" s="535"/>
      <c r="C149" s="967" t="s">
        <v>10</v>
      </c>
      <c r="D149" s="536"/>
      <c r="E149" s="537"/>
      <c r="F149" s="420"/>
      <c r="G149" s="538"/>
      <c r="H149" s="420"/>
      <c r="I149" s="420"/>
      <c r="J149" s="539" t="s">
        <v>259</v>
      </c>
      <c r="K149" s="540" t="str">
        <f>IF(Projektgrundlagen!I21,IF(COUNT(K139:K148)&gt;0,SUM(K139:K148),""),0)</f>
        <v/>
      </c>
    </row>
    <row r="150" spans="2:13" ht="7.5" customHeight="1">
      <c r="B150" s="559"/>
      <c r="C150" s="963"/>
      <c r="D150" s="225"/>
      <c r="E150" s="225"/>
      <c r="F150" s="226"/>
      <c r="G150" s="227"/>
      <c r="H150" s="226"/>
      <c r="I150" s="226"/>
      <c r="J150" s="560"/>
      <c r="K150" s="238"/>
    </row>
    <row r="151" spans="2:13" ht="22.7" customHeight="1">
      <c r="B151" s="541" t="s">
        <v>215</v>
      </c>
      <c r="C151" s="205"/>
      <c r="D151" s="205"/>
      <c r="E151" s="205"/>
      <c r="F151" s="205"/>
      <c r="G151" s="205"/>
      <c r="H151" s="516"/>
      <c r="I151" s="516"/>
      <c r="J151" s="533"/>
      <c r="K151" s="542"/>
    </row>
    <row r="152" spans="2:13" ht="18">
      <c r="B152" s="228"/>
      <c r="C152" s="1182" t="s">
        <v>20</v>
      </c>
      <c r="D152" s="1164"/>
      <c r="E152" s="1171"/>
      <c r="F152" s="1189" t="s">
        <v>771</v>
      </c>
      <c r="G152" s="425"/>
      <c r="H152" s="691"/>
      <c r="I152" s="702"/>
      <c r="J152" s="687"/>
      <c r="K152" s="428" t="str">
        <f>IF(M152,IF(J152&gt;0,H152*J152,0),"")</f>
        <v/>
      </c>
      <c r="M152" s="213" t="b">
        <v>0</v>
      </c>
    </row>
    <row r="153" spans="2:13" ht="25.5">
      <c r="B153" s="319"/>
      <c r="C153" s="968"/>
      <c r="D153" s="666"/>
      <c r="E153" s="432"/>
      <c r="F153" s="433" t="s">
        <v>772</v>
      </c>
      <c r="G153" s="1186"/>
      <c r="H153" s="703"/>
      <c r="I153" s="434"/>
      <c r="J153" s="699"/>
      <c r="K153" s="435"/>
    </row>
    <row r="154" spans="2:13" ht="18">
      <c r="B154" s="228"/>
      <c r="C154" s="1184" t="s">
        <v>41</v>
      </c>
      <c r="D154" s="1167"/>
      <c r="E154" s="1168"/>
      <c r="F154" s="1189" t="s">
        <v>773</v>
      </c>
      <c r="G154" s="425"/>
      <c r="H154" s="693"/>
      <c r="I154" s="702"/>
      <c r="J154" s="689"/>
      <c r="K154" s="428" t="str">
        <f>IF(M154,IF(J154&gt;0,H154*J154,0),"")</f>
        <v/>
      </c>
      <c r="M154" s="213" t="b">
        <v>0</v>
      </c>
    </row>
    <row r="155" spans="2:13" ht="25.5">
      <c r="B155" s="319"/>
      <c r="C155" s="968"/>
      <c r="D155" s="666"/>
      <c r="E155" s="432"/>
      <c r="F155" s="433" t="s">
        <v>774</v>
      </c>
      <c r="G155" s="1186"/>
      <c r="H155" s="703"/>
      <c r="I155" s="434"/>
      <c r="J155" s="699"/>
      <c r="K155" s="435"/>
    </row>
    <row r="156" spans="2:13" ht="18">
      <c r="B156" s="228"/>
      <c r="C156" s="1184" t="s">
        <v>19</v>
      </c>
      <c r="D156" s="1167"/>
      <c r="E156" s="1168"/>
      <c r="F156" s="1189" t="s">
        <v>775</v>
      </c>
      <c r="G156" s="425"/>
      <c r="H156" s="693"/>
      <c r="I156" s="702"/>
      <c r="J156" s="689"/>
      <c r="K156" s="428" t="str">
        <f>IF(M156,IF(J156&gt;0,H156*J156,0),"")</f>
        <v/>
      </c>
      <c r="M156" s="213" t="b">
        <v>0</v>
      </c>
    </row>
    <row r="157" spans="2:13" ht="25.5">
      <c r="B157" s="319"/>
      <c r="C157" s="968"/>
      <c r="D157" s="666"/>
      <c r="E157" s="432"/>
      <c r="F157" s="433" t="s">
        <v>776</v>
      </c>
      <c r="G157" s="1186"/>
      <c r="H157" s="703"/>
      <c r="I157" s="434"/>
      <c r="J157" s="699"/>
      <c r="K157" s="435"/>
    </row>
    <row r="158" spans="2:13" ht="18">
      <c r="B158" s="231"/>
      <c r="C158" s="1184" t="s">
        <v>18</v>
      </c>
      <c r="D158" s="1167"/>
      <c r="E158" s="1168"/>
      <c r="F158" s="1189" t="s">
        <v>777</v>
      </c>
      <c r="G158" s="425"/>
      <c r="H158" s="693"/>
      <c r="I158" s="702"/>
      <c r="J158" s="689"/>
      <c r="K158" s="428" t="str">
        <f>IF(M158,IF(J158&gt;0,H158*J158,0),"")</f>
        <v/>
      </c>
      <c r="M158" s="213" t="b">
        <v>0</v>
      </c>
    </row>
    <row r="159" spans="2:13" ht="16.5">
      <c r="B159" s="340"/>
      <c r="C159" s="969"/>
      <c r="D159" s="698"/>
      <c r="E159" s="432"/>
      <c r="F159" s="433"/>
      <c r="G159" s="1186"/>
      <c r="H159" s="703"/>
      <c r="I159" s="434"/>
      <c r="J159" s="699"/>
      <c r="K159" s="435"/>
    </row>
    <row r="160" spans="2:13" ht="18">
      <c r="B160" s="231"/>
      <c r="C160" s="1184" t="s">
        <v>40</v>
      </c>
      <c r="D160" s="1167"/>
      <c r="E160" s="1177"/>
      <c r="F160" s="1189" t="s">
        <v>778</v>
      </c>
      <c r="G160" s="425"/>
      <c r="H160" s="693"/>
      <c r="I160" s="702"/>
      <c r="J160" s="689"/>
      <c r="K160" s="428" t="str">
        <f>IF(M160,IF(J160&gt;0,H160*J160,0),"")</f>
        <v/>
      </c>
      <c r="L160" s="232"/>
      <c r="M160" s="213" t="b">
        <v>0</v>
      </c>
    </row>
    <row r="161" spans="2:13" ht="25.5">
      <c r="B161" s="341"/>
      <c r="C161" s="969"/>
      <c r="D161" s="698"/>
      <c r="E161" s="432"/>
      <c r="F161" s="433" t="s">
        <v>779</v>
      </c>
      <c r="G161" s="1186"/>
      <c r="H161" s="703"/>
      <c r="I161" s="434"/>
      <c r="J161" s="699"/>
      <c r="K161" s="435"/>
      <c r="L161" s="232"/>
    </row>
    <row r="162" spans="2:13" ht="18">
      <c r="B162" s="228"/>
      <c r="C162" s="1184" t="s">
        <v>17</v>
      </c>
      <c r="D162" s="1167"/>
      <c r="E162" s="1177"/>
      <c r="F162" s="1181"/>
      <c r="G162" s="425"/>
      <c r="H162" s="693"/>
      <c r="I162" s="702"/>
      <c r="J162" s="689"/>
      <c r="K162" s="428" t="str">
        <f>IF(M162,IF(J162&gt;0,H162*J162,0),"")</f>
        <v/>
      </c>
      <c r="L162" s="232"/>
      <c r="M162" s="213" t="b">
        <v>0</v>
      </c>
    </row>
    <row r="163" spans="2:13" ht="16.5">
      <c r="B163" s="341"/>
      <c r="C163" s="969"/>
      <c r="D163" s="698"/>
      <c r="E163" s="432"/>
      <c r="F163" s="426"/>
      <c r="G163" s="1186"/>
      <c r="H163" s="703"/>
      <c r="I163" s="434"/>
      <c r="J163" s="699"/>
      <c r="K163" s="435"/>
      <c r="L163" s="232"/>
    </row>
    <row r="164" spans="2:13" ht="18">
      <c r="B164" s="228"/>
      <c r="C164" s="1184" t="s">
        <v>16</v>
      </c>
      <c r="D164" s="1167"/>
      <c r="E164" s="1177"/>
      <c r="F164" s="1181"/>
      <c r="G164" s="425"/>
      <c r="H164" s="693"/>
      <c r="I164" s="702"/>
      <c r="J164" s="689"/>
      <c r="K164" s="428" t="str">
        <f>IF(M164,IF(J164&gt;0,H164*J164,0),"")</f>
        <v/>
      </c>
      <c r="M164" s="213" t="b">
        <v>0</v>
      </c>
    </row>
    <row r="165" spans="2:13" ht="16.5">
      <c r="B165" s="341"/>
      <c r="C165" s="969"/>
      <c r="D165" s="698"/>
      <c r="E165" s="432"/>
      <c r="F165" s="426"/>
      <c r="G165" s="1186"/>
      <c r="H165" s="703"/>
      <c r="I165" s="434"/>
      <c r="J165" s="699"/>
      <c r="K165" s="435"/>
      <c r="L165" s="232"/>
    </row>
    <row r="166" spans="2:13" ht="18">
      <c r="B166" s="223"/>
      <c r="C166" s="1184" t="s">
        <v>47</v>
      </c>
      <c r="D166" s="1167"/>
      <c r="E166" s="1168"/>
      <c r="F166" s="1181"/>
      <c r="G166" s="425"/>
      <c r="H166" s="693"/>
      <c r="I166" s="702"/>
      <c r="J166" s="689"/>
      <c r="K166" s="428" t="str">
        <f>IF(M166,IF(J166&gt;0,H166*J166,0),"")</f>
        <v/>
      </c>
      <c r="M166" s="213" t="b">
        <v>0</v>
      </c>
    </row>
    <row r="167" spans="2:13" ht="17.25" thickBot="1">
      <c r="B167" s="255"/>
      <c r="C167" s="962"/>
      <c r="D167" s="668"/>
      <c r="E167" s="422"/>
      <c r="F167" s="426"/>
      <c r="G167" s="1183"/>
      <c r="H167" s="697"/>
      <c r="I167" s="424"/>
      <c r="J167" s="690"/>
      <c r="K167" s="423"/>
    </row>
    <row r="168" spans="2:13" ht="22.7" customHeight="1" thickBot="1">
      <c r="B168" s="535"/>
      <c r="C168" s="965"/>
      <c r="D168" s="536"/>
      <c r="E168" s="537"/>
      <c r="F168" s="420"/>
      <c r="G168" s="538"/>
      <c r="H168" s="420"/>
      <c r="I168" s="420"/>
      <c r="J168" s="539" t="s">
        <v>456</v>
      </c>
      <c r="K168" s="540" t="str">
        <f>IF(Projektgrundlagen!I21,IF(COUNT(K152:K167)&gt;0,SUM(K152:K167),""),0)</f>
        <v/>
      </c>
    </row>
    <row r="169" spans="2:13" ht="7.5" customHeight="1">
      <c r="B169" s="236"/>
      <c r="C169" s="966"/>
      <c r="D169" s="217"/>
      <c r="E169" s="217"/>
      <c r="F169" s="205"/>
      <c r="G169" s="218"/>
      <c r="H169" s="205"/>
      <c r="I169" s="205"/>
      <c r="J169" s="210"/>
      <c r="K169" s="237"/>
    </row>
    <row r="170" spans="2:13" ht="22.7" customHeight="1">
      <c r="B170" s="552" t="s">
        <v>216</v>
      </c>
      <c r="C170" s="553"/>
      <c r="D170" s="553"/>
      <c r="E170" s="553"/>
      <c r="F170" s="553"/>
      <c r="G170" s="205"/>
      <c r="H170" s="516"/>
      <c r="I170" s="516"/>
      <c r="J170" s="533"/>
      <c r="K170" s="554"/>
    </row>
    <row r="171" spans="2:13" ht="18">
      <c r="B171" s="221"/>
      <c r="C171" s="1185" t="s">
        <v>15</v>
      </c>
      <c r="D171" s="1164"/>
      <c r="E171" s="1168"/>
      <c r="F171" s="1188" t="s">
        <v>780</v>
      </c>
      <c r="G171" s="421"/>
      <c r="H171" s="694"/>
      <c r="I171" s="427"/>
      <c r="J171" s="687"/>
      <c r="K171" s="428" t="str">
        <f>IF(M171,IF(J171&gt;0,H171*J171,0),"")</f>
        <v/>
      </c>
      <c r="M171" s="213" t="b">
        <v>0</v>
      </c>
    </row>
    <row r="172" spans="2:13" ht="16.5">
      <c r="B172" s="255"/>
      <c r="C172" s="969"/>
      <c r="D172" s="698"/>
      <c r="E172" s="432"/>
      <c r="F172" s="433" t="s">
        <v>781</v>
      </c>
      <c r="G172" s="1186"/>
      <c r="H172" s="692"/>
      <c r="I172" s="692"/>
      <c r="J172" s="699"/>
      <c r="K172" s="435"/>
    </row>
    <row r="173" spans="2:13" ht="18">
      <c r="B173" s="223"/>
      <c r="C173" s="1182" t="s">
        <v>14</v>
      </c>
      <c r="D173" s="1167"/>
      <c r="E173" s="1168"/>
      <c r="F173" s="1181"/>
      <c r="G173" s="425"/>
      <c r="H173" s="694"/>
      <c r="I173" s="427"/>
      <c r="J173" s="689"/>
      <c r="K173" s="428" t="str">
        <f>IF(M173,IF(J173&gt;0,H173*J173,0),"")</f>
        <v/>
      </c>
      <c r="M173" s="213" t="b">
        <v>0</v>
      </c>
    </row>
    <row r="174" spans="2:13" ht="17.25" thickBot="1">
      <c r="B174" s="255"/>
      <c r="C174" s="962"/>
      <c r="D174" s="668"/>
      <c r="E174" s="422"/>
      <c r="F174" s="426"/>
      <c r="G174" s="1183"/>
      <c r="H174" s="692"/>
      <c r="I174" s="692"/>
      <c r="J174" s="690"/>
      <c r="K174" s="423"/>
    </row>
    <row r="175" spans="2:13" ht="22.7" customHeight="1" thickBot="1">
      <c r="B175" s="535"/>
      <c r="C175" s="965" t="s">
        <v>10</v>
      </c>
      <c r="D175" s="536"/>
      <c r="E175" s="543"/>
      <c r="F175" s="502"/>
      <c r="G175" s="544"/>
      <c r="H175" s="502"/>
      <c r="I175" s="502"/>
      <c r="J175" s="539" t="s">
        <v>252</v>
      </c>
      <c r="K175" s="545" t="str">
        <f>IF(Projektgrundlagen!I21,IF(COUNT(K171:K174)&gt;0,SUM(K171:K174),""),0)</f>
        <v/>
      </c>
    </row>
    <row r="176" spans="2:13" ht="17.25" thickBot="1">
      <c r="B176" s="204"/>
      <c r="C176" s="204"/>
      <c r="D176" s="204"/>
      <c r="E176" s="204"/>
      <c r="F176" s="204"/>
      <c r="G176" s="204"/>
      <c r="H176" s="204"/>
      <c r="I176" s="204"/>
      <c r="J176" s="204"/>
      <c r="K176" s="203"/>
    </row>
    <row r="177" spans="2:11" ht="30" customHeight="1" thickBot="1">
      <c r="B177" s="598"/>
      <c r="C177" s="970" t="s">
        <v>10</v>
      </c>
      <c r="D177" s="599"/>
      <c r="E177" s="599"/>
      <c r="F177" s="600"/>
      <c r="G177" s="601"/>
      <c r="H177" s="600"/>
      <c r="I177" s="600"/>
      <c r="J177" s="602" t="s">
        <v>60</v>
      </c>
      <c r="K177" s="449">
        <f>IF(COUNT(K23,K44,K61,K105,K120,K136,K149,K168,K175)&gt;0,SUM(K23,K44,K61,K105,K120,K136,K149,K168,K175),"")</f>
        <v>0</v>
      </c>
    </row>
    <row r="178" spans="2:11" ht="12.75" customHeight="1"/>
    <row r="179" spans="2:11" ht="12.75" customHeight="1"/>
    <row r="180" spans="2:11" ht="12.75" customHeight="1"/>
    <row r="181" spans="2:11" ht="12.75" customHeight="1"/>
    <row r="182" spans="2:11" ht="12.75" customHeight="1"/>
    <row r="183" spans="2:11" ht="12.75" customHeight="1"/>
    <row r="184" spans="2:11" ht="0" hidden="1" customHeight="1"/>
    <row r="185" spans="2:11" ht="0" hidden="1" customHeight="1"/>
    <row r="186" spans="2:11" ht="0" hidden="1" customHeight="1"/>
    <row r="187" spans="2:11" ht="0" hidden="1" customHeight="1"/>
  </sheetData>
  <sheetProtection algorithmName="SHA-512" hashValue="DEO5Z7oLXZRE/SdZo6fNyQMTU+qZJlDtU/ulICJYM9afrjW53DYho08+UkFxc2flzF2NEIXikF7nife/PNwPUA==" saltValue="zjU1y/GiltkRaeMz+uuUIg==" spinCount="100000" sheet="1" formatRows="0"/>
  <mergeCells count="37">
    <mergeCell ref="F97:G97"/>
    <mergeCell ref="F98:G98"/>
    <mergeCell ref="F99:G99"/>
    <mergeCell ref="F100:G100"/>
    <mergeCell ref="F39:G39"/>
    <mergeCell ref="F96:G96"/>
    <mergeCell ref="F90:G90"/>
    <mergeCell ref="F87:G87"/>
    <mergeCell ref="F84:G84"/>
    <mergeCell ref="F78:G78"/>
    <mergeCell ref="F79:G79"/>
    <mergeCell ref="F80:G80"/>
    <mergeCell ref="F81:G81"/>
    <mergeCell ref="F83:G83"/>
    <mergeCell ref="F93:G93"/>
    <mergeCell ref="F82:G82"/>
    <mergeCell ref="E125:G125"/>
    <mergeCell ref="L2:L8"/>
    <mergeCell ref="B2:G2"/>
    <mergeCell ref="H2:I2"/>
    <mergeCell ref="J2:K2"/>
    <mergeCell ref="H3:I3"/>
    <mergeCell ref="J3:K3"/>
    <mergeCell ref="B10:F10"/>
    <mergeCell ref="H5:I5"/>
    <mergeCell ref="J5:K5"/>
    <mergeCell ref="B6:E6"/>
    <mergeCell ref="B7:E7"/>
    <mergeCell ref="F6:K6"/>
    <mergeCell ref="F16:G16"/>
    <mergeCell ref="F36:G36"/>
    <mergeCell ref="F7:K7"/>
    <mergeCell ref="F5:G5"/>
    <mergeCell ref="F8:K8"/>
    <mergeCell ref="B8:E8"/>
    <mergeCell ref="B3:G3"/>
    <mergeCell ref="B5:E5"/>
  </mergeCells>
  <conditionalFormatting sqref="F17">
    <cfRule type="expression" dxfId="1783" priority="128">
      <formula>NOT($M17)</formula>
    </cfRule>
    <cfRule type="expression" dxfId="1782" priority="129">
      <formula>AND($M17,F17="")</formula>
    </cfRule>
  </conditionalFormatting>
  <conditionalFormatting sqref="F18">
    <cfRule type="expression" dxfId="1781" priority="131">
      <formula>NOT($M17)</formula>
    </cfRule>
  </conditionalFormatting>
  <conditionalFormatting sqref="F19">
    <cfRule type="expression" dxfId="1780" priority="123">
      <formula>NOT($M19)</formula>
    </cfRule>
    <cfRule type="expression" dxfId="1779" priority="124">
      <formula>AND($M19,F19="")</formula>
    </cfRule>
  </conditionalFormatting>
  <conditionalFormatting sqref="F20">
    <cfRule type="expression" dxfId="1778" priority="126">
      <formula>NOT($M19)</formula>
    </cfRule>
  </conditionalFormatting>
  <conditionalFormatting sqref="F21">
    <cfRule type="expression" dxfId="1777" priority="118">
      <formula>NOT($M21)</formula>
    </cfRule>
    <cfRule type="expression" dxfId="1776" priority="119">
      <formula>AND($M21,F21="")</formula>
    </cfRule>
  </conditionalFormatting>
  <conditionalFormatting sqref="F22">
    <cfRule type="expression" dxfId="1775" priority="121">
      <formula>NOT($M21)</formula>
    </cfRule>
  </conditionalFormatting>
  <conditionalFormatting sqref="F26">
    <cfRule type="expression" dxfId="1774" priority="1428">
      <formula>AND(M26,F26="")</formula>
    </cfRule>
  </conditionalFormatting>
  <conditionalFormatting sqref="F28">
    <cfRule type="expression" dxfId="1773" priority="1412">
      <formula>AND(M28,F28="")</formula>
    </cfRule>
  </conditionalFormatting>
  <conditionalFormatting sqref="F30">
    <cfRule type="expression" dxfId="1772" priority="1396">
      <formula>AND(M30,F30="")</formula>
    </cfRule>
  </conditionalFormatting>
  <conditionalFormatting sqref="F32">
    <cfRule type="expression" dxfId="1771" priority="1380">
      <formula>AND(M32,F32="")</formula>
    </cfRule>
  </conditionalFormatting>
  <conditionalFormatting sqref="F47">
    <cfRule type="expression" dxfId="1770" priority="1481">
      <formula>AND(M47,F47="")</formula>
    </cfRule>
  </conditionalFormatting>
  <conditionalFormatting sqref="F49">
    <cfRule type="expression" dxfId="1769" priority="1465">
      <formula>AND(M49,F49="")</formula>
    </cfRule>
  </conditionalFormatting>
  <conditionalFormatting sqref="F51">
    <cfRule type="expression" dxfId="1768" priority="1449">
      <formula>AND(M51,F51="")</formula>
    </cfRule>
  </conditionalFormatting>
  <conditionalFormatting sqref="F53">
    <cfRule type="expression" dxfId="1767" priority="1433">
      <formula>AND(M53,F53="")</formula>
    </cfRule>
  </conditionalFormatting>
  <conditionalFormatting sqref="F55">
    <cfRule type="expression" dxfId="1766" priority="504">
      <formula>AND(M55,F55="")</formula>
    </cfRule>
  </conditionalFormatting>
  <conditionalFormatting sqref="F59">
    <cfRule type="expression" dxfId="1765" priority="153">
      <formula>NOT($M59)</formula>
    </cfRule>
    <cfRule type="expression" dxfId="1764" priority="154">
      <formula>AND($M59,F59="")</formula>
    </cfRule>
  </conditionalFormatting>
  <conditionalFormatting sqref="F60">
    <cfRule type="expression" dxfId="1763" priority="156">
      <formula>NOT($M59)</formula>
    </cfRule>
  </conditionalFormatting>
  <conditionalFormatting sqref="F64">
    <cfRule type="expression" dxfId="1762" priority="1598">
      <formula>AND(M64,F64="")</formula>
    </cfRule>
  </conditionalFormatting>
  <conditionalFormatting sqref="F66">
    <cfRule type="expression" dxfId="1761" priority="455">
      <formula>AND(M66,F66="")</formula>
    </cfRule>
  </conditionalFormatting>
  <conditionalFormatting sqref="F68">
    <cfRule type="expression" dxfId="1760" priority="452">
      <formula>AND(M68,F68="")</formula>
    </cfRule>
  </conditionalFormatting>
  <conditionalFormatting sqref="F70">
    <cfRule type="expression" dxfId="1759" priority="449">
      <formula>AND(M70,F70="")</formula>
    </cfRule>
  </conditionalFormatting>
  <conditionalFormatting sqref="F72">
    <cfRule type="expression" dxfId="1758" priority="446">
      <formula>AND(M72,F72="")</formula>
    </cfRule>
  </conditionalFormatting>
  <conditionalFormatting sqref="F74">
    <cfRule type="expression" dxfId="1757" priority="443">
      <formula>AND(M74,F74="")</formula>
    </cfRule>
  </conditionalFormatting>
  <conditionalFormatting sqref="F101">
    <cfRule type="expression" dxfId="1756" priority="168">
      <formula>NOT($M101)</formula>
    </cfRule>
    <cfRule type="expression" dxfId="1755" priority="169">
      <formula>AND($M101,F101="")</formula>
    </cfRule>
  </conditionalFormatting>
  <conditionalFormatting sqref="F102">
    <cfRule type="expression" dxfId="1754" priority="171">
      <formula>NOT($M101)</formula>
    </cfRule>
  </conditionalFormatting>
  <conditionalFormatting sqref="F103">
    <cfRule type="expression" dxfId="1753" priority="163">
      <formula>NOT($M103)</formula>
    </cfRule>
    <cfRule type="expression" dxfId="1752" priority="164">
      <formula>AND($M103,F103="")</formula>
    </cfRule>
  </conditionalFormatting>
  <conditionalFormatting sqref="F104">
    <cfRule type="expression" dxfId="1751" priority="166">
      <formula>NOT($M103)</formula>
    </cfRule>
  </conditionalFormatting>
  <conditionalFormatting sqref="F108">
    <cfRule type="expression" dxfId="1750" priority="1850">
      <formula>AND(M108,F108="")</formula>
    </cfRule>
  </conditionalFormatting>
  <conditionalFormatting sqref="F110">
    <cfRule type="expression" dxfId="1749" priority="1849">
      <formula>AND(M110,F110="")</formula>
    </cfRule>
  </conditionalFormatting>
  <conditionalFormatting sqref="F112">
    <cfRule type="expression" dxfId="1748" priority="1848">
      <formula>AND(M112,F112="")</formula>
    </cfRule>
  </conditionalFormatting>
  <conditionalFormatting sqref="F114">
    <cfRule type="expression" dxfId="1747" priority="1847">
      <formula>AND(M114,F114="")</formula>
    </cfRule>
  </conditionalFormatting>
  <conditionalFormatting sqref="F116">
    <cfRule type="expression" dxfId="1746" priority="178">
      <formula>NOT($M116)</formula>
    </cfRule>
    <cfRule type="expression" dxfId="1745" priority="179">
      <formula>AND($M116,F116="")</formula>
    </cfRule>
  </conditionalFormatting>
  <conditionalFormatting sqref="F117">
    <cfRule type="expression" dxfId="1744" priority="181">
      <formula>NOT($M116)</formula>
    </cfRule>
  </conditionalFormatting>
  <conditionalFormatting sqref="F118">
    <cfRule type="expression" dxfId="1743" priority="173">
      <formula>NOT($M118)</formula>
    </cfRule>
    <cfRule type="expression" dxfId="1742" priority="174">
      <formula>AND($M118,F118="")</formula>
    </cfRule>
  </conditionalFormatting>
  <conditionalFormatting sqref="F119">
    <cfRule type="expression" dxfId="1741" priority="176">
      <formula>NOT($M118)</formula>
    </cfRule>
  </conditionalFormatting>
  <conditionalFormatting sqref="F123">
    <cfRule type="expression" dxfId="1740" priority="1662">
      <formula>AND(M123,F123="")</formula>
    </cfRule>
  </conditionalFormatting>
  <conditionalFormatting sqref="F126">
    <cfRule type="expression" dxfId="1739" priority="389">
      <formula>AND(M126,F126="")</formula>
    </cfRule>
  </conditionalFormatting>
  <conditionalFormatting sqref="F128">
    <cfRule type="expression" dxfId="1738" priority="386">
      <formula>AND(M128,F128="")</formula>
    </cfRule>
  </conditionalFormatting>
  <conditionalFormatting sqref="F130">
    <cfRule type="expression" dxfId="1737" priority="193">
      <formula>NOT($M130)</formula>
    </cfRule>
    <cfRule type="expression" dxfId="1736" priority="194">
      <formula>AND($M130,F130="")</formula>
    </cfRule>
  </conditionalFormatting>
  <conditionalFormatting sqref="F131">
    <cfRule type="expression" dxfId="1735" priority="196">
      <formula>NOT($M130)</formula>
    </cfRule>
  </conditionalFormatting>
  <conditionalFormatting sqref="F132">
    <cfRule type="expression" dxfId="1734" priority="188">
      <formula>NOT($M132)</formula>
    </cfRule>
    <cfRule type="expression" dxfId="1733" priority="189">
      <formula>AND($M132,F132="")</formula>
    </cfRule>
  </conditionalFormatting>
  <conditionalFormatting sqref="F133">
    <cfRule type="expression" dxfId="1732" priority="191">
      <formula>NOT($M132)</formula>
    </cfRule>
  </conditionalFormatting>
  <conditionalFormatting sqref="F134">
    <cfRule type="expression" dxfId="1731" priority="183">
      <formula>NOT($M134)</formula>
    </cfRule>
    <cfRule type="expression" dxfId="1730" priority="184">
      <formula>AND($M134,F134="")</formula>
    </cfRule>
  </conditionalFormatting>
  <conditionalFormatting sqref="F135">
    <cfRule type="expression" dxfId="1729" priority="186">
      <formula>NOT($M134)</formula>
    </cfRule>
  </conditionalFormatting>
  <conditionalFormatting sqref="F139">
    <cfRule type="expression" dxfId="1728" priority="1630">
      <formula>AND(M139,F139="")</formula>
    </cfRule>
  </conditionalFormatting>
  <conditionalFormatting sqref="F141">
    <cfRule type="expression" dxfId="1727" priority="340">
      <formula>AND(M141,F141="")</formula>
    </cfRule>
  </conditionalFormatting>
  <conditionalFormatting sqref="F143">
    <cfRule type="expression" dxfId="1726" priority="337">
      <formula>AND(M143,F143="")</formula>
    </cfRule>
  </conditionalFormatting>
  <conditionalFormatting sqref="F145">
    <cfRule type="expression" dxfId="1725" priority="203">
      <formula>NOT($M145)</formula>
    </cfRule>
    <cfRule type="expression" dxfId="1724" priority="204">
      <formula>AND($M145,F145="")</formula>
    </cfRule>
  </conditionalFormatting>
  <conditionalFormatting sqref="F146">
    <cfRule type="expression" dxfId="1723" priority="206">
      <formula>NOT($M145)</formula>
    </cfRule>
  </conditionalFormatting>
  <conditionalFormatting sqref="F147">
    <cfRule type="expression" dxfId="1722" priority="198">
      <formula>NOT($M147)</formula>
    </cfRule>
    <cfRule type="expression" dxfId="1721" priority="199">
      <formula>AND($M147,F147="")</formula>
    </cfRule>
  </conditionalFormatting>
  <conditionalFormatting sqref="F148">
    <cfRule type="expression" dxfId="1720" priority="201">
      <formula>NOT($M147)</formula>
    </cfRule>
  </conditionalFormatting>
  <conditionalFormatting sqref="F152">
    <cfRule type="expression" dxfId="1719" priority="1278">
      <formula>AND(M152,F152="")</formula>
    </cfRule>
  </conditionalFormatting>
  <conditionalFormatting sqref="F154">
    <cfRule type="expression" dxfId="1718" priority="1245">
      <formula>AND(M154,F154="")</formula>
    </cfRule>
  </conditionalFormatting>
  <conditionalFormatting sqref="F156">
    <cfRule type="expression" dxfId="1717" priority="1229">
      <formula>AND(M156,F156="")</formula>
    </cfRule>
  </conditionalFormatting>
  <conditionalFormatting sqref="F158">
    <cfRule type="expression" dxfId="1716" priority="1186">
      <formula>AND(M158,F158="")</formula>
    </cfRule>
  </conditionalFormatting>
  <conditionalFormatting sqref="F160">
    <cfRule type="expression" dxfId="1715" priority="1152">
      <formula>AND(M160,F160="")</formula>
    </cfRule>
  </conditionalFormatting>
  <conditionalFormatting sqref="F162">
    <cfRule type="expression" dxfId="1714" priority="213">
      <formula>NOT($M162)</formula>
    </cfRule>
    <cfRule type="expression" dxfId="1713" priority="214">
      <formula>AND($M162,F162="")</formula>
    </cfRule>
  </conditionalFormatting>
  <conditionalFormatting sqref="F163">
    <cfRule type="expression" dxfId="1712" priority="216">
      <formula>NOT($M162)</formula>
    </cfRule>
  </conditionalFormatting>
  <conditionalFormatting sqref="F164">
    <cfRule type="expression" dxfId="1711" priority="269">
      <formula>NOT($M164)</formula>
    </cfRule>
    <cfRule type="expression" dxfId="1710" priority="270">
      <formula>AND($M164,F164="")</formula>
    </cfRule>
  </conditionalFormatting>
  <conditionalFormatting sqref="F165">
    <cfRule type="expression" dxfId="1709" priority="331">
      <formula>NOT($M164)</formula>
    </cfRule>
  </conditionalFormatting>
  <conditionalFormatting sqref="F166">
    <cfRule type="expression" dxfId="1708" priority="218">
      <formula>NOT($M166)</formula>
    </cfRule>
    <cfRule type="expression" dxfId="1707" priority="219">
      <formula>AND($M166,F166="")</formula>
    </cfRule>
  </conditionalFormatting>
  <conditionalFormatting sqref="F167">
    <cfRule type="expression" dxfId="1706" priority="221">
      <formula>NOT($M166)</formula>
    </cfRule>
  </conditionalFormatting>
  <conditionalFormatting sqref="F171">
    <cfRule type="expression" dxfId="1705" priority="1106">
      <formula>AND(M171,F171="")</formula>
    </cfRule>
  </conditionalFormatting>
  <conditionalFormatting sqref="F173">
    <cfRule type="expression" dxfId="1704" priority="208">
      <formula>NOT($M173)</formula>
    </cfRule>
    <cfRule type="expression" dxfId="1703" priority="209">
      <formula>AND($M173,F173="")</formula>
    </cfRule>
  </conditionalFormatting>
  <conditionalFormatting sqref="F174">
    <cfRule type="expression" dxfId="1702" priority="211">
      <formula>NOT($M173)</formula>
    </cfRule>
  </conditionalFormatting>
  <conditionalFormatting sqref="H14">
    <cfRule type="expression" dxfId="1701" priority="1087">
      <formula>AND(M14,H14="")</formula>
    </cfRule>
  </conditionalFormatting>
  <conditionalFormatting sqref="H17">
    <cfRule type="expression" dxfId="1700" priority="1298">
      <formula>AND(M17,H17="")</formula>
    </cfRule>
  </conditionalFormatting>
  <conditionalFormatting sqref="H19">
    <cfRule type="expression" dxfId="1699" priority="1066">
      <formula>AND(M19,H19="")</formula>
    </cfRule>
  </conditionalFormatting>
  <conditionalFormatting sqref="H21">
    <cfRule type="expression" dxfId="1698" priority="1061">
      <formula>AND(M21,H21="")</formula>
    </cfRule>
  </conditionalFormatting>
  <conditionalFormatting sqref="H26">
    <cfRule type="expression" dxfId="1697" priority="655">
      <formula>AND(M26,H26="")</formula>
    </cfRule>
  </conditionalFormatting>
  <conditionalFormatting sqref="H28">
    <cfRule type="expression" dxfId="1696" priority="650">
      <formula>AND(M28,H28="")</formula>
    </cfRule>
  </conditionalFormatting>
  <conditionalFormatting sqref="H30">
    <cfRule type="expression" dxfId="1695" priority="645">
      <formula>AND(M30,H30="")</formula>
    </cfRule>
  </conditionalFormatting>
  <conditionalFormatting sqref="H32">
    <cfRule type="expression" dxfId="1694" priority="640">
      <formula>AND(M32,H32="")</formula>
    </cfRule>
  </conditionalFormatting>
  <conditionalFormatting sqref="H34">
    <cfRule type="expression" dxfId="1693" priority="635">
      <formula>AND(M34,H34="")</formula>
    </cfRule>
  </conditionalFormatting>
  <conditionalFormatting sqref="H37">
    <cfRule type="expression" dxfId="1692" priority="1039">
      <formula>AND(M37,H37="")</formula>
    </cfRule>
  </conditionalFormatting>
  <conditionalFormatting sqref="H47">
    <cfRule type="expression" dxfId="1691" priority="624">
      <formula>AND(M47,H47="")</formula>
    </cfRule>
  </conditionalFormatting>
  <conditionalFormatting sqref="H49">
    <cfRule type="expression" dxfId="1690" priority="618">
      <formula>AND(M49,H49="")</formula>
    </cfRule>
  </conditionalFormatting>
  <conditionalFormatting sqref="H51">
    <cfRule type="expression" dxfId="1689" priority="612">
      <formula>AND(M51,H51="")</formula>
    </cfRule>
  </conditionalFormatting>
  <conditionalFormatting sqref="H53">
    <cfRule type="expression" dxfId="1688" priority="606">
      <formula>AND(M53,H53="")</formula>
    </cfRule>
  </conditionalFormatting>
  <conditionalFormatting sqref="H55">
    <cfRule type="expression" dxfId="1687" priority="979">
      <formula>AND(M55,H55="")</formula>
    </cfRule>
  </conditionalFormatting>
  <conditionalFormatting sqref="H57">
    <cfRule type="expression" dxfId="1686" priority="967">
      <formula>AND(M57,H57="")</formula>
    </cfRule>
  </conditionalFormatting>
  <conditionalFormatting sqref="H59">
    <cfRule type="expression" dxfId="1685" priority="955">
      <formula>AND(M59,H59="")</formula>
    </cfRule>
  </conditionalFormatting>
  <conditionalFormatting sqref="H64">
    <cfRule type="expression" dxfId="1684" priority="596">
      <formula>AND(M64,H64="")</formula>
    </cfRule>
  </conditionalFormatting>
  <conditionalFormatting sqref="H66">
    <cfRule type="expression" dxfId="1683" priority="487">
      <formula>AND(M66,H66="")</formula>
    </cfRule>
  </conditionalFormatting>
  <conditionalFormatting sqref="H68">
    <cfRule type="expression" dxfId="1682" priority="475">
      <formula>AND(M68,H68="")</formula>
    </cfRule>
  </conditionalFormatting>
  <conditionalFormatting sqref="H70">
    <cfRule type="expression" dxfId="1681" priority="463">
      <formula>AND(M70,H70="")</formula>
    </cfRule>
  </conditionalFormatting>
  <conditionalFormatting sqref="H72">
    <cfRule type="expression" dxfId="1680" priority="847">
      <formula>AND(M72,H72="")</formula>
    </cfRule>
  </conditionalFormatting>
  <conditionalFormatting sqref="H74">
    <cfRule type="expression" dxfId="1679" priority="835">
      <formula>AND(M74,H74="")</formula>
    </cfRule>
  </conditionalFormatting>
  <conditionalFormatting sqref="H101">
    <cfRule type="expression" dxfId="1678" priority="823">
      <formula>AND(M101,H101="")</formula>
    </cfRule>
  </conditionalFormatting>
  <conditionalFormatting sqref="H103">
    <cfRule type="expression" dxfId="1677" priority="811">
      <formula>AND(M103,H103="")</formula>
    </cfRule>
  </conditionalFormatting>
  <conditionalFormatting sqref="H108">
    <cfRule type="expression" dxfId="1676" priority="571">
      <formula>AND(M108,H108="")</formula>
    </cfRule>
  </conditionalFormatting>
  <conditionalFormatting sqref="H110">
    <cfRule type="expression" dxfId="1675" priority="577">
      <formula>AND(M110,H110="")</formula>
    </cfRule>
  </conditionalFormatting>
  <conditionalFormatting sqref="H112">
    <cfRule type="expression" dxfId="1674" priority="583">
      <formula>AND(M112,H112="")</formula>
    </cfRule>
  </conditionalFormatting>
  <conditionalFormatting sqref="H114">
    <cfRule type="expression" dxfId="1673" priority="589">
      <formula>AND(M114,H114="")</formula>
    </cfRule>
  </conditionalFormatting>
  <conditionalFormatting sqref="H116">
    <cfRule type="expression" dxfId="1672" priority="799">
      <formula>AND(M116,H116="")</formula>
    </cfRule>
  </conditionalFormatting>
  <conditionalFormatting sqref="H118">
    <cfRule type="expression" dxfId="1671" priority="787">
      <formula>AND(M118,H118="")</formula>
    </cfRule>
  </conditionalFormatting>
  <conditionalFormatting sqref="H123">
    <cfRule type="expression" dxfId="1670" priority="565">
      <formula>AND(M123,H123="")</formula>
    </cfRule>
  </conditionalFormatting>
  <conditionalFormatting sqref="H126">
    <cfRule type="expression" dxfId="1669" priority="397">
      <formula>AND(M126,H126="")</formula>
    </cfRule>
  </conditionalFormatting>
  <conditionalFormatting sqref="H128">
    <cfRule type="expression" dxfId="1668" priority="414">
      <formula>AND(M128,H128="")</formula>
    </cfRule>
  </conditionalFormatting>
  <conditionalFormatting sqref="H130">
    <cfRule type="expression" dxfId="1667" priority="431">
      <formula>AND(M130,H130="")</formula>
    </cfRule>
  </conditionalFormatting>
  <conditionalFormatting sqref="H132">
    <cfRule type="expression" dxfId="1666" priority="775">
      <formula>AND(M132,H132="")</formula>
    </cfRule>
  </conditionalFormatting>
  <conditionalFormatting sqref="H134">
    <cfRule type="expression" dxfId="1665" priority="763">
      <formula>AND(M134,H134="")</formula>
    </cfRule>
  </conditionalFormatting>
  <conditionalFormatting sqref="H139">
    <cfRule type="expression" dxfId="1664" priority="521">
      <formula>AND(M139,H139="")</formula>
    </cfRule>
  </conditionalFormatting>
  <conditionalFormatting sqref="H141">
    <cfRule type="expression" dxfId="1663" priority="348">
      <formula>AND(M141,H141="")</formula>
    </cfRule>
  </conditionalFormatting>
  <conditionalFormatting sqref="H143">
    <cfRule type="expression" dxfId="1662" priority="365">
      <formula>AND(M143,H143="")</formula>
    </cfRule>
  </conditionalFormatting>
  <conditionalFormatting sqref="H145">
    <cfRule type="expression" dxfId="1661" priority="751">
      <formula>AND(M145,H145="")</formula>
    </cfRule>
  </conditionalFormatting>
  <conditionalFormatting sqref="H147">
    <cfRule type="expression" dxfId="1660" priority="739">
      <formula>AND(M147,H147="")</formula>
    </cfRule>
  </conditionalFormatting>
  <conditionalFormatting sqref="H152">
    <cfRule type="expression" dxfId="1659" priority="661">
      <formula>AND(M152,H152="")</formula>
    </cfRule>
  </conditionalFormatting>
  <conditionalFormatting sqref="H154">
    <cfRule type="expression" dxfId="1658" priority="671">
      <formula>AND(M154,H154="")</formula>
    </cfRule>
  </conditionalFormatting>
  <conditionalFormatting sqref="H156">
    <cfRule type="expression" dxfId="1657" priority="676">
      <formula>AND(M156,H156="")</formula>
    </cfRule>
  </conditionalFormatting>
  <conditionalFormatting sqref="H158">
    <cfRule type="expression" dxfId="1656" priority="686">
      <formula>AND(M158,H158="")</formula>
    </cfRule>
  </conditionalFormatting>
  <conditionalFormatting sqref="H160">
    <cfRule type="expression" dxfId="1655" priority="691">
      <formula>AND(M160,H160="")</formula>
    </cfRule>
  </conditionalFormatting>
  <conditionalFormatting sqref="H162">
    <cfRule type="expression" dxfId="1654" priority="696">
      <formula>AND(M162,H162="")</formula>
    </cfRule>
  </conditionalFormatting>
  <conditionalFormatting sqref="H164">
    <cfRule type="expression" dxfId="1653" priority="701">
      <formula>AND(M164,H164="")</formula>
    </cfRule>
  </conditionalFormatting>
  <conditionalFormatting sqref="H166">
    <cfRule type="expression" dxfId="1652" priority="727">
      <formula>AND(M166,H166="")</formula>
    </cfRule>
  </conditionalFormatting>
  <conditionalFormatting sqref="H171">
    <cfRule type="expression" dxfId="1651" priority="707">
      <formula>AND(M171,H171="")</formula>
    </cfRule>
  </conditionalFormatting>
  <conditionalFormatting sqref="H173">
    <cfRule type="expression" dxfId="1650" priority="715">
      <formula>AND(M173,H173="")</formula>
    </cfRule>
  </conditionalFormatting>
  <conditionalFormatting sqref="H14:I14">
    <cfRule type="expression" dxfId="1649" priority="1083">
      <formula>NOT($M14)</formula>
    </cfRule>
  </conditionalFormatting>
  <conditionalFormatting sqref="H17:I17">
    <cfRule type="expression" dxfId="1648" priority="1089">
      <formula>NOT($M17)</formula>
    </cfRule>
  </conditionalFormatting>
  <conditionalFormatting sqref="H19:I19">
    <cfRule type="expression" dxfId="1647" priority="1063">
      <formula>NOT($M19)</formula>
    </cfRule>
  </conditionalFormatting>
  <conditionalFormatting sqref="H21:I21">
    <cfRule type="expression" dxfId="1646" priority="1058">
      <formula>NOT($M21)</formula>
    </cfRule>
  </conditionalFormatting>
  <conditionalFormatting sqref="H26:I26">
    <cfRule type="expression" dxfId="1645" priority="652">
      <formula>NOT($M26)</formula>
    </cfRule>
  </conditionalFormatting>
  <conditionalFormatting sqref="H28:I28">
    <cfRule type="expression" dxfId="1644" priority="647">
      <formula>NOT($M28)</formula>
    </cfRule>
  </conditionalFormatting>
  <conditionalFormatting sqref="H30:I30">
    <cfRule type="expression" dxfId="1643" priority="642">
      <formula>NOT($M30)</formula>
    </cfRule>
  </conditionalFormatting>
  <conditionalFormatting sqref="H32:I32">
    <cfRule type="expression" dxfId="1642" priority="637">
      <formula>NOT($M32)</formula>
    </cfRule>
  </conditionalFormatting>
  <conditionalFormatting sqref="H34:I34">
    <cfRule type="expression" dxfId="1641" priority="632">
      <formula>NOT($M34)</formula>
    </cfRule>
  </conditionalFormatting>
  <conditionalFormatting sqref="H37:I37">
    <cfRule type="expression" dxfId="1640" priority="1036">
      <formula>NOT($M37)</formula>
    </cfRule>
  </conditionalFormatting>
  <conditionalFormatting sqref="H47:I47">
    <cfRule type="expression" dxfId="1639" priority="621">
      <formula>NOT($M47)</formula>
    </cfRule>
  </conditionalFormatting>
  <conditionalFormatting sqref="H49:I49">
    <cfRule type="expression" dxfId="1638" priority="615">
      <formula>NOT($M49)</formula>
    </cfRule>
  </conditionalFormatting>
  <conditionalFormatting sqref="H51:I51">
    <cfRule type="expression" dxfId="1637" priority="609">
      <formula>NOT($M51)</formula>
    </cfRule>
  </conditionalFormatting>
  <conditionalFormatting sqref="H53:I53">
    <cfRule type="expression" dxfId="1636" priority="603">
      <formula>NOT($M53)</formula>
    </cfRule>
  </conditionalFormatting>
  <conditionalFormatting sqref="H55:I55">
    <cfRule type="expression" dxfId="1635" priority="976">
      <formula>NOT($M55)</formula>
    </cfRule>
  </conditionalFormatting>
  <conditionalFormatting sqref="H57:I57">
    <cfRule type="expression" dxfId="1634" priority="964">
      <formula>NOT($M57)</formula>
    </cfRule>
  </conditionalFormatting>
  <conditionalFormatting sqref="H59:I59">
    <cfRule type="expression" dxfId="1633" priority="952">
      <formula>NOT($M59)</formula>
    </cfRule>
  </conditionalFormatting>
  <conditionalFormatting sqref="H64:I64">
    <cfRule type="expression" dxfId="1632" priority="593">
      <formula>NOT($M64)</formula>
    </cfRule>
  </conditionalFormatting>
  <conditionalFormatting sqref="H66:I66">
    <cfRule type="expression" dxfId="1631" priority="484">
      <formula>NOT($M66)</formula>
    </cfRule>
  </conditionalFormatting>
  <conditionalFormatting sqref="H68:I68">
    <cfRule type="expression" dxfId="1630" priority="472">
      <formula>NOT($M68)</formula>
    </cfRule>
  </conditionalFormatting>
  <conditionalFormatting sqref="H70:I70">
    <cfRule type="expression" dxfId="1629" priority="460">
      <formula>NOT($M70)</formula>
    </cfRule>
  </conditionalFormatting>
  <conditionalFormatting sqref="H72:I72">
    <cfRule type="expression" dxfId="1628" priority="844">
      <formula>NOT($M72)</formula>
    </cfRule>
  </conditionalFormatting>
  <conditionalFormatting sqref="H74:I74">
    <cfRule type="expression" dxfId="1627" priority="832">
      <formula>NOT($M74)</formula>
    </cfRule>
  </conditionalFormatting>
  <conditionalFormatting sqref="H101:I101">
    <cfRule type="expression" dxfId="1626" priority="820">
      <formula>NOT($M101)</formula>
    </cfRule>
  </conditionalFormatting>
  <conditionalFormatting sqref="H103:I103">
    <cfRule type="expression" dxfId="1625" priority="808">
      <formula>NOT($M103)</formula>
    </cfRule>
  </conditionalFormatting>
  <conditionalFormatting sqref="H108:I108">
    <cfRule type="expression" dxfId="1624" priority="568">
      <formula>NOT($M108)</formula>
    </cfRule>
  </conditionalFormatting>
  <conditionalFormatting sqref="H110:I110">
    <cfRule type="expression" dxfId="1623" priority="574">
      <formula>NOT($M110)</formula>
    </cfRule>
  </conditionalFormatting>
  <conditionalFormatting sqref="H112:I112">
    <cfRule type="expression" dxfId="1622" priority="580">
      <formula>NOT($M112)</formula>
    </cfRule>
  </conditionalFormatting>
  <conditionalFormatting sqref="H114:I114">
    <cfRule type="expression" dxfId="1621" priority="586">
      <formula>NOT($M114)</formula>
    </cfRule>
  </conditionalFormatting>
  <conditionalFormatting sqref="H116:I116">
    <cfRule type="expression" dxfId="1620" priority="796">
      <formula>NOT($M116)</formula>
    </cfRule>
  </conditionalFormatting>
  <conditionalFormatting sqref="H118:I118">
    <cfRule type="expression" dxfId="1619" priority="784">
      <formula>NOT($M118)</formula>
    </cfRule>
  </conditionalFormatting>
  <conditionalFormatting sqref="H123:I123">
    <cfRule type="expression" dxfId="1618" priority="562">
      <formula>NOT($M123)</formula>
    </cfRule>
  </conditionalFormatting>
  <conditionalFormatting sqref="H126:I126">
    <cfRule type="expression" dxfId="1617" priority="394">
      <formula>NOT($M126)</formula>
    </cfRule>
  </conditionalFormatting>
  <conditionalFormatting sqref="H128:I128">
    <cfRule type="expression" dxfId="1616" priority="411">
      <formula>NOT($M128)</formula>
    </cfRule>
  </conditionalFormatting>
  <conditionalFormatting sqref="H130:I130">
    <cfRule type="expression" dxfId="1615" priority="428">
      <formula>NOT($M130)</formula>
    </cfRule>
  </conditionalFormatting>
  <conditionalFormatting sqref="H132:I132">
    <cfRule type="expression" dxfId="1614" priority="772">
      <formula>NOT($M132)</formula>
    </cfRule>
  </conditionalFormatting>
  <conditionalFormatting sqref="H134:I134">
    <cfRule type="expression" dxfId="1613" priority="760">
      <formula>NOT($M134)</formula>
    </cfRule>
  </conditionalFormatting>
  <conditionalFormatting sqref="H139:I139">
    <cfRule type="expression" dxfId="1612" priority="518">
      <formula>NOT($M139)</formula>
    </cfRule>
  </conditionalFormatting>
  <conditionalFormatting sqref="H141:I141">
    <cfRule type="expression" dxfId="1611" priority="345">
      <formula>NOT($M141)</formula>
    </cfRule>
  </conditionalFormatting>
  <conditionalFormatting sqref="H143:I143">
    <cfRule type="expression" dxfId="1610" priority="362">
      <formula>NOT($M143)</formula>
    </cfRule>
  </conditionalFormatting>
  <conditionalFormatting sqref="H145:I145">
    <cfRule type="expression" dxfId="1609" priority="748">
      <formula>NOT($M145)</formula>
    </cfRule>
  </conditionalFormatting>
  <conditionalFormatting sqref="H147:I147">
    <cfRule type="expression" dxfId="1608" priority="736">
      <formula>NOT($M147)</formula>
    </cfRule>
  </conditionalFormatting>
  <conditionalFormatting sqref="H152:I152">
    <cfRule type="expression" dxfId="1607" priority="658">
      <formula>NOT($M152)</formula>
    </cfRule>
  </conditionalFormatting>
  <conditionalFormatting sqref="H154:I154">
    <cfRule type="expression" dxfId="1606" priority="668">
      <formula>NOT($M154)</formula>
    </cfRule>
  </conditionalFormatting>
  <conditionalFormatting sqref="H156:I156">
    <cfRule type="expression" dxfId="1605" priority="673">
      <formula>NOT($M156)</formula>
    </cfRule>
  </conditionalFormatting>
  <conditionalFormatting sqref="H158:I158">
    <cfRule type="expression" dxfId="1604" priority="683">
      <formula>NOT($M158)</formula>
    </cfRule>
  </conditionalFormatting>
  <conditionalFormatting sqref="H160:I160">
    <cfRule type="expression" dxfId="1603" priority="688">
      <formula>NOT($M160)</formula>
    </cfRule>
  </conditionalFormatting>
  <conditionalFormatting sqref="H162:I162">
    <cfRule type="expression" dxfId="1602" priority="693">
      <formula>NOT($M162)</formula>
    </cfRule>
  </conditionalFormatting>
  <conditionalFormatting sqref="H164:I164">
    <cfRule type="expression" dxfId="1601" priority="698">
      <formula>NOT($M164)</formula>
    </cfRule>
  </conditionalFormatting>
  <conditionalFormatting sqref="H166:I166">
    <cfRule type="expression" dxfId="1600" priority="724">
      <formula>NOT($M166)</formula>
    </cfRule>
  </conditionalFormatting>
  <conditionalFormatting sqref="H171:I171">
    <cfRule type="expression" dxfId="1599" priority="704">
      <formula>NOT($M171)</formula>
    </cfRule>
  </conditionalFormatting>
  <conditionalFormatting sqref="H173:I173">
    <cfRule type="expression" dxfId="1598" priority="712">
      <formula>NOT($M173)</formula>
    </cfRule>
  </conditionalFormatting>
  <conditionalFormatting sqref="I14">
    <cfRule type="expression" dxfId="1597" priority="1084">
      <formula>AND(M14,I14="")</formula>
    </cfRule>
  </conditionalFormatting>
  <conditionalFormatting sqref="I17">
    <cfRule type="expression" dxfId="1596" priority="1297">
      <formula>AND(M17,I17="")</formula>
    </cfRule>
  </conditionalFormatting>
  <conditionalFormatting sqref="I19">
    <cfRule type="expression" dxfId="1595" priority="1065">
      <formula>AND(M19,I19="")</formula>
    </cfRule>
  </conditionalFormatting>
  <conditionalFormatting sqref="I21">
    <cfRule type="expression" dxfId="1594" priority="1060">
      <formula>AND(M21,I21="")</formula>
    </cfRule>
  </conditionalFormatting>
  <conditionalFormatting sqref="I26">
    <cfRule type="expression" dxfId="1593" priority="654">
      <formula>AND(M26,I26="")</formula>
    </cfRule>
  </conditionalFormatting>
  <conditionalFormatting sqref="I28">
    <cfRule type="expression" dxfId="1592" priority="649">
      <formula>AND(M28,I28="")</formula>
    </cfRule>
  </conditionalFormatting>
  <conditionalFormatting sqref="I30">
    <cfRule type="expression" dxfId="1591" priority="644">
      <formula>AND(M30,I30="")</formula>
    </cfRule>
  </conditionalFormatting>
  <conditionalFormatting sqref="I32">
    <cfRule type="expression" dxfId="1590" priority="639">
      <formula>AND(M32,I32="")</formula>
    </cfRule>
  </conditionalFormatting>
  <conditionalFormatting sqref="I34">
    <cfRule type="expression" dxfId="1589" priority="634">
      <formula>AND(M34,I34="")</formula>
    </cfRule>
  </conditionalFormatting>
  <conditionalFormatting sqref="I37">
    <cfRule type="expression" dxfId="1588" priority="1038">
      <formula>AND(M37,I37="")</formula>
    </cfRule>
  </conditionalFormatting>
  <conditionalFormatting sqref="I47">
    <cfRule type="expression" dxfId="1587" priority="623">
      <formula>AND(M47,I47="")</formula>
    </cfRule>
  </conditionalFormatting>
  <conditionalFormatting sqref="I49">
    <cfRule type="expression" dxfId="1586" priority="617">
      <formula>AND(M49,I49="")</formula>
    </cfRule>
  </conditionalFormatting>
  <conditionalFormatting sqref="I51">
    <cfRule type="expression" dxfId="1585" priority="611">
      <formula>AND(M51,I51="")</formula>
    </cfRule>
  </conditionalFormatting>
  <conditionalFormatting sqref="I53">
    <cfRule type="expression" dxfId="1584" priority="605">
      <formula>AND(M53,I53="")</formula>
    </cfRule>
  </conditionalFormatting>
  <conditionalFormatting sqref="I55">
    <cfRule type="expression" dxfId="1583" priority="978">
      <formula>AND(M55,I55="")</formula>
    </cfRule>
  </conditionalFormatting>
  <conditionalFormatting sqref="I57">
    <cfRule type="expression" dxfId="1582" priority="966">
      <formula>AND(M57,I57="")</formula>
    </cfRule>
  </conditionalFormatting>
  <conditionalFormatting sqref="I59">
    <cfRule type="expression" dxfId="1581" priority="954">
      <formula>AND(M59,I59="")</formula>
    </cfRule>
  </conditionalFormatting>
  <conditionalFormatting sqref="I64">
    <cfRule type="expression" dxfId="1580" priority="595">
      <formula>AND(M64,I64="")</formula>
    </cfRule>
  </conditionalFormatting>
  <conditionalFormatting sqref="I66">
    <cfRule type="expression" dxfId="1579" priority="486">
      <formula>AND(M66,I66="")</formula>
    </cfRule>
  </conditionalFormatting>
  <conditionalFormatting sqref="I68">
    <cfRule type="expression" dxfId="1578" priority="474">
      <formula>AND(M68,I68="")</formula>
    </cfRule>
  </conditionalFormatting>
  <conditionalFormatting sqref="I70">
    <cfRule type="expression" dxfId="1577" priority="462">
      <formula>AND(M70,I70="")</formula>
    </cfRule>
  </conditionalFormatting>
  <conditionalFormatting sqref="I72">
    <cfRule type="expression" dxfId="1576" priority="846">
      <formula>AND(M72,I72="")</formula>
    </cfRule>
  </conditionalFormatting>
  <conditionalFormatting sqref="I74">
    <cfRule type="expression" dxfId="1575" priority="834">
      <formula>AND(M74,I74="")</formula>
    </cfRule>
  </conditionalFormatting>
  <conditionalFormatting sqref="I101">
    <cfRule type="expression" dxfId="1574" priority="822">
      <formula>AND(M101,I101="")</formula>
    </cfRule>
  </conditionalFormatting>
  <conditionalFormatting sqref="I103">
    <cfRule type="expression" dxfId="1573" priority="810">
      <formula>AND(M103,I103="")</formula>
    </cfRule>
  </conditionalFormatting>
  <conditionalFormatting sqref="I108">
    <cfRule type="expression" dxfId="1572" priority="570">
      <formula>AND(M108,I108="")</formula>
    </cfRule>
  </conditionalFormatting>
  <conditionalFormatting sqref="I110">
    <cfRule type="expression" dxfId="1571" priority="576">
      <formula>AND(M110,I110="")</formula>
    </cfRule>
  </conditionalFormatting>
  <conditionalFormatting sqref="I112">
    <cfRule type="expression" dxfId="1570" priority="582">
      <formula>AND(M112,I112="")</formula>
    </cfRule>
  </conditionalFormatting>
  <conditionalFormatting sqref="I114">
    <cfRule type="expression" dxfId="1569" priority="588">
      <formula>AND(M114,I114="")</formula>
    </cfRule>
  </conditionalFormatting>
  <conditionalFormatting sqref="I116">
    <cfRule type="expression" dxfId="1568" priority="798">
      <formula>AND(M116,I116="")</formula>
    </cfRule>
  </conditionalFormatting>
  <conditionalFormatting sqref="I118">
    <cfRule type="expression" dxfId="1567" priority="786">
      <formula>AND(M118,I118="")</formula>
    </cfRule>
  </conditionalFormatting>
  <conditionalFormatting sqref="I123">
    <cfRule type="expression" dxfId="1566" priority="564">
      <formula>AND(M123,I123="")</formula>
    </cfRule>
  </conditionalFormatting>
  <conditionalFormatting sqref="I126">
    <cfRule type="expression" dxfId="1565" priority="396">
      <formula>AND(M126,I126="")</formula>
    </cfRule>
  </conditionalFormatting>
  <conditionalFormatting sqref="I128">
    <cfRule type="expression" dxfId="1564" priority="413">
      <formula>AND(M128,I128="")</formula>
    </cfRule>
  </conditionalFormatting>
  <conditionalFormatting sqref="I130">
    <cfRule type="expression" dxfId="1563" priority="430">
      <formula>AND(M130,I130="")</formula>
    </cfRule>
  </conditionalFormatting>
  <conditionalFormatting sqref="I132">
    <cfRule type="expression" dxfId="1562" priority="774">
      <formula>AND(M132,I132="")</formula>
    </cfRule>
  </conditionalFormatting>
  <conditionalFormatting sqref="I134">
    <cfRule type="expression" dxfId="1561" priority="762">
      <formula>AND(M134,I134="")</formula>
    </cfRule>
  </conditionalFormatting>
  <conditionalFormatting sqref="I139">
    <cfRule type="expression" dxfId="1560" priority="520">
      <formula>AND(M139,I139="")</formula>
    </cfRule>
  </conditionalFormatting>
  <conditionalFormatting sqref="I141">
    <cfRule type="expression" dxfId="1559" priority="347">
      <formula>AND(M141,I141="")</formula>
    </cfRule>
  </conditionalFormatting>
  <conditionalFormatting sqref="I143">
    <cfRule type="expression" dxfId="1558" priority="364">
      <formula>AND(M143,I143="")</formula>
    </cfRule>
  </conditionalFormatting>
  <conditionalFormatting sqref="I145">
    <cfRule type="expression" dxfId="1557" priority="750">
      <formula>AND(M145,I145="")</formula>
    </cfRule>
  </conditionalFormatting>
  <conditionalFormatting sqref="I147">
    <cfRule type="expression" dxfId="1556" priority="738">
      <formula>AND(M147,I147="")</formula>
    </cfRule>
  </conditionalFormatting>
  <conditionalFormatting sqref="I152">
    <cfRule type="expression" dxfId="1555" priority="660">
      <formula>AND(M152,I152="")</formula>
    </cfRule>
  </conditionalFormatting>
  <conditionalFormatting sqref="I154">
    <cfRule type="expression" dxfId="1554" priority="670">
      <formula>AND(M154,I154="")</formula>
    </cfRule>
  </conditionalFormatting>
  <conditionalFormatting sqref="I156">
    <cfRule type="expression" dxfId="1553" priority="675">
      <formula>AND(M156,I156="")</formula>
    </cfRule>
  </conditionalFormatting>
  <conditionalFormatting sqref="I158">
    <cfRule type="expression" dxfId="1552" priority="685">
      <formula>AND(M158,I158="")</formula>
    </cfRule>
  </conditionalFormatting>
  <conditionalFormatting sqref="I160">
    <cfRule type="expression" dxfId="1551" priority="690">
      <formula>AND(M160,I160="")</formula>
    </cfRule>
  </conditionalFormatting>
  <conditionalFormatting sqref="I162">
    <cfRule type="expression" dxfId="1550" priority="695">
      <formula>AND(M162,I162="")</formula>
    </cfRule>
  </conditionalFormatting>
  <conditionalFormatting sqref="I164">
    <cfRule type="expression" dxfId="1549" priority="700">
      <formula>AND(M164,I164="")</formula>
    </cfRule>
  </conditionalFormatting>
  <conditionalFormatting sqref="I166">
    <cfRule type="expression" dxfId="1548" priority="726">
      <formula>AND(M166,I166="")</formula>
    </cfRule>
  </conditionalFormatting>
  <conditionalFormatting sqref="I171">
    <cfRule type="expression" dxfId="1547" priority="706">
      <formula>AND(M171,I171="")</formula>
    </cfRule>
  </conditionalFormatting>
  <conditionalFormatting sqref="I173">
    <cfRule type="expression" dxfId="1546" priority="714">
      <formula>AND(M173,I173="")</formula>
    </cfRule>
  </conditionalFormatting>
  <conditionalFormatting sqref="J14">
    <cfRule type="expression" dxfId="1545" priority="1305">
      <formula>M14=FALSE</formula>
    </cfRule>
    <cfRule type="expression" dxfId="1544" priority="1306">
      <formula>AND(M14,J14="")</formula>
    </cfRule>
    <cfRule type="expression" dxfId="1543" priority="1310">
      <formula>M14=FALSE</formula>
    </cfRule>
    <cfRule type="expression" dxfId="1542" priority="1311">
      <formula>AND(M14,J14="")</formula>
    </cfRule>
    <cfRule type="expression" dxfId="1541" priority="1316">
      <formula>M14=FALSE</formula>
    </cfRule>
    <cfRule type="expression" dxfId="1540" priority="1317">
      <formula>AND(M14,J14="")</formula>
    </cfRule>
  </conditionalFormatting>
  <conditionalFormatting sqref="J17">
    <cfRule type="expression" dxfId="1539" priority="1294">
      <formula>M17=FALSE</formula>
    </cfRule>
    <cfRule type="expression" dxfId="1538" priority="1295">
      <formula>AND(M17,J17="")</formula>
    </cfRule>
  </conditionalFormatting>
  <conditionalFormatting sqref="J19">
    <cfRule type="expression" dxfId="1537" priority="1288">
      <formula>M19=FALSE</formula>
    </cfRule>
    <cfRule type="expression" dxfId="1536" priority="1289">
      <formula>AND(M19,J19="")</formula>
    </cfRule>
  </conditionalFormatting>
  <conditionalFormatting sqref="J21">
    <cfRule type="expression" dxfId="1535" priority="1282">
      <formula>M21=FALSE</formula>
    </cfRule>
    <cfRule type="expression" dxfId="1534" priority="1283">
      <formula>AND(M21,J21="")</formula>
    </cfRule>
  </conditionalFormatting>
  <conditionalFormatting sqref="J26">
    <cfRule type="expression" dxfId="1533" priority="1415">
      <formula>M26=FALSE</formula>
    </cfRule>
    <cfRule type="expression" dxfId="1532" priority="1416">
      <formula>AND(M26,J26="")</formula>
    </cfRule>
    <cfRule type="expression" dxfId="1531" priority="1420">
      <formula>M26=FALSE</formula>
    </cfRule>
    <cfRule type="expression" dxfId="1530" priority="1421">
      <formula>AND(M26,J26="")</formula>
    </cfRule>
    <cfRule type="expression" dxfId="1529" priority="1426">
      <formula>M26=FALSE</formula>
    </cfRule>
    <cfRule type="expression" dxfId="1528" priority="1427">
      <formula>AND(M26,J26="")</formula>
    </cfRule>
  </conditionalFormatting>
  <conditionalFormatting sqref="J28">
    <cfRule type="expression" dxfId="1527" priority="1399">
      <formula>M28=FALSE</formula>
    </cfRule>
    <cfRule type="expression" dxfId="1526" priority="1400">
      <formula>AND(M28,J28="")</formula>
    </cfRule>
    <cfRule type="expression" dxfId="1525" priority="1404">
      <formula>M28=FALSE</formula>
    </cfRule>
    <cfRule type="expression" dxfId="1524" priority="1405">
      <formula>AND(M28,J28="")</formula>
    </cfRule>
    <cfRule type="expression" dxfId="1523" priority="1410">
      <formula>M28=FALSE</formula>
    </cfRule>
    <cfRule type="expression" dxfId="1522" priority="1411">
      <formula>AND(M28,J28="")</formula>
    </cfRule>
  </conditionalFormatting>
  <conditionalFormatting sqref="J30">
    <cfRule type="expression" dxfId="1521" priority="1383">
      <formula>M30=FALSE</formula>
    </cfRule>
    <cfRule type="expression" dxfId="1520" priority="1384">
      <formula>AND(M30,J30="")</formula>
    </cfRule>
    <cfRule type="expression" dxfId="1519" priority="1388">
      <formula>M30=FALSE</formula>
    </cfRule>
    <cfRule type="expression" dxfId="1518" priority="1389">
      <formula>AND(M30,J30="")</formula>
    </cfRule>
    <cfRule type="expression" dxfId="1517" priority="1394">
      <formula>M30=FALSE</formula>
    </cfRule>
    <cfRule type="expression" dxfId="1516" priority="1395">
      <formula>AND(M30,J30="")</formula>
    </cfRule>
  </conditionalFormatting>
  <conditionalFormatting sqref="J32">
    <cfRule type="expression" dxfId="1515" priority="1367">
      <formula>M32=FALSE</formula>
    </cfRule>
    <cfRule type="expression" dxfId="1514" priority="1368">
      <formula>AND(M32,J32="")</formula>
    </cfRule>
    <cfRule type="expression" dxfId="1513" priority="1372">
      <formula>M32=FALSE</formula>
    </cfRule>
    <cfRule type="expression" dxfId="1512" priority="1373">
      <formula>AND(M32,J32="")</formula>
    </cfRule>
    <cfRule type="expression" dxfId="1511" priority="1378">
      <formula>M32=FALSE</formula>
    </cfRule>
    <cfRule type="expression" dxfId="1510" priority="1379">
      <formula>AND(M32,J32="")</formula>
    </cfRule>
  </conditionalFormatting>
  <conditionalFormatting sqref="J34">
    <cfRule type="expression" dxfId="1509" priority="1351">
      <formula>M34=FALSE</formula>
    </cfRule>
    <cfRule type="expression" dxfId="1508" priority="1352">
      <formula>AND(M34,J34="")</formula>
    </cfRule>
    <cfRule type="expression" dxfId="1507" priority="1356">
      <formula>M34=FALSE</formula>
    </cfRule>
    <cfRule type="expression" dxfId="1506" priority="1357">
      <formula>AND(M34,J34="")</formula>
    </cfRule>
    <cfRule type="expression" dxfId="1505" priority="1362">
      <formula>M34=FALSE</formula>
    </cfRule>
    <cfRule type="expression" dxfId="1504" priority="1363">
      <formula>AND(M34,J34="")</formula>
    </cfRule>
  </conditionalFormatting>
  <conditionalFormatting sqref="J37">
    <cfRule type="expression" dxfId="1503" priority="1334">
      <formula>M37=FALSE</formula>
    </cfRule>
    <cfRule type="expression" dxfId="1502" priority="1335">
      <formula>AND(M37,J37="")</formula>
    </cfRule>
  </conditionalFormatting>
  <conditionalFormatting sqref="J47">
    <cfRule type="expression" dxfId="1501" priority="1479">
      <formula>M47=FALSE</formula>
    </cfRule>
    <cfRule type="expression" dxfId="1500" priority="1480">
      <formula>AND(M47,J47="")</formula>
    </cfRule>
    <cfRule type="expression" dxfId="1499" priority="1484">
      <formula>M47=FALSE</formula>
    </cfRule>
    <cfRule type="expression" dxfId="1498" priority="1485">
      <formula>AND(M47,J47="")</formula>
    </cfRule>
    <cfRule type="expression" dxfId="1497" priority="1490">
      <formula>M47=FALSE</formula>
    </cfRule>
    <cfRule type="expression" dxfId="1496" priority="1491">
      <formula>AND(M47,J47="")</formula>
    </cfRule>
  </conditionalFormatting>
  <conditionalFormatting sqref="J49">
    <cfRule type="expression" dxfId="1495" priority="1463">
      <formula>M49=FALSE</formula>
    </cfRule>
    <cfRule type="expression" dxfId="1494" priority="1464">
      <formula>AND(M49,J49="")</formula>
    </cfRule>
    <cfRule type="expression" dxfId="1493" priority="1468">
      <formula>M49=FALSE</formula>
    </cfRule>
    <cfRule type="expression" dxfId="1492" priority="1469">
      <formula>AND(M49,J49="")</formula>
    </cfRule>
    <cfRule type="expression" dxfId="1491" priority="1474">
      <formula>M49=FALSE</formula>
    </cfRule>
    <cfRule type="expression" dxfId="1490" priority="1475">
      <formula>AND(M49,J49="")</formula>
    </cfRule>
  </conditionalFormatting>
  <conditionalFormatting sqref="J51">
    <cfRule type="expression" dxfId="1489" priority="1447">
      <formula>M51=FALSE</formula>
    </cfRule>
    <cfRule type="expression" dxfId="1488" priority="1448">
      <formula>AND(M51,J51="")</formula>
    </cfRule>
    <cfRule type="expression" dxfId="1487" priority="1452">
      <formula>M51=FALSE</formula>
    </cfRule>
    <cfRule type="expression" dxfId="1486" priority="1453">
      <formula>AND(M51,J51="")</formula>
    </cfRule>
    <cfRule type="expression" dxfId="1485" priority="1458">
      <formula>M51=FALSE</formula>
    </cfRule>
    <cfRule type="expression" dxfId="1484" priority="1459">
      <formula>AND(M51,J51="")</formula>
    </cfRule>
  </conditionalFormatting>
  <conditionalFormatting sqref="J53">
    <cfRule type="expression" dxfId="1483" priority="1431">
      <formula>M53=FALSE</formula>
    </cfRule>
    <cfRule type="expression" dxfId="1482" priority="1432">
      <formula>AND(M53,J53="")</formula>
    </cfRule>
    <cfRule type="expression" dxfId="1481" priority="1436">
      <formula>M53=FALSE</formula>
    </cfRule>
    <cfRule type="expression" dxfId="1480" priority="1437">
      <formula>AND(M53,J53="")</formula>
    </cfRule>
    <cfRule type="expression" dxfId="1479" priority="1442">
      <formula>M53=FALSE</formula>
    </cfRule>
    <cfRule type="expression" dxfId="1478" priority="1443">
      <formula>AND(M53,J53="")</formula>
    </cfRule>
  </conditionalFormatting>
  <conditionalFormatting sqref="J55">
    <cfRule type="expression" dxfId="1477" priority="1508">
      <formula>M55=FALSE</formula>
    </cfRule>
    <cfRule type="expression" dxfId="1476" priority="1509">
      <formula>AND(M55,J55="")</formula>
    </cfRule>
  </conditionalFormatting>
  <conditionalFormatting sqref="J57">
    <cfRule type="expression" dxfId="1475" priority="1502">
      <formula>M57=FALSE</formula>
    </cfRule>
    <cfRule type="expression" dxfId="1474" priority="1503">
      <formula>AND(M57,J57="")</formula>
    </cfRule>
  </conditionalFormatting>
  <conditionalFormatting sqref="J59">
    <cfRule type="expression" dxfId="1473" priority="1496">
      <formula>M59=FALSE</formula>
    </cfRule>
    <cfRule type="expression" dxfId="1472" priority="1497">
      <formula>AND(M59,J59="")</formula>
    </cfRule>
  </conditionalFormatting>
  <conditionalFormatting sqref="J64">
    <cfRule type="expression" dxfId="1471" priority="1585">
      <formula>M64=FALSE</formula>
    </cfRule>
    <cfRule type="expression" dxfId="1470" priority="1586">
      <formula>AND(M64,J64="")</formula>
    </cfRule>
    <cfRule type="expression" dxfId="1469" priority="1590">
      <formula>M64=FALSE</formula>
    </cfRule>
    <cfRule type="expression" dxfId="1468" priority="1591">
      <formula>AND(M64,J64="")</formula>
    </cfRule>
    <cfRule type="expression" dxfId="1467" priority="1596">
      <formula>M64=FALSE</formula>
    </cfRule>
    <cfRule type="expression" dxfId="1466" priority="1597">
      <formula>AND(M64,J64="")</formula>
    </cfRule>
  </conditionalFormatting>
  <conditionalFormatting sqref="J66">
    <cfRule type="expression" dxfId="1465" priority="500">
      <formula>M66=FALSE</formula>
    </cfRule>
    <cfRule type="expression" dxfId="1464" priority="501">
      <formula>AND(M66,J66="")</formula>
    </cfRule>
  </conditionalFormatting>
  <conditionalFormatting sqref="J68">
    <cfRule type="expression" dxfId="1463" priority="497">
      <formula>M68=FALSE</formula>
    </cfRule>
    <cfRule type="expression" dxfId="1462" priority="498">
      <formula>AND(M68,J68="")</formula>
    </cfRule>
  </conditionalFormatting>
  <conditionalFormatting sqref="J70">
    <cfRule type="expression" dxfId="1461" priority="494">
      <formula>M70=FALSE</formula>
    </cfRule>
    <cfRule type="expression" dxfId="1460" priority="495">
      <formula>AND(M70,J70="")</formula>
    </cfRule>
  </conditionalFormatting>
  <conditionalFormatting sqref="J72">
    <cfRule type="expression" dxfId="1459" priority="1580">
      <formula>M72=FALSE</formula>
    </cfRule>
    <cfRule type="expression" dxfId="1458" priority="1581">
      <formula>AND(M72,J72="")</formula>
    </cfRule>
  </conditionalFormatting>
  <conditionalFormatting sqref="J74">
    <cfRule type="expression" dxfId="1457" priority="1574">
      <formula>M74=FALSE</formula>
    </cfRule>
    <cfRule type="expression" dxfId="1456" priority="1575">
      <formula>AND(M74,J74="")</formula>
    </cfRule>
  </conditionalFormatting>
  <conditionalFormatting sqref="J101">
    <cfRule type="expression" dxfId="1455" priority="1568">
      <formula>M101=FALSE</formula>
    </cfRule>
    <cfRule type="expression" dxfId="1454" priority="1569">
      <formula>AND(M101,J101="")</formula>
    </cfRule>
  </conditionalFormatting>
  <conditionalFormatting sqref="J103">
    <cfRule type="expression" dxfId="1453" priority="1562">
      <formula>M103=FALSE</formula>
    </cfRule>
    <cfRule type="expression" dxfId="1452" priority="1563">
      <formula>AND(M103,J103="")</formula>
    </cfRule>
  </conditionalFormatting>
  <conditionalFormatting sqref="J108">
    <cfRule type="expression" dxfId="1451" priority="1665">
      <formula>M108=FALSE</formula>
    </cfRule>
    <cfRule type="expression" dxfId="1450" priority="1666">
      <formula>AND(M108,J108="")</formula>
    </cfRule>
    <cfRule type="expression" dxfId="1449" priority="1670">
      <formula>M108=FALSE</formula>
    </cfRule>
    <cfRule type="expression" dxfId="1448" priority="1671">
      <formula>AND(M108,J108="")</formula>
    </cfRule>
    <cfRule type="expression" dxfId="1447" priority="1757">
      <formula>M108=FALSE</formula>
    </cfRule>
    <cfRule type="expression" dxfId="1446" priority="1758">
      <formula>AND(M108,J108="")</formula>
    </cfRule>
  </conditionalFormatting>
  <conditionalFormatting sqref="J110">
    <cfRule type="expression" dxfId="1445" priority="1675">
      <formula>M110=FALSE</formula>
    </cfRule>
    <cfRule type="expression" dxfId="1444" priority="1676">
      <formula>AND(M110,J110="")</formula>
    </cfRule>
    <cfRule type="expression" dxfId="1443" priority="1755">
      <formula>M110=FALSE</formula>
    </cfRule>
    <cfRule type="expression" dxfId="1442" priority="1756">
      <formula>AND(M110,J110="")</formula>
    </cfRule>
  </conditionalFormatting>
  <conditionalFormatting sqref="J112">
    <cfRule type="expression" dxfId="1441" priority="1753">
      <formula>M112=FALSE</formula>
    </cfRule>
    <cfRule type="expression" dxfId="1440" priority="1754">
      <formula>AND(M112,J112="")</formula>
    </cfRule>
  </conditionalFormatting>
  <conditionalFormatting sqref="J114">
    <cfRule type="expression" dxfId="1439" priority="1680">
      <formula>M114=FALSE</formula>
    </cfRule>
    <cfRule type="expression" dxfId="1438" priority="1681">
      <formula>AND(M114,J114="")</formula>
    </cfRule>
    <cfRule type="expression" dxfId="1437" priority="1751">
      <formula>M114=FALSE</formula>
    </cfRule>
    <cfRule type="expression" dxfId="1436" priority="1752">
      <formula>AND(M114,J114="")</formula>
    </cfRule>
  </conditionalFormatting>
  <conditionalFormatting sqref="J116">
    <cfRule type="expression" dxfId="1435" priority="1749">
      <formula>M116=FALSE</formula>
    </cfRule>
    <cfRule type="expression" dxfId="1434" priority="1750">
      <formula>AND(M116,J116="")</formula>
    </cfRule>
  </conditionalFormatting>
  <conditionalFormatting sqref="J118">
    <cfRule type="expression" dxfId="1433" priority="1697">
      <formula>M118=FALSE</formula>
    </cfRule>
    <cfRule type="expression" dxfId="1432" priority="1698">
      <formula>AND(M118,J118="")</formula>
    </cfRule>
    <cfRule type="expression" dxfId="1431" priority="1747">
      <formula>M118=FALSE</formula>
    </cfRule>
    <cfRule type="expression" dxfId="1430" priority="1748">
      <formula>AND(M118,J118="")</formula>
    </cfRule>
  </conditionalFormatting>
  <conditionalFormatting sqref="J123">
    <cfRule type="expression" dxfId="1429" priority="1649">
      <formula>M123=FALSE</formula>
    </cfRule>
    <cfRule type="expression" dxfId="1428" priority="1650">
      <formula>AND(M123,J123="")</formula>
    </cfRule>
    <cfRule type="expression" dxfId="1427" priority="1654">
      <formula>M123=FALSE</formula>
    </cfRule>
    <cfRule type="expression" dxfId="1426" priority="1655">
      <formula>AND(M123,J123="")</formula>
    </cfRule>
    <cfRule type="expression" dxfId="1425" priority="1660">
      <formula>M123=FALSE</formula>
    </cfRule>
    <cfRule type="expression" dxfId="1424" priority="1661">
      <formula>AND(M123,J123="")</formula>
    </cfRule>
  </conditionalFormatting>
  <conditionalFormatting sqref="J126">
    <cfRule type="expression" dxfId="1423" priority="404">
      <formula>M126=FALSE</formula>
    </cfRule>
    <cfRule type="expression" dxfId="1422" priority="405">
      <formula>AND(M126,J126="")</formula>
    </cfRule>
  </conditionalFormatting>
  <conditionalFormatting sqref="J128">
    <cfRule type="expression" dxfId="1421" priority="421">
      <formula>M128=FALSE</formula>
    </cfRule>
    <cfRule type="expression" dxfId="1420" priority="422">
      <formula>AND(M128,J128="")</formula>
    </cfRule>
  </conditionalFormatting>
  <conditionalFormatting sqref="J130">
    <cfRule type="expression" dxfId="1419" priority="438">
      <formula>M130=FALSE</formula>
    </cfRule>
    <cfRule type="expression" dxfId="1418" priority="439">
      <formula>AND(M130,J130="")</formula>
    </cfRule>
  </conditionalFormatting>
  <conditionalFormatting sqref="J132">
    <cfRule type="expression" dxfId="1417" priority="1641">
      <formula>M132=FALSE</formula>
    </cfRule>
    <cfRule type="expression" dxfId="1416" priority="1642">
      <formula>AND(M132,J132="")</formula>
    </cfRule>
  </conditionalFormatting>
  <conditionalFormatting sqref="J134">
    <cfRule type="expression" dxfId="1415" priority="1633">
      <formula>M134=FALSE</formula>
    </cfRule>
    <cfRule type="expression" dxfId="1414" priority="1634">
      <formula>AND(M134,J134="")</formula>
    </cfRule>
    <cfRule type="expression" dxfId="1413" priority="1639">
      <formula>M134=FALSE</formula>
    </cfRule>
    <cfRule type="expression" dxfId="1412" priority="1640">
      <formula>AND(M134,J134="")</formula>
    </cfRule>
  </conditionalFormatting>
  <conditionalFormatting sqref="J139">
    <cfRule type="expression" dxfId="1411" priority="1617">
      <formula>M139=FALSE</formula>
    </cfRule>
    <cfRule type="expression" dxfId="1410" priority="1618">
      <formula>AND(M139,J139="")</formula>
    </cfRule>
    <cfRule type="expression" dxfId="1409" priority="1622">
      <formula>M139=FALSE</formula>
    </cfRule>
    <cfRule type="expression" dxfId="1408" priority="1623">
      <formula>AND(M139,J139="")</formula>
    </cfRule>
    <cfRule type="expression" dxfId="1407" priority="1628">
      <formula>M139=FALSE</formula>
    </cfRule>
    <cfRule type="expression" dxfId="1406" priority="1629">
      <formula>AND(M139,J139="")</formula>
    </cfRule>
  </conditionalFormatting>
  <conditionalFormatting sqref="J141">
    <cfRule type="expression" dxfId="1405" priority="355">
      <formula>M141=FALSE</formula>
    </cfRule>
    <cfRule type="expression" dxfId="1404" priority="356">
      <formula>AND(M141,J141="")</formula>
    </cfRule>
  </conditionalFormatting>
  <conditionalFormatting sqref="J143">
    <cfRule type="expression" dxfId="1403" priority="372">
      <formula>M143=FALSE</formula>
    </cfRule>
    <cfRule type="expression" dxfId="1402" priority="373">
      <formula>AND(M143,J143="")</formula>
    </cfRule>
  </conditionalFormatting>
  <conditionalFormatting sqref="J145">
    <cfRule type="expression" dxfId="1401" priority="1609">
      <formula>M145=FALSE</formula>
    </cfRule>
    <cfRule type="expression" dxfId="1400" priority="1610">
      <formula>AND(M145,J145="")</formula>
    </cfRule>
  </conditionalFormatting>
  <conditionalFormatting sqref="J147">
    <cfRule type="expression" dxfId="1399" priority="1601">
      <formula>M147=FALSE</formula>
    </cfRule>
    <cfRule type="expression" dxfId="1398" priority="1602">
      <formula>AND(M147,J147="")</formula>
    </cfRule>
    <cfRule type="expression" dxfId="1397" priority="1607">
      <formula>M147=FALSE</formula>
    </cfRule>
    <cfRule type="expression" dxfId="1396" priority="1608">
      <formula>AND(M147,J147="")</formula>
    </cfRule>
  </conditionalFormatting>
  <conditionalFormatting sqref="J152">
    <cfRule type="expression" dxfId="1395" priority="1265">
      <formula>M152=FALSE</formula>
    </cfRule>
    <cfRule type="expression" dxfId="1394" priority="1266">
      <formula>AND(M152,J152="")</formula>
    </cfRule>
    <cfRule type="expression" dxfId="1393" priority="1270">
      <formula>M152=FALSE</formula>
    </cfRule>
    <cfRule type="expression" dxfId="1392" priority="1271">
      <formula>AND(M152,J152="")</formula>
    </cfRule>
    <cfRule type="expression" dxfId="1391" priority="1276">
      <formula>M152=FALSE</formula>
    </cfRule>
    <cfRule type="expression" dxfId="1390" priority="1277">
      <formula>AND(M152,J152="")</formula>
    </cfRule>
  </conditionalFormatting>
  <conditionalFormatting sqref="J154">
    <cfRule type="expression" dxfId="1389" priority="1232">
      <formula>M154=FALSE</formula>
    </cfRule>
    <cfRule type="expression" dxfId="1388" priority="1233">
      <formula>AND(M154,J154="")</formula>
    </cfRule>
    <cfRule type="expression" dxfId="1387" priority="1237">
      <formula>M154=FALSE</formula>
    </cfRule>
    <cfRule type="expression" dxfId="1386" priority="1238">
      <formula>AND(M154,J154="")</formula>
    </cfRule>
    <cfRule type="expression" dxfId="1385" priority="1243">
      <formula>M154=FALSE</formula>
    </cfRule>
    <cfRule type="expression" dxfId="1384" priority="1244">
      <formula>AND(M154,J154="")</formula>
    </cfRule>
  </conditionalFormatting>
  <conditionalFormatting sqref="J156">
    <cfRule type="expression" dxfId="1383" priority="1216">
      <formula>M156=FALSE</formula>
    </cfRule>
    <cfRule type="expression" dxfId="1382" priority="1217">
      <formula>AND(M156,J156="")</formula>
    </cfRule>
    <cfRule type="expression" dxfId="1381" priority="1221">
      <formula>M156=FALSE</formula>
    </cfRule>
    <cfRule type="expression" dxfId="1380" priority="1222">
      <formula>AND(M156,J156="")</formula>
    </cfRule>
    <cfRule type="expression" dxfId="1379" priority="1227">
      <formula>M156=FALSE</formula>
    </cfRule>
    <cfRule type="expression" dxfId="1378" priority="1228">
      <formula>AND(M156,J156="")</formula>
    </cfRule>
  </conditionalFormatting>
  <conditionalFormatting sqref="J158">
    <cfRule type="expression" dxfId="1377" priority="1173">
      <formula>M158=FALSE</formula>
    </cfRule>
    <cfRule type="expression" dxfId="1376" priority="1174">
      <formula>AND(M158,J158="")</formula>
    </cfRule>
    <cfRule type="expression" dxfId="1375" priority="1178">
      <formula>M158=FALSE</formula>
    </cfRule>
    <cfRule type="expression" dxfId="1374" priority="1179">
      <formula>AND(M158,J158="")</formula>
    </cfRule>
    <cfRule type="expression" dxfId="1373" priority="1184">
      <formula>M158=FALSE</formula>
    </cfRule>
    <cfRule type="expression" dxfId="1372" priority="1185">
      <formula>AND(M158,J158="")</formula>
    </cfRule>
  </conditionalFormatting>
  <conditionalFormatting sqref="J160">
    <cfRule type="expression" dxfId="1371" priority="1139">
      <formula>M160=FALSE</formula>
    </cfRule>
    <cfRule type="expression" dxfId="1370" priority="1140">
      <formula>AND(M160,J160="")</formula>
    </cfRule>
    <cfRule type="expression" dxfId="1369" priority="1144">
      <formula>M160=FALSE</formula>
    </cfRule>
    <cfRule type="expression" dxfId="1368" priority="1145">
      <formula>AND(M160,J160="")</formula>
    </cfRule>
    <cfRule type="expression" dxfId="1367" priority="1150">
      <formula>M160=FALSE</formula>
    </cfRule>
    <cfRule type="expression" dxfId="1366" priority="1151">
      <formula>AND(M160,J160="")</formula>
    </cfRule>
  </conditionalFormatting>
  <conditionalFormatting sqref="J162">
    <cfRule type="expression" dxfId="1365" priority="1156">
      <formula>M162=FALSE</formula>
    </cfRule>
    <cfRule type="expression" dxfId="1364" priority="1157">
      <formula>AND(M162,J162="")</formula>
    </cfRule>
    <cfRule type="expression" dxfId="1363" priority="1161">
      <formula>M162=FALSE</formula>
    </cfRule>
    <cfRule type="expression" dxfId="1362" priority="1162">
      <formula>AND(M162,J162="")</formula>
    </cfRule>
    <cfRule type="expression" dxfId="1361" priority="1167">
      <formula>M162=FALSE</formula>
    </cfRule>
    <cfRule type="expression" dxfId="1360" priority="1168">
      <formula>AND(M162,J162="")</formula>
    </cfRule>
  </conditionalFormatting>
  <conditionalFormatting sqref="J164">
    <cfRule type="expression" dxfId="1359" priority="1122">
      <formula>M164=FALSE</formula>
    </cfRule>
    <cfRule type="expression" dxfId="1358" priority="1123">
      <formula>AND(M164,J164="")</formula>
    </cfRule>
    <cfRule type="expression" dxfId="1357" priority="1127">
      <formula>M164=FALSE</formula>
    </cfRule>
    <cfRule type="expression" dxfId="1356" priority="1128">
      <formula>AND(M164,J164="")</formula>
    </cfRule>
    <cfRule type="expression" dxfId="1355" priority="1133">
      <formula>M164=FALSE</formula>
    </cfRule>
    <cfRule type="expression" dxfId="1354" priority="1134">
      <formula>AND(M164,J164="")</formula>
    </cfRule>
  </conditionalFormatting>
  <conditionalFormatting sqref="J166">
    <cfRule type="expression" dxfId="1353" priority="1117">
      <formula>M166=FALSE</formula>
    </cfRule>
    <cfRule type="expression" dxfId="1352" priority="1118">
      <formula>AND(M166,J166="")</formula>
    </cfRule>
  </conditionalFormatting>
  <conditionalFormatting sqref="J171">
    <cfRule type="expression" dxfId="1351" priority="1093">
      <formula>M171=FALSE</formula>
    </cfRule>
    <cfRule type="expression" dxfId="1350" priority="1094">
      <formula>AND(M171,J171="")</formula>
    </cfRule>
    <cfRule type="expression" dxfId="1349" priority="1098">
      <formula>M171=FALSE</formula>
    </cfRule>
    <cfRule type="expression" dxfId="1348" priority="1099">
      <formula>AND(M171,J171="")</formula>
    </cfRule>
    <cfRule type="expression" dxfId="1347" priority="1104">
      <formula>M171=FALSE</formula>
    </cfRule>
    <cfRule type="expression" dxfId="1346" priority="1105">
      <formula>AND(M171,J171="")</formula>
    </cfRule>
  </conditionalFormatting>
  <conditionalFormatting sqref="J173">
    <cfRule type="expression" dxfId="1345" priority="1111">
      <formula>M173=FALSE</formula>
    </cfRule>
    <cfRule type="expression" dxfId="1344" priority="1112">
      <formula>AND(M173,J173="")</formula>
    </cfRule>
  </conditionalFormatting>
  <conditionalFormatting sqref="F14">
    <cfRule type="expression" dxfId="1343" priority="116">
      <formula>AND(M14,F14="")</formula>
    </cfRule>
  </conditionalFormatting>
  <conditionalFormatting sqref="F34">
    <cfRule type="expression" dxfId="1342" priority="112">
      <formula>AND(M34,F34="")</formula>
    </cfRule>
  </conditionalFormatting>
  <conditionalFormatting sqref="F37">
    <cfRule type="expression" dxfId="1341" priority="108">
      <formula>AND(M37,F37="")</formula>
    </cfRule>
  </conditionalFormatting>
  <conditionalFormatting sqref="F42">
    <cfRule type="expression" dxfId="1340" priority="98">
      <formula>NOT($M42)</formula>
    </cfRule>
    <cfRule type="expression" dxfId="1339" priority="99">
      <formula>AND($M42,F42="")</formula>
    </cfRule>
  </conditionalFormatting>
  <conditionalFormatting sqref="F43">
    <cfRule type="expression" dxfId="1338" priority="100">
      <formula>NOT($M42)</formula>
    </cfRule>
  </conditionalFormatting>
  <conditionalFormatting sqref="H42">
    <cfRule type="expression" dxfId="1337" priority="103">
      <formula>AND(M42,H42="")</formula>
    </cfRule>
  </conditionalFormatting>
  <conditionalFormatting sqref="H42:I42">
    <cfRule type="expression" dxfId="1336" priority="101">
      <formula>NOT($M42)</formula>
    </cfRule>
  </conditionalFormatting>
  <conditionalFormatting sqref="I42">
    <cfRule type="expression" dxfId="1335" priority="102">
      <formula>AND(M42,I42="")</formula>
    </cfRule>
  </conditionalFormatting>
  <conditionalFormatting sqref="J42">
    <cfRule type="expression" dxfId="1334" priority="104">
      <formula>M42=FALSE</formula>
    </cfRule>
    <cfRule type="expression" dxfId="1333" priority="105">
      <formula>AND(M42,J42="")</formula>
    </cfRule>
  </conditionalFormatting>
  <conditionalFormatting sqref="F40">
    <cfRule type="expression" dxfId="1332" priority="90">
      <formula>NOT($M40)</formula>
    </cfRule>
    <cfRule type="expression" dxfId="1331" priority="91">
      <formula>AND($M40,F40="")</formula>
    </cfRule>
  </conditionalFormatting>
  <conditionalFormatting sqref="F41">
    <cfRule type="expression" dxfId="1330" priority="92">
      <formula>NOT($M40)</formula>
    </cfRule>
  </conditionalFormatting>
  <conditionalFormatting sqref="H40">
    <cfRule type="expression" dxfId="1329" priority="95">
      <formula>AND(M40,H40="")</formula>
    </cfRule>
  </conditionalFormatting>
  <conditionalFormatting sqref="H40:I40">
    <cfRule type="expression" dxfId="1328" priority="93">
      <formula>NOT($M40)</formula>
    </cfRule>
  </conditionalFormatting>
  <conditionalFormatting sqref="I40">
    <cfRule type="expression" dxfId="1327" priority="94">
      <formula>AND(M40,I40="")</formula>
    </cfRule>
  </conditionalFormatting>
  <conditionalFormatting sqref="J40">
    <cfRule type="expression" dxfId="1326" priority="96">
      <formula>M40=FALSE</formula>
    </cfRule>
    <cfRule type="expression" dxfId="1325" priority="97">
      <formula>AND(M40,J40="")</formula>
    </cfRule>
  </conditionalFormatting>
  <conditionalFormatting sqref="F76">
    <cfRule type="expression" dxfId="1324" priority="69">
      <formula>AND(M76,F76="")</formula>
    </cfRule>
  </conditionalFormatting>
  <conditionalFormatting sqref="F85">
    <cfRule type="expression" dxfId="1323" priority="68">
      <formula>AND(M85,F85="")</formula>
    </cfRule>
  </conditionalFormatting>
  <conditionalFormatting sqref="F88">
    <cfRule type="expression" dxfId="1322" priority="67">
      <formula>AND(M88,F88="")</formula>
    </cfRule>
  </conditionalFormatting>
  <conditionalFormatting sqref="F94">
    <cfRule type="expression" dxfId="1321" priority="66">
      <formula>AND(M94,F94="")</formula>
    </cfRule>
  </conditionalFormatting>
  <conditionalFormatting sqref="H76">
    <cfRule type="expression" dxfId="1320" priority="75">
      <formula>AND(M76,H76="")</formula>
    </cfRule>
  </conditionalFormatting>
  <conditionalFormatting sqref="H85">
    <cfRule type="expression" dxfId="1319" priority="72">
      <formula>AND(M85,H85="")</formula>
    </cfRule>
  </conditionalFormatting>
  <conditionalFormatting sqref="H88">
    <cfRule type="expression" dxfId="1318" priority="85">
      <formula>AND(M88,H88="")</formula>
    </cfRule>
  </conditionalFormatting>
  <conditionalFormatting sqref="H94">
    <cfRule type="expression" dxfId="1317" priority="82">
      <formula>AND(M94,H94="")</formula>
    </cfRule>
  </conditionalFormatting>
  <conditionalFormatting sqref="H76:I76">
    <cfRule type="expression" dxfId="1316" priority="73">
      <formula>NOT($M76)</formula>
    </cfRule>
  </conditionalFormatting>
  <conditionalFormatting sqref="H85:I85">
    <cfRule type="expression" dxfId="1315" priority="70">
      <formula>NOT($M85)</formula>
    </cfRule>
  </conditionalFormatting>
  <conditionalFormatting sqref="H88:I88">
    <cfRule type="expression" dxfId="1314" priority="83">
      <formula>NOT($M88)</formula>
    </cfRule>
  </conditionalFormatting>
  <conditionalFormatting sqref="H94:I94">
    <cfRule type="expression" dxfId="1313" priority="80">
      <formula>NOT($M94)</formula>
    </cfRule>
  </conditionalFormatting>
  <conditionalFormatting sqref="I76">
    <cfRule type="expression" dxfId="1312" priority="74">
      <formula>AND(M76,I76="")</formula>
    </cfRule>
  </conditionalFormatting>
  <conditionalFormatting sqref="I85">
    <cfRule type="expression" dxfId="1311" priority="71">
      <formula>AND(M85,I85="")</formula>
    </cfRule>
  </conditionalFormatting>
  <conditionalFormatting sqref="I88">
    <cfRule type="expression" dxfId="1310" priority="84">
      <formula>AND(M88,I88="")</formula>
    </cfRule>
  </conditionalFormatting>
  <conditionalFormatting sqref="I94">
    <cfRule type="expression" dxfId="1309" priority="81">
      <formula>AND(M94,I94="")</formula>
    </cfRule>
  </conditionalFormatting>
  <conditionalFormatting sqref="J76">
    <cfRule type="expression" dxfId="1308" priority="78">
      <formula>M76=FALSE</formula>
    </cfRule>
    <cfRule type="expression" dxfId="1307" priority="79">
      <formula>AND(M76,J76="")</formula>
    </cfRule>
  </conditionalFormatting>
  <conditionalFormatting sqref="J85">
    <cfRule type="expression" dxfId="1306" priority="76">
      <formula>M85=FALSE</formula>
    </cfRule>
    <cfRule type="expression" dxfId="1305" priority="77">
      <formula>AND(M85,J85="")</formula>
    </cfRule>
  </conditionalFormatting>
  <conditionalFormatting sqref="J88">
    <cfRule type="expression" dxfId="1304" priority="88">
      <formula>M88=FALSE</formula>
    </cfRule>
    <cfRule type="expression" dxfId="1303" priority="89">
      <formula>AND(M88,J88="")</formula>
    </cfRule>
  </conditionalFormatting>
  <conditionalFormatting sqref="J94">
    <cfRule type="expression" dxfId="1302" priority="86">
      <formula>M94=FALSE</formula>
    </cfRule>
    <cfRule type="expression" dxfId="1301" priority="87">
      <formula>AND(M94,J94="")</formula>
    </cfRule>
  </conditionalFormatting>
  <conditionalFormatting sqref="F91">
    <cfRule type="expression" dxfId="1300" priority="42">
      <formula>AND(M91,F91="")</formula>
    </cfRule>
  </conditionalFormatting>
  <conditionalFormatting sqref="H91">
    <cfRule type="expression" dxfId="1299" priority="45">
      <formula>AND(M91,H91="")</formula>
    </cfRule>
  </conditionalFormatting>
  <conditionalFormatting sqref="H91:I91">
    <cfRule type="expression" dxfId="1298" priority="43">
      <formula>NOT($M91)</formula>
    </cfRule>
  </conditionalFormatting>
  <conditionalFormatting sqref="I91">
    <cfRule type="expression" dxfId="1297" priority="44">
      <formula>AND(M91,I91="")</formula>
    </cfRule>
  </conditionalFormatting>
  <conditionalFormatting sqref="J91">
    <cfRule type="expression" dxfId="1296" priority="46">
      <formula>M91=FALSE</formula>
    </cfRule>
    <cfRule type="expression" dxfId="1295" priority="47">
      <formula>AND(M91,J91="")</formula>
    </cfRule>
  </conditionalFormatting>
  <conditionalFormatting sqref="F16:G16">
    <cfRule type="expression" dxfId="1294" priority="29">
      <formula>NOT($N$13)</formula>
    </cfRule>
  </conditionalFormatting>
  <conditionalFormatting sqref="F36:G36">
    <cfRule type="expression" dxfId="1293" priority="27">
      <formula>NOT($N$13)</formula>
    </cfRule>
  </conditionalFormatting>
  <conditionalFormatting sqref="F39:G39">
    <cfRule type="expression" dxfId="1292" priority="25">
      <formula>NOT($N$13)</formula>
    </cfRule>
  </conditionalFormatting>
  <conditionalFormatting sqref="F78:G84">
    <cfRule type="expression" dxfId="1291" priority="23">
      <formula>NOT($N$13)</formula>
    </cfRule>
  </conditionalFormatting>
  <conditionalFormatting sqref="F87:G87">
    <cfRule type="expression" dxfId="1290" priority="21">
      <formula>NOT($N$13)</formula>
    </cfRule>
  </conditionalFormatting>
  <conditionalFormatting sqref="F90:G90">
    <cfRule type="expression" dxfId="1289" priority="19">
      <formula>NOT($N$13)</formula>
    </cfRule>
  </conditionalFormatting>
  <conditionalFormatting sqref="F93:G93">
    <cfRule type="expression" dxfId="1288" priority="17">
      <formula>NOT($N$13)</formula>
    </cfRule>
  </conditionalFormatting>
  <conditionalFormatting sqref="F96:G100">
    <cfRule type="expression" dxfId="1287" priority="15">
      <formula>NOT($N$13)</formula>
    </cfRule>
  </conditionalFormatting>
  <conditionalFormatting sqref="F59">
    <cfRule type="expression" dxfId="1286" priority="12">
      <formula>NOT($M59)</formula>
    </cfRule>
    <cfRule type="expression" dxfId="1285" priority="13">
      <formula>AND($M59,F59="")</formula>
    </cfRule>
  </conditionalFormatting>
  <conditionalFormatting sqref="H59">
    <cfRule type="expression" dxfId="1284" priority="11">
      <formula>AND(M59,H59="")</formula>
    </cfRule>
  </conditionalFormatting>
  <conditionalFormatting sqref="H59:I59">
    <cfRule type="expression" dxfId="1283" priority="9">
      <formula>NOT($M59)</formula>
    </cfRule>
  </conditionalFormatting>
  <conditionalFormatting sqref="I59">
    <cfRule type="expression" dxfId="1282" priority="10">
      <formula>AND(M59,I59="")</formula>
    </cfRule>
  </conditionalFormatting>
  <conditionalFormatting sqref="F57">
    <cfRule type="expression" dxfId="1281" priority="4">
      <formula>NOT($M57)</formula>
    </cfRule>
    <cfRule type="expression" dxfId="1280" priority="5">
      <formula>AND($M57,F57="")</formula>
    </cfRule>
  </conditionalFormatting>
  <conditionalFormatting sqref="F58">
    <cfRule type="expression" dxfId="1279" priority="6">
      <formula>NOT($M57)</formula>
    </cfRule>
  </conditionalFormatting>
  <conditionalFormatting sqref="F57">
    <cfRule type="expression" dxfId="1278" priority="1">
      <formula>NOT($M57)</formula>
    </cfRule>
    <cfRule type="expression" dxfId="1277" priority="2">
      <formula>AND($M57,F57="")</formula>
    </cfRule>
  </conditionalFormatting>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Juni 2023&amp;R&amp;P</oddFooter>
  </headerFooter>
  <rowBreaks count="7" manualBreakCount="7">
    <brk id="24" max="11" man="1"/>
    <brk id="45" max="11" man="1"/>
    <brk id="62" max="11" man="1"/>
    <brk id="90" max="11" man="1"/>
    <brk id="106" max="11" man="1"/>
    <brk id="121" max="11" man="1"/>
    <brk id="15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4" r:id="rId4" name="Kontrollkästchen 2">
              <controlPr defaultSize="0" autoFill="0" autoLine="0" autoPict="0" altText="">
                <anchor moveWithCells="1">
                  <from>
                    <xdr:col>1</xdr:col>
                    <xdr:colOff>0</xdr:colOff>
                    <xdr:row>16</xdr:row>
                    <xdr:rowOff>0</xdr:rowOff>
                  </from>
                  <to>
                    <xdr:col>2</xdr:col>
                    <xdr:colOff>0</xdr:colOff>
                    <xdr:row>16</xdr:row>
                    <xdr:rowOff>209550</xdr:rowOff>
                  </to>
                </anchor>
              </controlPr>
            </control>
          </mc:Choice>
        </mc:AlternateContent>
        <mc:AlternateContent xmlns:mc="http://schemas.openxmlformats.org/markup-compatibility/2006">
          <mc:Choice Requires="x14">
            <control shapeId="69870" r:id="rId5" name="Check Box 1262">
              <controlPr defaultSize="0" autoFill="0" autoLine="0" autoPict="0" altText="">
                <anchor moveWithCells="1">
                  <from>
                    <xdr:col>1</xdr:col>
                    <xdr:colOff>0</xdr:colOff>
                    <xdr:row>13</xdr:row>
                    <xdr:rowOff>0</xdr:rowOff>
                  </from>
                  <to>
                    <xdr:col>2</xdr:col>
                    <xdr:colOff>0</xdr:colOff>
                    <xdr:row>13</xdr:row>
                    <xdr:rowOff>209550</xdr:rowOff>
                  </to>
                </anchor>
              </controlPr>
            </control>
          </mc:Choice>
        </mc:AlternateContent>
        <mc:AlternateContent xmlns:mc="http://schemas.openxmlformats.org/markup-compatibility/2006">
          <mc:Choice Requires="x14">
            <control shapeId="69871" r:id="rId6" name="Check Box 1263">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69872" r:id="rId7" name="Check Box 1264">
              <controlPr defaultSize="0" autoFill="0" autoLine="0" autoPict="0" altText="">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69874" r:id="rId8" name="Check Box 1266">
              <controlPr defaultSize="0" autoFill="0" autoLine="0" autoPict="0" altText="">
                <anchor moveWithCells="1">
                  <from>
                    <xdr:col>1</xdr:col>
                    <xdr:colOff>0</xdr:colOff>
                    <xdr:row>25</xdr:row>
                    <xdr:rowOff>0</xdr:rowOff>
                  </from>
                  <to>
                    <xdr:col>2</xdr:col>
                    <xdr:colOff>0</xdr:colOff>
                    <xdr:row>25</xdr:row>
                    <xdr:rowOff>209550</xdr:rowOff>
                  </to>
                </anchor>
              </controlPr>
            </control>
          </mc:Choice>
        </mc:AlternateContent>
        <mc:AlternateContent xmlns:mc="http://schemas.openxmlformats.org/markup-compatibility/2006">
          <mc:Choice Requires="x14">
            <control shapeId="69875" r:id="rId9" name="Check Box 1267">
              <controlPr defaultSize="0" autoFill="0" autoLine="0" autoPict="0" altText="">
                <anchor moveWithCells="1">
                  <from>
                    <xdr:col>1</xdr:col>
                    <xdr:colOff>0</xdr:colOff>
                    <xdr:row>27</xdr:row>
                    <xdr:rowOff>0</xdr:rowOff>
                  </from>
                  <to>
                    <xdr:col>2</xdr:col>
                    <xdr:colOff>0</xdr:colOff>
                    <xdr:row>27</xdr:row>
                    <xdr:rowOff>209550</xdr:rowOff>
                  </to>
                </anchor>
              </controlPr>
            </control>
          </mc:Choice>
        </mc:AlternateContent>
        <mc:AlternateContent xmlns:mc="http://schemas.openxmlformats.org/markup-compatibility/2006">
          <mc:Choice Requires="x14">
            <control shapeId="69876" r:id="rId10" name="Check Box 1268">
              <controlPr defaultSize="0" autoFill="0" autoLine="0" autoPict="0" altText="">
                <anchor moveWithCells="1">
                  <from>
                    <xdr:col>1</xdr:col>
                    <xdr:colOff>0</xdr:colOff>
                    <xdr:row>29</xdr:row>
                    <xdr:rowOff>0</xdr:rowOff>
                  </from>
                  <to>
                    <xdr:col>2</xdr:col>
                    <xdr:colOff>0</xdr:colOff>
                    <xdr:row>29</xdr:row>
                    <xdr:rowOff>209550</xdr:rowOff>
                  </to>
                </anchor>
              </controlPr>
            </control>
          </mc:Choice>
        </mc:AlternateContent>
        <mc:AlternateContent xmlns:mc="http://schemas.openxmlformats.org/markup-compatibility/2006">
          <mc:Choice Requires="x14">
            <control shapeId="69877" r:id="rId11" name="Check Box 1269">
              <controlPr defaultSize="0" autoFill="0" autoLine="0" autoPict="0" altText="">
                <anchor moveWithCells="1">
                  <from>
                    <xdr:col>1</xdr:col>
                    <xdr:colOff>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69878" r:id="rId12" name="Check Box 1270">
              <controlPr defaultSize="0" autoFill="0" autoLine="0" autoPict="0" altText="">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69879" r:id="rId13" name="Check Box 1271">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69884" r:id="rId14" name="Check Box 1276">
              <controlPr defaultSize="0" autoFill="0" autoLine="0" autoPict="0" altText="">
                <anchor moveWithCells="1">
                  <from>
                    <xdr:col>1</xdr:col>
                    <xdr:colOff>0</xdr:colOff>
                    <xdr:row>46</xdr:row>
                    <xdr:rowOff>0</xdr:rowOff>
                  </from>
                  <to>
                    <xdr:col>2</xdr:col>
                    <xdr:colOff>0</xdr:colOff>
                    <xdr:row>46</xdr:row>
                    <xdr:rowOff>209550</xdr:rowOff>
                  </to>
                </anchor>
              </controlPr>
            </control>
          </mc:Choice>
        </mc:AlternateContent>
        <mc:AlternateContent xmlns:mc="http://schemas.openxmlformats.org/markup-compatibility/2006">
          <mc:Choice Requires="x14">
            <control shapeId="69885" r:id="rId15" name="Check Box 1277">
              <controlPr defaultSize="0" autoFill="0" autoLine="0" autoPict="0" altText="">
                <anchor moveWithCells="1">
                  <from>
                    <xdr:col>1</xdr:col>
                    <xdr:colOff>0</xdr:colOff>
                    <xdr:row>48</xdr:row>
                    <xdr:rowOff>0</xdr:rowOff>
                  </from>
                  <to>
                    <xdr:col>2</xdr:col>
                    <xdr:colOff>0</xdr:colOff>
                    <xdr:row>49</xdr:row>
                    <xdr:rowOff>0</xdr:rowOff>
                  </to>
                </anchor>
              </controlPr>
            </control>
          </mc:Choice>
        </mc:AlternateContent>
        <mc:AlternateContent xmlns:mc="http://schemas.openxmlformats.org/markup-compatibility/2006">
          <mc:Choice Requires="x14">
            <control shapeId="69886" r:id="rId16" name="Check Box 1278">
              <controlPr defaultSize="0" autoFill="0" autoLine="0" autoPict="0" altText="">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69887" r:id="rId17" name="Check Box 1279">
              <controlPr defaultSize="0" autoFill="0" autoLine="0" autoPict="0" altText="">
                <anchor moveWithCells="1">
                  <from>
                    <xdr:col>1</xdr:col>
                    <xdr:colOff>0</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69888" r:id="rId18" name="Check Box 1280">
              <controlPr defaultSize="0" autoFill="0" autoLine="0" autoPict="0" altText="">
                <anchor moveWithCells="1">
                  <from>
                    <xdr:col>1</xdr:col>
                    <xdr:colOff>0</xdr:colOff>
                    <xdr:row>54</xdr:row>
                    <xdr:rowOff>0</xdr:rowOff>
                  </from>
                  <to>
                    <xdr:col>2</xdr:col>
                    <xdr:colOff>0</xdr:colOff>
                    <xdr:row>54</xdr:row>
                    <xdr:rowOff>209550</xdr:rowOff>
                  </to>
                </anchor>
              </controlPr>
            </control>
          </mc:Choice>
        </mc:AlternateContent>
        <mc:AlternateContent xmlns:mc="http://schemas.openxmlformats.org/markup-compatibility/2006">
          <mc:Choice Requires="x14">
            <control shapeId="69889" r:id="rId19" name="Check Box 1281">
              <controlPr defaultSize="0" autoFill="0" autoLine="0" autoPict="0" altText="">
                <anchor moveWithCells="1">
                  <from>
                    <xdr:col>1</xdr:col>
                    <xdr:colOff>0</xdr:colOff>
                    <xdr:row>56</xdr:row>
                    <xdr:rowOff>0</xdr:rowOff>
                  </from>
                  <to>
                    <xdr:col>2</xdr:col>
                    <xdr:colOff>0</xdr:colOff>
                    <xdr:row>57</xdr:row>
                    <xdr:rowOff>0</xdr:rowOff>
                  </to>
                </anchor>
              </controlPr>
            </control>
          </mc:Choice>
        </mc:AlternateContent>
        <mc:AlternateContent xmlns:mc="http://schemas.openxmlformats.org/markup-compatibility/2006">
          <mc:Choice Requires="x14">
            <control shapeId="69890" r:id="rId20" name="Check Box 1282">
              <controlPr defaultSize="0" autoFill="0" autoLine="0" autoPict="0" altText="">
                <anchor moveWithCells="1">
                  <from>
                    <xdr:col>1</xdr:col>
                    <xdr:colOff>0</xdr:colOff>
                    <xdr:row>58</xdr:row>
                    <xdr:rowOff>0</xdr:rowOff>
                  </from>
                  <to>
                    <xdr:col>2</xdr:col>
                    <xdr:colOff>0</xdr:colOff>
                    <xdr:row>59</xdr:row>
                    <xdr:rowOff>0</xdr:rowOff>
                  </to>
                </anchor>
              </controlPr>
            </control>
          </mc:Choice>
        </mc:AlternateContent>
        <mc:AlternateContent xmlns:mc="http://schemas.openxmlformats.org/markup-compatibility/2006">
          <mc:Choice Requires="x14">
            <control shapeId="69899" r:id="rId21" name="Check Box 1291">
              <controlPr defaultSize="0" autoFill="0" autoLine="0" autoPict="0" altText="">
                <anchor moveWithCells="1">
                  <from>
                    <xdr:col>1</xdr:col>
                    <xdr:colOff>0</xdr:colOff>
                    <xdr:row>63</xdr:row>
                    <xdr:rowOff>0</xdr:rowOff>
                  </from>
                  <to>
                    <xdr:col>2</xdr:col>
                    <xdr:colOff>0</xdr:colOff>
                    <xdr:row>63</xdr:row>
                    <xdr:rowOff>209550</xdr:rowOff>
                  </to>
                </anchor>
              </controlPr>
            </control>
          </mc:Choice>
        </mc:AlternateContent>
        <mc:AlternateContent xmlns:mc="http://schemas.openxmlformats.org/markup-compatibility/2006">
          <mc:Choice Requires="x14">
            <control shapeId="69900" r:id="rId22" name="Check Box 1292">
              <controlPr defaultSize="0" autoFill="0" autoLine="0" autoPict="0" altText="">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69901" r:id="rId23" name="Check Box 1293">
              <controlPr defaultSize="0" autoFill="0" autoLine="0" autoPict="0" altText="">
                <anchor moveWithCells="1">
                  <from>
                    <xdr:col>1</xdr:col>
                    <xdr:colOff>0</xdr:colOff>
                    <xdr:row>73</xdr:row>
                    <xdr:rowOff>0</xdr:rowOff>
                  </from>
                  <to>
                    <xdr:col>2</xdr:col>
                    <xdr:colOff>0</xdr:colOff>
                    <xdr:row>73</xdr:row>
                    <xdr:rowOff>209550</xdr:rowOff>
                  </to>
                </anchor>
              </controlPr>
            </control>
          </mc:Choice>
        </mc:AlternateContent>
        <mc:AlternateContent xmlns:mc="http://schemas.openxmlformats.org/markup-compatibility/2006">
          <mc:Choice Requires="x14">
            <control shapeId="69902" r:id="rId24" name="Check Box 1294">
              <controlPr defaultSize="0" autoFill="0" autoLine="0" autoPict="0" altText="">
                <anchor moveWithCells="1">
                  <from>
                    <xdr:col>1</xdr:col>
                    <xdr:colOff>0</xdr:colOff>
                    <xdr:row>100</xdr:row>
                    <xdr:rowOff>0</xdr:rowOff>
                  </from>
                  <to>
                    <xdr:col>2</xdr:col>
                    <xdr:colOff>0</xdr:colOff>
                    <xdr:row>101</xdr:row>
                    <xdr:rowOff>0</xdr:rowOff>
                  </to>
                </anchor>
              </controlPr>
            </control>
          </mc:Choice>
        </mc:AlternateContent>
        <mc:AlternateContent xmlns:mc="http://schemas.openxmlformats.org/markup-compatibility/2006">
          <mc:Choice Requires="x14">
            <control shapeId="69903" r:id="rId25" name="Check Box 1295">
              <controlPr defaultSize="0" autoFill="0" autoLine="0" autoPict="0" altText="">
                <anchor moveWithCells="1">
                  <from>
                    <xdr:col>1</xdr:col>
                    <xdr:colOff>0</xdr:colOff>
                    <xdr:row>102</xdr:row>
                    <xdr:rowOff>0</xdr:rowOff>
                  </from>
                  <to>
                    <xdr:col>2</xdr:col>
                    <xdr:colOff>0</xdr:colOff>
                    <xdr:row>103</xdr:row>
                    <xdr:rowOff>0</xdr:rowOff>
                  </to>
                </anchor>
              </controlPr>
            </control>
          </mc:Choice>
        </mc:AlternateContent>
        <mc:AlternateContent xmlns:mc="http://schemas.openxmlformats.org/markup-compatibility/2006">
          <mc:Choice Requires="x14">
            <control shapeId="69904" r:id="rId26" name="Check Box 1296">
              <controlPr defaultSize="0" autoFill="0" autoLine="0" autoPict="0" altText="">
                <anchor moveWithCells="1">
                  <from>
                    <xdr:col>1</xdr:col>
                    <xdr:colOff>0</xdr:colOff>
                    <xdr:row>107</xdr:row>
                    <xdr:rowOff>0</xdr:rowOff>
                  </from>
                  <to>
                    <xdr:col>2</xdr:col>
                    <xdr:colOff>0</xdr:colOff>
                    <xdr:row>107</xdr:row>
                    <xdr:rowOff>209550</xdr:rowOff>
                  </to>
                </anchor>
              </controlPr>
            </control>
          </mc:Choice>
        </mc:AlternateContent>
        <mc:AlternateContent xmlns:mc="http://schemas.openxmlformats.org/markup-compatibility/2006">
          <mc:Choice Requires="x14">
            <control shapeId="69905" r:id="rId27" name="Check Box 1297">
              <controlPr defaultSize="0" autoFill="0" autoLine="0" autoPict="0" altText="">
                <anchor moveWithCells="1">
                  <from>
                    <xdr:col>1</xdr:col>
                    <xdr:colOff>0</xdr:colOff>
                    <xdr:row>109</xdr:row>
                    <xdr:rowOff>0</xdr:rowOff>
                  </from>
                  <to>
                    <xdr:col>2</xdr:col>
                    <xdr:colOff>0</xdr:colOff>
                    <xdr:row>110</xdr:row>
                    <xdr:rowOff>0</xdr:rowOff>
                  </to>
                </anchor>
              </controlPr>
            </control>
          </mc:Choice>
        </mc:AlternateContent>
        <mc:AlternateContent xmlns:mc="http://schemas.openxmlformats.org/markup-compatibility/2006">
          <mc:Choice Requires="x14">
            <control shapeId="69906" r:id="rId28" name="Check Box 1298">
              <controlPr defaultSize="0" autoFill="0" autoLine="0" autoPict="0" altText="">
                <anchor moveWithCells="1">
                  <from>
                    <xdr:col>1</xdr:col>
                    <xdr:colOff>0</xdr:colOff>
                    <xdr:row>111</xdr:row>
                    <xdr:rowOff>0</xdr:rowOff>
                  </from>
                  <to>
                    <xdr:col>2</xdr:col>
                    <xdr:colOff>0</xdr:colOff>
                    <xdr:row>111</xdr:row>
                    <xdr:rowOff>209550</xdr:rowOff>
                  </to>
                </anchor>
              </controlPr>
            </control>
          </mc:Choice>
        </mc:AlternateContent>
        <mc:AlternateContent xmlns:mc="http://schemas.openxmlformats.org/markup-compatibility/2006">
          <mc:Choice Requires="x14">
            <control shapeId="69907" r:id="rId29" name="Check Box 1299">
              <controlPr defaultSize="0" autoFill="0" autoLine="0" autoPict="0" altText="">
                <anchor moveWithCells="1">
                  <from>
                    <xdr:col>1</xdr:col>
                    <xdr:colOff>0</xdr:colOff>
                    <xdr:row>113</xdr:row>
                    <xdr:rowOff>0</xdr:rowOff>
                  </from>
                  <to>
                    <xdr:col>2</xdr:col>
                    <xdr:colOff>0</xdr:colOff>
                    <xdr:row>113</xdr:row>
                    <xdr:rowOff>209550</xdr:rowOff>
                  </to>
                </anchor>
              </controlPr>
            </control>
          </mc:Choice>
        </mc:AlternateContent>
        <mc:AlternateContent xmlns:mc="http://schemas.openxmlformats.org/markup-compatibility/2006">
          <mc:Choice Requires="x14">
            <control shapeId="69908" r:id="rId30" name="Check Box 1300">
              <controlPr defaultSize="0" autoFill="0" autoLine="0" autoPict="0" altText="">
                <anchor moveWithCells="1">
                  <from>
                    <xdr:col>1</xdr:col>
                    <xdr:colOff>0</xdr:colOff>
                    <xdr:row>115</xdr:row>
                    <xdr:rowOff>0</xdr:rowOff>
                  </from>
                  <to>
                    <xdr:col>2</xdr:col>
                    <xdr:colOff>0</xdr:colOff>
                    <xdr:row>115</xdr:row>
                    <xdr:rowOff>209550</xdr:rowOff>
                  </to>
                </anchor>
              </controlPr>
            </control>
          </mc:Choice>
        </mc:AlternateContent>
        <mc:AlternateContent xmlns:mc="http://schemas.openxmlformats.org/markup-compatibility/2006">
          <mc:Choice Requires="x14">
            <control shapeId="69909" r:id="rId31" name="Check Box 1301">
              <controlPr defaultSize="0" autoFill="0" autoLine="0" autoPict="0" altText="">
                <anchor moveWithCells="1">
                  <from>
                    <xdr:col>1</xdr:col>
                    <xdr:colOff>0</xdr:colOff>
                    <xdr:row>117</xdr:row>
                    <xdr:rowOff>0</xdr:rowOff>
                  </from>
                  <to>
                    <xdr:col>2</xdr:col>
                    <xdr:colOff>0</xdr:colOff>
                    <xdr:row>118</xdr:row>
                    <xdr:rowOff>0</xdr:rowOff>
                  </to>
                </anchor>
              </controlPr>
            </control>
          </mc:Choice>
        </mc:AlternateContent>
        <mc:AlternateContent xmlns:mc="http://schemas.openxmlformats.org/markup-compatibility/2006">
          <mc:Choice Requires="x14">
            <control shapeId="69910" r:id="rId32" name="Check Box 1302">
              <controlPr defaultSize="0" autoFill="0" autoLine="0" autoPict="0" altText="">
                <anchor moveWithCells="1">
                  <from>
                    <xdr:col>1</xdr:col>
                    <xdr:colOff>0</xdr:colOff>
                    <xdr:row>122</xdr:row>
                    <xdr:rowOff>0</xdr:rowOff>
                  </from>
                  <to>
                    <xdr:col>2</xdr:col>
                    <xdr:colOff>0</xdr:colOff>
                    <xdr:row>122</xdr:row>
                    <xdr:rowOff>209550</xdr:rowOff>
                  </to>
                </anchor>
              </controlPr>
            </control>
          </mc:Choice>
        </mc:AlternateContent>
        <mc:AlternateContent xmlns:mc="http://schemas.openxmlformats.org/markup-compatibility/2006">
          <mc:Choice Requires="x14">
            <control shapeId="69911" r:id="rId33" name="Check Box 1303">
              <controlPr defaultSize="0" autoFill="0" autoLine="0" autoPict="0" altText="">
                <anchor moveWithCells="1">
                  <from>
                    <xdr:col>1</xdr:col>
                    <xdr:colOff>0</xdr:colOff>
                    <xdr:row>131</xdr:row>
                    <xdr:rowOff>0</xdr:rowOff>
                  </from>
                  <to>
                    <xdr:col>2</xdr:col>
                    <xdr:colOff>0</xdr:colOff>
                    <xdr:row>132</xdr:row>
                    <xdr:rowOff>0</xdr:rowOff>
                  </to>
                </anchor>
              </controlPr>
            </control>
          </mc:Choice>
        </mc:AlternateContent>
        <mc:AlternateContent xmlns:mc="http://schemas.openxmlformats.org/markup-compatibility/2006">
          <mc:Choice Requires="x14">
            <control shapeId="69912" r:id="rId34" name="Check Box 1304">
              <controlPr defaultSize="0" autoFill="0" autoLine="0" autoPict="0" altText="">
                <anchor moveWithCells="1">
                  <from>
                    <xdr:col>1</xdr:col>
                    <xdr:colOff>0</xdr:colOff>
                    <xdr:row>133</xdr:row>
                    <xdr:rowOff>0</xdr:rowOff>
                  </from>
                  <to>
                    <xdr:col>2</xdr:col>
                    <xdr:colOff>0</xdr:colOff>
                    <xdr:row>134</xdr:row>
                    <xdr:rowOff>0</xdr:rowOff>
                  </to>
                </anchor>
              </controlPr>
            </control>
          </mc:Choice>
        </mc:AlternateContent>
        <mc:AlternateContent xmlns:mc="http://schemas.openxmlformats.org/markup-compatibility/2006">
          <mc:Choice Requires="x14">
            <control shapeId="69913" r:id="rId35" name="Check Box 1305">
              <controlPr defaultSize="0" autoFill="0" autoLine="0" autoPict="0" altText="">
                <anchor moveWithCells="1">
                  <from>
                    <xdr:col>1</xdr:col>
                    <xdr:colOff>0</xdr:colOff>
                    <xdr:row>138</xdr:row>
                    <xdr:rowOff>0</xdr:rowOff>
                  </from>
                  <to>
                    <xdr:col>2</xdr:col>
                    <xdr:colOff>0</xdr:colOff>
                    <xdr:row>138</xdr:row>
                    <xdr:rowOff>209550</xdr:rowOff>
                  </to>
                </anchor>
              </controlPr>
            </control>
          </mc:Choice>
        </mc:AlternateContent>
        <mc:AlternateContent xmlns:mc="http://schemas.openxmlformats.org/markup-compatibility/2006">
          <mc:Choice Requires="x14">
            <control shapeId="69914" r:id="rId36" name="Check Box 1306">
              <controlPr defaultSize="0" autoFill="0" autoLine="0" autoPict="0" altText="">
                <anchor moveWithCells="1">
                  <from>
                    <xdr:col>1</xdr:col>
                    <xdr:colOff>0</xdr:colOff>
                    <xdr:row>144</xdr:row>
                    <xdr:rowOff>0</xdr:rowOff>
                  </from>
                  <to>
                    <xdr:col>2</xdr:col>
                    <xdr:colOff>0</xdr:colOff>
                    <xdr:row>144</xdr:row>
                    <xdr:rowOff>209550</xdr:rowOff>
                  </to>
                </anchor>
              </controlPr>
            </control>
          </mc:Choice>
        </mc:AlternateContent>
        <mc:AlternateContent xmlns:mc="http://schemas.openxmlformats.org/markup-compatibility/2006">
          <mc:Choice Requires="x14">
            <control shapeId="69915" r:id="rId37" name="Check Box 1307">
              <controlPr defaultSize="0" autoFill="0" autoLine="0" autoPict="0" altText="">
                <anchor moveWithCells="1">
                  <from>
                    <xdr:col>1</xdr:col>
                    <xdr:colOff>0</xdr:colOff>
                    <xdr:row>146</xdr:row>
                    <xdr:rowOff>0</xdr:rowOff>
                  </from>
                  <to>
                    <xdr:col>2</xdr:col>
                    <xdr:colOff>0</xdr:colOff>
                    <xdr:row>147</xdr:row>
                    <xdr:rowOff>0</xdr:rowOff>
                  </to>
                </anchor>
              </controlPr>
            </control>
          </mc:Choice>
        </mc:AlternateContent>
        <mc:AlternateContent xmlns:mc="http://schemas.openxmlformats.org/markup-compatibility/2006">
          <mc:Choice Requires="x14">
            <control shapeId="69916" r:id="rId38" name="Check Box 1308">
              <controlPr defaultSize="0" autoFill="0" autoLine="0" autoPict="0" altText="">
                <anchor moveWithCells="1">
                  <from>
                    <xdr:col>1</xdr:col>
                    <xdr:colOff>0</xdr:colOff>
                    <xdr:row>151</xdr:row>
                    <xdr:rowOff>0</xdr:rowOff>
                  </from>
                  <to>
                    <xdr:col>2</xdr:col>
                    <xdr:colOff>0</xdr:colOff>
                    <xdr:row>152</xdr:row>
                    <xdr:rowOff>0</xdr:rowOff>
                  </to>
                </anchor>
              </controlPr>
            </control>
          </mc:Choice>
        </mc:AlternateContent>
        <mc:AlternateContent xmlns:mc="http://schemas.openxmlformats.org/markup-compatibility/2006">
          <mc:Choice Requires="x14">
            <control shapeId="69920" r:id="rId39" name="Check Box 1312">
              <controlPr defaultSize="0" autoFill="0" autoLine="0" autoPict="0" altText="">
                <anchor moveWithCells="1">
                  <from>
                    <xdr:col>1</xdr:col>
                    <xdr:colOff>0</xdr:colOff>
                    <xdr:row>153</xdr:row>
                    <xdr:rowOff>0</xdr:rowOff>
                  </from>
                  <to>
                    <xdr:col>2</xdr:col>
                    <xdr:colOff>0</xdr:colOff>
                    <xdr:row>154</xdr:row>
                    <xdr:rowOff>0</xdr:rowOff>
                  </to>
                </anchor>
              </controlPr>
            </control>
          </mc:Choice>
        </mc:AlternateContent>
        <mc:AlternateContent xmlns:mc="http://schemas.openxmlformats.org/markup-compatibility/2006">
          <mc:Choice Requires="x14">
            <control shapeId="69921" r:id="rId40" name="Check Box 1313">
              <controlPr defaultSize="0" autoFill="0" autoLine="0" autoPict="0" altText="">
                <anchor moveWithCells="1">
                  <from>
                    <xdr:col>1</xdr:col>
                    <xdr:colOff>0</xdr:colOff>
                    <xdr:row>155</xdr:row>
                    <xdr:rowOff>0</xdr:rowOff>
                  </from>
                  <to>
                    <xdr:col>2</xdr:col>
                    <xdr:colOff>0</xdr:colOff>
                    <xdr:row>156</xdr:row>
                    <xdr:rowOff>0</xdr:rowOff>
                  </to>
                </anchor>
              </controlPr>
            </control>
          </mc:Choice>
        </mc:AlternateContent>
        <mc:AlternateContent xmlns:mc="http://schemas.openxmlformats.org/markup-compatibility/2006">
          <mc:Choice Requires="x14">
            <control shapeId="69925" r:id="rId41" name="Check Box 1317">
              <controlPr defaultSize="0" autoFill="0" autoLine="0" autoPict="0" altText="">
                <anchor moveWithCells="1">
                  <from>
                    <xdr:col>1</xdr:col>
                    <xdr:colOff>0</xdr:colOff>
                    <xdr:row>157</xdr:row>
                    <xdr:rowOff>0</xdr:rowOff>
                  </from>
                  <to>
                    <xdr:col>2</xdr:col>
                    <xdr:colOff>0</xdr:colOff>
                    <xdr:row>157</xdr:row>
                    <xdr:rowOff>209550</xdr:rowOff>
                  </to>
                </anchor>
              </controlPr>
            </control>
          </mc:Choice>
        </mc:AlternateContent>
        <mc:AlternateContent xmlns:mc="http://schemas.openxmlformats.org/markup-compatibility/2006">
          <mc:Choice Requires="x14">
            <control shapeId="69926" r:id="rId42" name="Check Box 1318">
              <controlPr defaultSize="0" autoFill="0" autoLine="0" autoPict="0" altText="">
                <anchor moveWithCells="1">
                  <from>
                    <xdr:col>1</xdr:col>
                    <xdr:colOff>0</xdr:colOff>
                    <xdr:row>159</xdr:row>
                    <xdr:rowOff>0</xdr:rowOff>
                  </from>
                  <to>
                    <xdr:col>2</xdr:col>
                    <xdr:colOff>0</xdr:colOff>
                    <xdr:row>160</xdr:row>
                    <xdr:rowOff>0</xdr:rowOff>
                  </to>
                </anchor>
              </controlPr>
            </control>
          </mc:Choice>
        </mc:AlternateContent>
        <mc:AlternateContent xmlns:mc="http://schemas.openxmlformats.org/markup-compatibility/2006">
          <mc:Choice Requires="x14">
            <control shapeId="69927" r:id="rId43" name="Check Box 1319">
              <controlPr defaultSize="0" autoFill="0" autoLine="0" autoPict="0" altText="">
                <anchor moveWithCells="1">
                  <from>
                    <xdr:col>1</xdr:col>
                    <xdr:colOff>0</xdr:colOff>
                    <xdr:row>161</xdr:row>
                    <xdr:rowOff>0</xdr:rowOff>
                  </from>
                  <to>
                    <xdr:col>2</xdr:col>
                    <xdr:colOff>0</xdr:colOff>
                    <xdr:row>162</xdr:row>
                    <xdr:rowOff>0</xdr:rowOff>
                  </to>
                </anchor>
              </controlPr>
            </control>
          </mc:Choice>
        </mc:AlternateContent>
        <mc:AlternateContent xmlns:mc="http://schemas.openxmlformats.org/markup-compatibility/2006">
          <mc:Choice Requires="x14">
            <control shapeId="69928" r:id="rId44" name="Check Box 1320">
              <controlPr defaultSize="0" autoFill="0" autoLine="0" autoPict="0" altText="">
                <anchor moveWithCells="1">
                  <from>
                    <xdr:col>1</xdr:col>
                    <xdr:colOff>0</xdr:colOff>
                    <xdr:row>163</xdr:row>
                    <xdr:rowOff>0</xdr:rowOff>
                  </from>
                  <to>
                    <xdr:col>2</xdr:col>
                    <xdr:colOff>0</xdr:colOff>
                    <xdr:row>164</xdr:row>
                    <xdr:rowOff>0</xdr:rowOff>
                  </to>
                </anchor>
              </controlPr>
            </control>
          </mc:Choice>
        </mc:AlternateContent>
        <mc:AlternateContent xmlns:mc="http://schemas.openxmlformats.org/markup-compatibility/2006">
          <mc:Choice Requires="x14">
            <control shapeId="69929" r:id="rId45" name="Check Box 1321">
              <controlPr defaultSize="0" autoFill="0" autoLine="0" autoPict="0" altText="">
                <anchor moveWithCells="1">
                  <from>
                    <xdr:col>1</xdr:col>
                    <xdr:colOff>0</xdr:colOff>
                    <xdr:row>165</xdr:row>
                    <xdr:rowOff>0</xdr:rowOff>
                  </from>
                  <to>
                    <xdr:col>2</xdr:col>
                    <xdr:colOff>0</xdr:colOff>
                    <xdr:row>166</xdr:row>
                    <xdr:rowOff>0</xdr:rowOff>
                  </to>
                </anchor>
              </controlPr>
            </control>
          </mc:Choice>
        </mc:AlternateContent>
        <mc:AlternateContent xmlns:mc="http://schemas.openxmlformats.org/markup-compatibility/2006">
          <mc:Choice Requires="x14">
            <control shapeId="69930" r:id="rId46" name="Check Box 1322">
              <controlPr defaultSize="0" autoFill="0" autoLine="0" autoPict="0" altText="">
                <anchor moveWithCells="1">
                  <from>
                    <xdr:col>1</xdr:col>
                    <xdr:colOff>0</xdr:colOff>
                    <xdr:row>170</xdr:row>
                    <xdr:rowOff>0</xdr:rowOff>
                  </from>
                  <to>
                    <xdr:col>2</xdr:col>
                    <xdr:colOff>0</xdr:colOff>
                    <xdr:row>170</xdr:row>
                    <xdr:rowOff>209550</xdr:rowOff>
                  </to>
                </anchor>
              </controlPr>
            </control>
          </mc:Choice>
        </mc:AlternateContent>
        <mc:AlternateContent xmlns:mc="http://schemas.openxmlformats.org/markup-compatibility/2006">
          <mc:Choice Requires="x14">
            <control shapeId="69931" r:id="rId47" name="Check Box 1323">
              <controlPr defaultSize="0" autoFill="0" autoLine="0" autoPict="0" altText="">
                <anchor moveWithCells="1">
                  <from>
                    <xdr:col>1</xdr:col>
                    <xdr:colOff>0</xdr:colOff>
                    <xdr:row>172</xdr:row>
                    <xdr:rowOff>0</xdr:rowOff>
                  </from>
                  <to>
                    <xdr:col>2</xdr:col>
                    <xdr:colOff>0</xdr:colOff>
                    <xdr:row>173</xdr:row>
                    <xdr:rowOff>0</xdr:rowOff>
                  </to>
                </anchor>
              </controlPr>
            </control>
          </mc:Choice>
        </mc:AlternateContent>
        <mc:AlternateContent xmlns:mc="http://schemas.openxmlformats.org/markup-compatibility/2006">
          <mc:Choice Requires="x14">
            <control shapeId="69932" r:id="rId48" name="Check Box 1324">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mc:AlternateContent xmlns:mc="http://schemas.openxmlformats.org/markup-compatibility/2006">
          <mc:Choice Requires="x14">
            <control shapeId="69933" r:id="rId49" name="Check Box 1325">
              <controlPr defaultSize="0" autoFill="0" autoLine="0" autoPict="0" altText="">
                <anchor moveWithCells="1">
                  <from>
                    <xdr:col>1</xdr:col>
                    <xdr:colOff>0</xdr:colOff>
                    <xdr:row>67</xdr:row>
                    <xdr:rowOff>0</xdr:rowOff>
                  </from>
                  <to>
                    <xdr:col>2</xdr:col>
                    <xdr:colOff>0</xdr:colOff>
                    <xdr:row>67</xdr:row>
                    <xdr:rowOff>209550</xdr:rowOff>
                  </to>
                </anchor>
              </controlPr>
            </control>
          </mc:Choice>
        </mc:AlternateContent>
        <mc:AlternateContent xmlns:mc="http://schemas.openxmlformats.org/markup-compatibility/2006">
          <mc:Choice Requires="x14">
            <control shapeId="69934" r:id="rId50" name="Check Box 1326">
              <controlPr defaultSize="0" autoFill="0" autoLine="0" autoPict="0" altText="">
                <anchor moveWithCells="1">
                  <from>
                    <xdr:col>1</xdr:col>
                    <xdr:colOff>0</xdr:colOff>
                    <xdr:row>69</xdr:row>
                    <xdr:rowOff>0</xdr:rowOff>
                  </from>
                  <to>
                    <xdr:col>2</xdr:col>
                    <xdr:colOff>0</xdr:colOff>
                    <xdr:row>69</xdr:row>
                    <xdr:rowOff>209550</xdr:rowOff>
                  </to>
                </anchor>
              </controlPr>
            </control>
          </mc:Choice>
        </mc:AlternateContent>
        <mc:AlternateContent xmlns:mc="http://schemas.openxmlformats.org/markup-compatibility/2006">
          <mc:Choice Requires="x14">
            <control shapeId="69935" r:id="rId51" name="Check Box 1327">
              <controlPr defaultSize="0" autoFill="0" autoLine="0" autoPict="0" altText="">
                <anchor moveWithCells="1">
                  <from>
                    <xdr:col>1</xdr:col>
                    <xdr:colOff>0</xdr:colOff>
                    <xdr:row>129</xdr:row>
                    <xdr:rowOff>0</xdr:rowOff>
                  </from>
                  <to>
                    <xdr:col>2</xdr:col>
                    <xdr:colOff>0</xdr:colOff>
                    <xdr:row>130</xdr:row>
                    <xdr:rowOff>0</xdr:rowOff>
                  </to>
                </anchor>
              </controlPr>
            </control>
          </mc:Choice>
        </mc:AlternateContent>
        <mc:AlternateContent xmlns:mc="http://schemas.openxmlformats.org/markup-compatibility/2006">
          <mc:Choice Requires="x14">
            <control shapeId="69936" r:id="rId52" name="Check Box 1328">
              <controlPr defaultSize="0" autoFill="0" autoLine="0" autoPict="0" altText="">
                <anchor moveWithCells="1">
                  <from>
                    <xdr:col>1</xdr:col>
                    <xdr:colOff>0</xdr:colOff>
                    <xdr:row>127</xdr:row>
                    <xdr:rowOff>0</xdr:rowOff>
                  </from>
                  <to>
                    <xdr:col>2</xdr:col>
                    <xdr:colOff>0</xdr:colOff>
                    <xdr:row>128</xdr:row>
                    <xdr:rowOff>0</xdr:rowOff>
                  </to>
                </anchor>
              </controlPr>
            </control>
          </mc:Choice>
        </mc:AlternateContent>
        <mc:AlternateContent xmlns:mc="http://schemas.openxmlformats.org/markup-compatibility/2006">
          <mc:Choice Requires="x14">
            <control shapeId="69937" r:id="rId53" name="Check Box 1329">
              <controlPr defaultSize="0" autoFill="0" autoLine="0" autoPict="0" altText="">
                <anchor moveWithCells="1">
                  <from>
                    <xdr:col>1</xdr:col>
                    <xdr:colOff>0</xdr:colOff>
                    <xdr:row>125</xdr:row>
                    <xdr:rowOff>0</xdr:rowOff>
                  </from>
                  <to>
                    <xdr:col>2</xdr:col>
                    <xdr:colOff>0</xdr:colOff>
                    <xdr:row>125</xdr:row>
                    <xdr:rowOff>209550</xdr:rowOff>
                  </to>
                </anchor>
              </controlPr>
            </control>
          </mc:Choice>
        </mc:AlternateContent>
        <mc:AlternateContent xmlns:mc="http://schemas.openxmlformats.org/markup-compatibility/2006">
          <mc:Choice Requires="x14">
            <control shapeId="69938" r:id="rId54" name="Check Box 1330">
              <controlPr defaultSize="0" autoFill="0" autoLine="0" autoPict="0" altText="">
                <anchor moveWithCells="1">
                  <from>
                    <xdr:col>1</xdr:col>
                    <xdr:colOff>0</xdr:colOff>
                    <xdr:row>142</xdr:row>
                    <xdr:rowOff>0</xdr:rowOff>
                  </from>
                  <to>
                    <xdr:col>2</xdr:col>
                    <xdr:colOff>0</xdr:colOff>
                    <xdr:row>143</xdr:row>
                    <xdr:rowOff>0</xdr:rowOff>
                  </to>
                </anchor>
              </controlPr>
            </control>
          </mc:Choice>
        </mc:AlternateContent>
        <mc:AlternateContent xmlns:mc="http://schemas.openxmlformats.org/markup-compatibility/2006">
          <mc:Choice Requires="x14">
            <control shapeId="69939" r:id="rId55" name="Check Box 1331">
              <controlPr defaultSize="0" autoFill="0" autoLine="0" autoPict="0" altText="">
                <anchor moveWithCells="1">
                  <from>
                    <xdr:col>1</xdr:col>
                    <xdr:colOff>0</xdr:colOff>
                    <xdr:row>140</xdr:row>
                    <xdr:rowOff>0</xdr:rowOff>
                  </from>
                  <to>
                    <xdr:col>2</xdr:col>
                    <xdr:colOff>0</xdr:colOff>
                    <xdr:row>140</xdr:row>
                    <xdr:rowOff>209550</xdr:rowOff>
                  </to>
                </anchor>
              </controlPr>
            </control>
          </mc:Choice>
        </mc:AlternateContent>
        <mc:AlternateContent xmlns:mc="http://schemas.openxmlformats.org/markup-compatibility/2006">
          <mc:Choice Requires="x14">
            <control shapeId="69940" r:id="rId56" name="Check Box 1332">
              <controlPr defaultSize="0" autoFill="0" autoLine="0" autoPict="0" altText="">
                <anchor moveWithCells="1">
                  <from>
                    <xdr:col>1</xdr:col>
                    <xdr:colOff>0</xdr:colOff>
                    <xdr:row>41</xdr:row>
                    <xdr:rowOff>0</xdr:rowOff>
                  </from>
                  <to>
                    <xdr:col>2</xdr:col>
                    <xdr:colOff>0</xdr:colOff>
                    <xdr:row>41</xdr:row>
                    <xdr:rowOff>209550</xdr:rowOff>
                  </to>
                </anchor>
              </controlPr>
            </control>
          </mc:Choice>
        </mc:AlternateContent>
        <mc:AlternateContent xmlns:mc="http://schemas.openxmlformats.org/markup-compatibility/2006">
          <mc:Choice Requires="x14">
            <control shapeId="69941" r:id="rId57" name="Check Box 1333">
              <controlPr defaultSize="0" autoFill="0" autoLine="0" autoPict="0" altText="">
                <anchor moveWithCells="1">
                  <from>
                    <xdr:col>1</xdr:col>
                    <xdr:colOff>0</xdr:colOff>
                    <xdr:row>39</xdr:row>
                    <xdr:rowOff>0</xdr:rowOff>
                  </from>
                  <to>
                    <xdr:col>2</xdr:col>
                    <xdr:colOff>0</xdr:colOff>
                    <xdr:row>39</xdr:row>
                    <xdr:rowOff>209550</xdr:rowOff>
                  </to>
                </anchor>
              </controlPr>
            </control>
          </mc:Choice>
        </mc:AlternateContent>
        <mc:AlternateContent xmlns:mc="http://schemas.openxmlformats.org/markup-compatibility/2006">
          <mc:Choice Requires="x14">
            <control shapeId="69942" r:id="rId58" name="Check Box 1334">
              <controlPr defaultSize="0" autoFill="0" autoLine="0" autoPict="0" altText="">
                <anchor moveWithCells="1">
                  <from>
                    <xdr:col>1</xdr:col>
                    <xdr:colOff>0</xdr:colOff>
                    <xdr:row>87</xdr:row>
                    <xdr:rowOff>0</xdr:rowOff>
                  </from>
                  <to>
                    <xdr:col>2</xdr:col>
                    <xdr:colOff>0</xdr:colOff>
                    <xdr:row>88</xdr:row>
                    <xdr:rowOff>0</xdr:rowOff>
                  </to>
                </anchor>
              </controlPr>
            </control>
          </mc:Choice>
        </mc:AlternateContent>
        <mc:AlternateContent xmlns:mc="http://schemas.openxmlformats.org/markup-compatibility/2006">
          <mc:Choice Requires="x14">
            <control shapeId="69943" r:id="rId59" name="Check Box 1335">
              <controlPr defaultSize="0" autoFill="0" autoLine="0" autoPict="0" altText="">
                <anchor moveWithCells="1">
                  <from>
                    <xdr:col>1</xdr:col>
                    <xdr:colOff>0</xdr:colOff>
                    <xdr:row>93</xdr:row>
                    <xdr:rowOff>0</xdr:rowOff>
                  </from>
                  <to>
                    <xdr:col>2</xdr:col>
                    <xdr:colOff>0</xdr:colOff>
                    <xdr:row>94</xdr:row>
                    <xdr:rowOff>0</xdr:rowOff>
                  </to>
                </anchor>
              </controlPr>
            </control>
          </mc:Choice>
        </mc:AlternateContent>
        <mc:AlternateContent xmlns:mc="http://schemas.openxmlformats.org/markup-compatibility/2006">
          <mc:Choice Requires="x14">
            <control shapeId="69944" r:id="rId60" name="Check Box 1336">
              <controlPr defaultSize="0" autoFill="0" autoLine="0" autoPict="0" altText="">
                <anchor moveWithCells="1">
                  <from>
                    <xdr:col>1</xdr:col>
                    <xdr:colOff>0</xdr:colOff>
                    <xdr:row>75</xdr:row>
                    <xdr:rowOff>0</xdr:rowOff>
                  </from>
                  <to>
                    <xdr:col>2</xdr:col>
                    <xdr:colOff>0</xdr:colOff>
                    <xdr:row>75</xdr:row>
                    <xdr:rowOff>209550</xdr:rowOff>
                  </to>
                </anchor>
              </controlPr>
            </control>
          </mc:Choice>
        </mc:AlternateContent>
        <mc:AlternateContent xmlns:mc="http://schemas.openxmlformats.org/markup-compatibility/2006">
          <mc:Choice Requires="x14">
            <control shapeId="69945" r:id="rId61" name="Check Box 1337">
              <controlPr defaultSize="0" autoFill="0" autoLine="0" autoPict="0" altText="">
                <anchor moveWithCells="1">
                  <from>
                    <xdr:col>1</xdr:col>
                    <xdr:colOff>0</xdr:colOff>
                    <xdr:row>84</xdr:row>
                    <xdr:rowOff>0</xdr:rowOff>
                  </from>
                  <to>
                    <xdr:col>2</xdr:col>
                    <xdr:colOff>0</xdr:colOff>
                    <xdr:row>85</xdr:row>
                    <xdr:rowOff>0</xdr:rowOff>
                  </to>
                </anchor>
              </controlPr>
            </control>
          </mc:Choice>
        </mc:AlternateContent>
        <mc:AlternateContent xmlns:mc="http://schemas.openxmlformats.org/markup-compatibility/2006">
          <mc:Choice Requires="x14">
            <control shapeId="69946" r:id="rId62" name="Check Box 1338">
              <controlPr defaultSize="0" autoFill="0" autoLine="0" autoPict="0" altText="">
                <anchor moveWithCells="1">
                  <from>
                    <xdr:col>4</xdr:col>
                    <xdr:colOff>0</xdr:colOff>
                    <xdr:row>78</xdr:row>
                    <xdr:rowOff>0</xdr:rowOff>
                  </from>
                  <to>
                    <xdr:col>5</xdr:col>
                    <xdr:colOff>0</xdr:colOff>
                    <xdr:row>79</xdr:row>
                    <xdr:rowOff>0</xdr:rowOff>
                  </to>
                </anchor>
              </controlPr>
            </control>
          </mc:Choice>
        </mc:AlternateContent>
        <mc:AlternateContent xmlns:mc="http://schemas.openxmlformats.org/markup-compatibility/2006">
          <mc:Choice Requires="x14">
            <control shapeId="69947" r:id="rId63" name="Check Box 1339">
              <controlPr defaultSize="0" autoFill="0" autoLine="0" autoPict="0" altText="">
                <anchor moveWithCells="1">
                  <from>
                    <xdr:col>4</xdr:col>
                    <xdr:colOff>0</xdr:colOff>
                    <xdr:row>79</xdr:row>
                    <xdr:rowOff>0</xdr:rowOff>
                  </from>
                  <to>
                    <xdr:col>5</xdr:col>
                    <xdr:colOff>0</xdr:colOff>
                    <xdr:row>80</xdr:row>
                    <xdr:rowOff>0</xdr:rowOff>
                  </to>
                </anchor>
              </controlPr>
            </control>
          </mc:Choice>
        </mc:AlternateContent>
        <mc:AlternateContent xmlns:mc="http://schemas.openxmlformats.org/markup-compatibility/2006">
          <mc:Choice Requires="x14">
            <control shapeId="69948" r:id="rId64" name="Check Box 1340">
              <controlPr defaultSize="0" autoFill="0" autoLine="0" autoPict="0" altText="">
                <anchor moveWithCells="1">
                  <from>
                    <xdr:col>4</xdr:col>
                    <xdr:colOff>0</xdr:colOff>
                    <xdr:row>80</xdr:row>
                    <xdr:rowOff>0</xdr:rowOff>
                  </from>
                  <to>
                    <xdr:col>5</xdr:col>
                    <xdr:colOff>0</xdr:colOff>
                    <xdr:row>81</xdr:row>
                    <xdr:rowOff>0</xdr:rowOff>
                  </to>
                </anchor>
              </controlPr>
            </control>
          </mc:Choice>
        </mc:AlternateContent>
        <mc:AlternateContent xmlns:mc="http://schemas.openxmlformats.org/markup-compatibility/2006">
          <mc:Choice Requires="x14">
            <control shapeId="69950" r:id="rId65" name="Check Box 1342">
              <controlPr defaultSize="0" autoFill="0" autoLine="0" autoPict="0" altText="">
                <anchor moveWithCells="1">
                  <from>
                    <xdr:col>4</xdr:col>
                    <xdr:colOff>0</xdr:colOff>
                    <xdr:row>82</xdr:row>
                    <xdr:rowOff>0</xdr:rowOff>
                  </from>
                  <to>
                    <xdr:col>5</xdr:col>
                    <xdr:colOff>0</xdr:colOff>
                    <xdr:row>83</xdr:row>
                    <xdr:rowOff>0</xdr:rowOff>
                  </to>
                </anchor>
              </controlPr>
            </control>
          </mc:Choice>
        </mc:AlternateContent>
        <mc:AlternateContent xmlns:mc="http://schemas.openxmlformats.org/markup-compatibility/2006">
          <mc:Choice Requires="x14">
            <control shapeId="69951" r:id="rId66" name="Check Box 1343">
              <controlPr defaultSize="0" autoFill="0" autoLine="0" autoPict="0" altText="">
                <anchor moveWithCells="1">
                  <from>
                    <xdr:col>1</xdr:col>
                    <xdr:colOff>0</xdr:colOff>
                    <xdr:row>90</xdr:row>
                    <xdr:rowOff>0</xdr:rowOff>
                  </from>
                  <to>
                    <xdr:col>2</xdr:col>
                    <xdr:colOff>0</xdr:colOff>
                    <xdr:row>90</xdr:row>
                    <xdr:rowOff>209550</xdr:rowOff>
                  </to>
                </anchor>
              </controlPr>
            </control>
          </mc:Choice>
        </mc:AlternateContent>
        <mc:AlternateContent xmlns:mc="http://schemas.openxmlformats.org/markup-compatibility/2006">
          <mc:Choice Requires="x14">
            <control shapeId="69952" r:id="rId67" name="Check Box 1344">
              <controlPr defaultSize="0" autoFill="0" autoLine="0" autoPict="0" altText="">
                <anchor moveWithCells="1">
                  <from>
                    <xdr:col>4</xdr:col>
                    <xdr:colOff>0</xdr:colOff>
                    <xdr:row>96</xdr:row>
                    <xdr:rowOff>0</xdr:rowOff>
                  </from>
                  <to>
                    <xdr:col>5</xdr:col>
                    <xdr:colOff>0</xdr:colOff>
                    <xdr:row>97</xdr:row>
                    <xdr:rowOff>0</xdr:rowOff>
                  </to>
                </anchor>
              </controlPr>
            </control>
          </mc:Choice>
        </mc:AlternateContent>
        <mc:AlternateContent xmlns:mc="http://schemas.openxmlformats.org/markup-compatibility/2006">
          <mc:Choice Requires="x14">
            <control shapeId="69953" r:id="rId68" name="Check Box 1345">
              <controlPr defaultSize="0" autoFill="0" autoLine="0" autoPict="0" altText="">
                <anchor moveWithCells="1">
                  <from>
                    <xdr:col>4</xdr:col>
                    <xdr:colOff>0</xdr:colOff>
                    <xdr:row>97</xdr:row>
                    <xdr:rowOff>0</xdr:rowOff>
                  </from>
                  <to>
                    <xdr:col>5</xdr:col>
                    <xdr:colOff>0</xdr:colOff>
                    <xdr:row>98</xdr:row>
                    <xdr:rowOff>0</xdr:rowOff>
                  </to>
                </anchor>
              </controlPr>
            </control>
          </mc:Choice>
        </mc:AlternateContent>
        <mc:AlternateContent xmlns:mc="http://schemas.openxmlformats.org/markup-compatibility/2006">
          <mc:Choice Requires="x14">
            <control shapeId="69954" r:id="rId69" name="Check Box 1346">
              <controlPr defaultSize="0" autoFill="0" autoLine="0" autoPict="0" altText="">
                <anchor moveWithCells="1">
                  <from>
                    <xdr:col>4</xdr:col>
                    <xdr:colOff>0</xdr:colOff>
                    <xdr:row>98</xdr:row>
                    <xdr:rowOff>0</xdr:rowOff>
                  </from>
                  <to>
                    <xdr:col>5</xdr:col>
                    <xdr:colOff>0</xdr:colOff>
                    <xdr:row>99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08" id="{00122A4A-F355-4F08-890A-D1D1CABFCAB7}">
            <xm:f>NOT(Projektgrundlagen!$I$21)</xm:f>
            <x14:dxf>
              <font>
                <strike/>
                <color theme="0" tint="-0.14996795556505021"/>
              </font>
              <fill>
                <patternFill>
                  <bgColor theme="0"/>
                </patternFill>
              </fill>
            </x14:dxf>
          </x14:cfRule>
          <xm:sqref>B47:B60</xm:sqref>
        </x14:conditionalFormatting>
        <x14:conditionalFormatting xmlns:xm="http://schemas.microsoft.com/office/excel/2006/main">
          <x14:cfRule type="expression" priority="380" id="{A939EF5D-1FCD-4DE6-A590-606B7E0B76F1}">
            <xm:f>NOT(Projektgrundlagen!$I$21)</xm:f>
            <x14:dxf>
              <font>
                <strike/>
                <color theme="0" tint="-0.14996795556505021"/>
              </font>
              <fill>
                <patternFill>
                  <bgColor theme="0"/>
                </patternFill>
              </fill>
            </x14:dxf>
          </x14:cfRule>
          <xm:sqref>B123:B125</xm:sqref>
        </x14:conditionalFormatting>
        <x14:conditionalFormatting xmlns:xm="http://schemas.microsoft.com/office/excel/2006/main">
          <x14:cfRule type="expression" priority="522" id="{5FC077F9-7220-499B-9559-9EB3C32CE2D8}">
            <xm:f>NOT(Projektgrundlagen!$I$21)</xm:f>
            <x14:dxf>
              <font>
                <strike/>
                <color theme="0" tint="-0.14996795556505021"/>
              </font>
              <fill>
                <patternFill>
                  <bgColor theme="0"/>
                </patternFill>
              </fill>
            </x14:dxf>
          </x14:cfRule>
          <xm:sqref>B153:B167</xm:sqref>
        </x14:conditionalFormatting>
        <x14:conditionalFormatting xmlns:xm="http://schemas.microsoft.com/office/excel/2006/main">
          <x14:cfRule type="expression" priority="172" id="{A3DEF702-D053-44CF-B504-3BF48CE0F239}">
            <xm:f>NOT(Projektgrundlagen!$I$21)</xm:f>
            <x14:dxf>
              <font>
                <strike/>
                <color theme="0" tint="-0.14996795556505021"/>
              </font>
              <fill>
                <patternFill>
                  <bgColor theme="0"/>
                </patternFill>
              </fill>
            </x14:dxf>
          </x14:cfRule>
          <xm:sqref>B116:F119</xm:sqref>
        </x14:conditionalFormatting>
        <x14:conditionalFormatting xmlns:xm="http://schemas.microsoft.com/office/excel/2006/main">
          <x14:cfRule type="expression" priority="117" id="{D6DD9AFC-F64B-4AAC-8A21-A0359FCD82D0}">
            <xm:f>NOT(Projektgrundlagen!$I$21)</xm:f>
            <x14:dxf>
              <font>
                <strike/>
                <color theme="0" tint="-0.14996795556505021"/>
              </font>
              <fill>
                <patternFill>
                  <bgColor theme="0"/>
                </patternFill>
              </fill>
            </x14:dxf>
          </x14:cfRule>
          <xm:sqref>B17:K22 G14:K14 B14:E14 H16:K16 B16:E16</xm:sqref>
        </x14:conditionalFormatting>
        <x14:conditionalFormatting xmlns:xm="http://schemas.microsoft.com/office/excel/2006/main">
          <x14:cfRule type="expression" priority="137" id="{FE6CBE1A-54C9-43BA-A8AE-9CCDE6F890D9}">
            <xm:f>NOT(Projektgrundlagen!$I$21)</xm:f>
            <x14:dxf>
              <font>
                <strike/>
                <color theme="0" tint="-0.14996795556505021"/>
              </font>
              <fill>
                <patternFill>
                  <bgColor theme="0"/>
                </patternFill>
              </fill>
            </x14:dxf>
          </x14:cfRule>
          <xm:sqref>B26:K33 B34:E34 H34:K34 H36:K36 B35:K35 G37:K37 B36:E37 H39:K39 B40:K43 B39:E39 B38:K38</xm:sqref>
        </x14:conditionalFormatting>
        <x14:conditionalFormatting xmlns:xm="http://schemas.microsoft.com/office/excel/2006/main">
          <x14:cfRule type="expression" priority="162" id="{B79326BA-BF00-48F5-809A-4567681F2CD3}">
            <xm:f>NOT(Projektgrundlagen!$I$21)</xm:f>
            <x14:dxf>
              <font>
                <strike/>
                <color theme="0" tint="-0.14996795556505021"/>
              </font>
              <fill>
                <patternFill>
                  <bgColor theme="0"/>
                </patternFill>
              </fill>
            </x14:dxf>
          </x14:cfRule>
          <xm:sqref>B64:K76 B101:K104 B96:E96 H96:K96 B94:K94 B90:E90 H90:K90 B88:K88 B87:E87 H87:K87 B85:K85 H84:K84 B84:D84 B93:E93 H93:K93 B91:K91 H100:K100 B100:D100</xm:sqref>
        </x14:conditionalFormatting>
        <x14:conditionalFormatting xmlns:xm="http://schemas.microsoft.com/office/excel/2006/main">
          <x14:cfRule type="expression" priority="182" id="{B5F633F4-E6AB-4429-99CC-2232B6476DB6}">
            <xm:f>NOT(Projektgrundlagen!$I$21)</xm:f>
            <x14:dxf>
              <font>
                <strike/>
                <color theme="0" tint="-0.14996795556505021"/>
              </font>
              <fill>
                <patternFill>
                  <bgColor theme="0"/>
                </patternFill>
              </fill>
            </x14:dxf>
          </x14:cfRule>
          <xm:sqref>B126:K135</xm:sqref>
        </x14:conditionalFormatting>
        <x14:conditionalFormatting xmlns:xm="http://schemas.microsoft.com/office/excel/2006/main">
          <x14:cfRule type="expression" priority="197" id="{82A1F3C2-0BD7-4CA2-BCB7-5811ED268ED5}">
            <xm:f>NOT(Projektgrundlagen!$I$21)</xm:f>
            <x14:dxf>
              <font>
                <strike/>
                <color theme="0" tint="-0.14996795556505021"/>
              </font>
              <fill>
                <patternFill>
                  <bgColor theme="0"/>
                </patternFill>
              </fill>
            </x14:dxf>
          </x14:cfRule>
          <xm:sqref>B139:K148</xm:sqref>
        </x14:conditionalFormatting>
        <x14:conditionalFormatting xmlns:xm="http://schemas.microsoft.com/office/excel/2006/main">
          <x14:cfRule type="expression" priority="524" id="{7F21A469-1DB7-4B84-82E7-DE23634D0201}">
            <xm:f>NOT(Projektgrundlagen!$I$21)</xm:f>
            <x14:dxf>
              <font>
                <strike/>
                <color theme="0" tint="-0.14996795556505021"/>
              </font>
              <fill>
                <patternFill>
                  <bgColor theme="0"/>
                </patternFill>
              </fill>
            </x14:dxf>
          </x14:cfRule>
          <xm:sqref>C158:D165</xm:sqref>
        </x14:conditionalFormatting>
        <x14:conditionalFormatting xmlns:xm="http://schemas.microsoft.com/office/excel/2006/main">
          <x14:cfRule type="expression" priority="378" id="{71AE0CFE-D409-4BF8-98E3-E7CD3E95DF06}">
            <xm:f>NOT(Projektgrundlagen!$I$21)</xm:f>
            <x14:dxf>
              <font>
                <strike/>
                <color theme="0" tint="-0.14996795556505021"/>
              </font>
              <fill>
                <patternFill>
                  <bgColor theme="0"/>
                </patternFill>
              </fill>
            </x14:dxf>
          </x14:cfRule>
          <xm:sqref>C125:E125</xm:sqref>
        </x14:conditionalFormatting>
        <x14:conditionalFormatting xmlns:xm="http://schemas.microsoft.com/office/excel/2006/main">
          <x14:cfRule type="expression" priority="731" id="{2AF7200F-37FC-480F-BF2D-EBAEB5C4B5D2}">
            <xm:f>NOT(Projektgrundlagen!$I$21)</xm:f>
            <x14:dxf>
              <font>
                <strike/>
                <color theme="0" tint="-0.14996795556505021"/>
              </font>
              <fill>
                <patternFill>
                  <bgColor theme="0"/>
                </patternFill>
              </fill>
            </x14:dxf>
          </x14:cfRule>
          <xm:sqref>C166:E167</xm:sqref>
        </x14:conditionalFormatting>
        <x14:conditionalFormatting xmlns:xm="http://schemas.microsoft.com/office/excel/2006/main">
          <x14:cfRule type="expression" priority="152" id="{E43CD1EE-19C4-45E4-A20D-8923E49AB117}">
            <xm:f>NOT(Projektgrundlagen!$I$21)</xm:f>
            <x14:dxf>
              <font>
                <strike/>
                <color theme="0" tint="-0.14996795556505021"/>
              </font>
              <fill>
                <patternFill>
                  <bgColor theme="0"/>
                </patternFill>
              </fill>
            </x14:dxf>
          </x14:cfRule>
          <xm:sqref>C55:F56 C59:F60 C57:E58</xm:sqref>
        </x14:conditionalFormatting>
        <x14:conditionalFormatting xmlns:xm="http://schemas.microsoft.com/office/excel/2006/main">
          <x14:cfRule type="expression" priority="530" id="{3B8DE357-A3F6-4AE7-9D87-E48FB6793C47}">
            <xm:f>NOT(Projektgrundlagen!$I$21)</xm:f>
            <x14:dxf>
              <font>
                <strike/>
                <color theme="0" tint="-0.14996795556505021"/>
              </font>
              <fill>
                <patternFill>
                  <bgColor theme="0"/>
                </patternFill>
              </fill>
            </x14:dxf>
          </x14:cfRule>
          <xm:sqref>C47:I52 J47:K60 C53:G54 G55 B108:G115 J108:K119 G116 G117:I119 B152:K152 C153:K157 E158:K161 E171:G172 B171:D174 J172:K174 G56:I60</xm:sqref>
        </x14:conditionalFormatting>
        <x14:conditionalFormatting xmlns:xm="http://schemas.microsoft.com/office/excel/2006/main">
          <x14:cfRule type="expression" priority="381" id="{AFB3EC03-9A42-4557-AC3E-9AC7BCF84C29}">
            <xm:f>NOT(Projektgrundlagen!$I$21)</xm:f>
            <x14:dxf>
              <font>
                <strike/>
                <color theme="0" tint="-0.14996795556505021"/>
              </font>
              <fill>
                <patternFill>
                  <bgColor theme="0"/>
                </patternFill>
              </fill>
            </x14:dxf>
          </x14:cfRule>
          <xm:sqref>C123:K124</xm:sqref>
        </x14:conditionalFormatting>
        <x14:conditionalFormatting xmlns:xm="http://schemas.microsoft.com/office/excel/2006/main">
          <x14:cfRule type="expression" priority="523" id="{AF77EBD1-18A7-4E73-A22C-AAC3554B3696}">
            <xm:f>NOT(Projektgrundlagen!$I$21)</xm:f>
            <x14:dxf>
              <font>
                <strike/>
                <color theme="0" tint="-0.14996795556505021"/>
              </font>
              <fill>
                <patternFill>
                  <bgColor theme="0"/>
                </patternFill>
              </fill>
            </x14:dxf>
          </x14:cfRule>
          <xm:sqref>E162:E165</xm:sqref>
        </x14:conditionalFormatting>
        <x14:conditionalFormatting xmlns:xm="http://schemas.microsoft.com/office/excel/2006/main">
          <x14:cfRule type="expression" priority="719" id="{1DCF9AB7-F1C5-4150-99CB-543063A49D40}">
            <xm:f>NOT(Projektgrundlagen!$I$21)</xm:f>
            <x14:dxf>
              <font>
                <strike/>
                <color theme="0" tint="-0.14996795556505021"/>
              </font>
              <fill>
                <patternFill>
                  <bgColor theme="0"/>
                </patternFill>
              </fill>
            </x14:dxf>
          </x14:cfRule>
          <xm:sqref>E173:E174</xm:sqref>
        </x14:conditionalFormatting>
        <x14:conditionalFormatting xmlns:xm="http://schemas.microsoft.com/office/excel/2006/main">
          <x14:cfRule type="expression" priority="207" id="{F6492A89-FDF6-465A-A91F-2384AF1D44C6}">
            <xm:f>NOT(Projektgrundlagen!$I$21)</xm:f>
            <x14:dxf>
              <font>
                <strike/>
                <color theme="0" tint="-0.14996795556505021"/>
              </font>
              <fill>
                <patternFill>
                  <bgColor theme="0"/>
                </patternFill>
              </fill>
            </x14:dxf>
          </x14:cfRule>
          <xm:sqref>F173:G173</xm:sqref>
        </x14:conditionalFormatting>
        <x14:conditionalFormatting xmlns:xm="http://schemas.microsoft.com/office/excel/2006/main">
          <x14:cfRule type="expression" priority="210" id="{1D982805-4380-48EF-B80D-247C0B609BC0}">
            <xm:f>NOT(Projektgrundlagen!$I$21)</xm:f>
            <x14:dxf>
              <font>
                <strike/>
                <color theme="0" tint="-0.14996795556505021"/>
              </font>
              <fill>
                <patternFill>
                  <bgColor theme="0"/>
                </patternFill>
              </fill>
            </x14:dxf>
          </x14:cfRule>
          <xm:sqref>F174:I174</xm:sqref>
        </x14:conditionalFormatting>
        <x14:conditionalFormatting xmlns:xm="http://schemas.microsoft.com/office/excel/2006/main">
          <x14:cfRule type="expression" priority="212" id="{A81CCCC5-D436-4761-AB65-5F09B59E7872}">
            <xm:f>NOT(Projektgrundlagen!$I$21)</xm:f>
            <x14:dxf>
              <font>
                <strike/>
                <color theme="0" tint="-0.14996795556505021"/>
              </font>
              <fill>
                <patternFill>
                  <bgColor theme="0"/>
                </patternFill>
              </fill>
            </x14:dxf>
          </x14:cfRule>
          <xm:sqref>F162:K167</xm:sqref>
        </x14:conditionalFormatting>
        <x14:conditionalFormatting xmlns:xm="http://schemas.microsoft.com/office/excel/2006/main">
          <x14:cfRule type="expression" priority="602" id="{D5601085-9409-486E-BEF4-80EECB30EC61}">
            <xm:f>NOT(Projektgrundlagen!$I$21)</xm:f>
            <x14:dxf>
              <font>
                <strike/>
                <color theme="0" tint="-0.14996795556505021"/>
              </font>
              <fill>
                <patternFill>
                  <bgColor theme="0"/>
                </patternFill>
              </fill>
            </x14:dxf>
          </x14:cfRule>
          <xm:sqref>H53:I55</xm:sqref>
        </x14:conditionalFormatting>
        <x14:conditionalFormatting xmlns:xm="http://schemas.microsoft.com/office/excel/2006/main">
          <x14:cfRule type="expression" priority="567" id="{CC52A6CD-9B1F-4EC9-9ADB-56B3B8791D61}">
            <xm:f>NOT(Projektgrundlagen!$I$21)</xm:f>
            <x14:dxf>
              <font>
                <strike/>
                <color theme="0" tint="-0.14996795556505021"/>
              </font>
              <fill>
                <patternFill>
                  <bgColor theme="0"/>
                </patternFill>
              </fill>
            </x14:dxf>
          </x14:cfRule>
          <xm:sqref>H108:I116</xm:sqref>
        </x14:conditionalFormatting>
        <x14:conditionalFormatting xmlns:xm="http://schemas.microsoft.com/office/excel/2006/main">
          <x14:cfRule type="expression" priority="703" id="{F8641734-D6A9-46FE-9F71-8C5AF3B163BC}">
            <xm:f>NOT(Projektgrundlagen!$I$21)</xm:f>
            <x14:dxf>
              <font>
                <strike/>
                <color theme="0" tint="-0.14996795556505021"/>
              </font>
              <fill>
                <patternFill>
                  <bgColor theme="0"/>
                </patternFill>
              </fill>
            </x14:dxf>
          </x14:cfRule>
          <xm:sqref>H171:I173</xm:sqref>
        </x14:conditionalFormatting>
        <x14:conditionalFormatting xmlns:xm="http://schemas.microsoft.com/office/excel/2006/main">
          <x14:cfRule type="expression" priority="375" id="{5296783F-2E0F-488A-8268-1B79D771B245}">
            <xm:f>NOT(Projektgrundlagen!$I$21)</xm:f>
            <x14:dxf>
              <font>
                <strike/>
                <color theme="0" tint="-0.14996795556505021"/>
              </font>
              <fill>
                <patternFill>
                  <bgColor theme="0"/>
                </patternFill>
              </fill>
            </x14:dxf>
          </x14:cfRule>
          <xm:sqref>H125:K125</xm:sqref>
        </x14:conditionalFormatting>
        <x14:conditionalFormatting xmlns:xm="http://schemas.microsoft.com/office/excel/2006/main">
          <x14:cfRule type="expression" priority="1103" id="{C77E76EF-CCCA-4FA7-AFF6-057131368751}">
            <xm:f>NOT(Projektgrundlagen!$I$21)</xm:f>
            <x14:dxf>
              <font>
                <strike/>
                <color theme="0" tint="-0.14996795556505021"/>
              </font>
              <fill>
                <patternFill>
                  <bgColor theme="0"/>
                </patternFill>
              </fill>
            </x14:dxf>
          </x14:cfRule>
          <xm:sqref>J171:K171</xm:sqref>
        </x14:conditionalFormatting>
        <x14:conditionalFormatting xmlns:xm="http://schemas.microsoft.com/office/excel/2006/main">
          <x14:cfRule type="expression" priority="115" id="{EF372BE8-4D73-49CD-B7F9-A818371BBBDB}">
            <xm:f>NOT(Projektgrundlagen!$I$21)</xm:f>
            <x14:dxf>
              <font>
                <strike/>
                <color theme="0" tint="-0.14996795556505021"/>
              </font>
              <fill>
                <patternFill>
                  <bgColor theme="0"/>
                </patternFill>
              </fill>
            </x14:dxf>
          </x14:cfRule>
          <xm:sqref>F14</xm:sqref>
        </x14:conditionalFormatting>
        <x14:conditionalFormatting xmlns:xm="http://schemas.microsoft.com/office/excel/2006/main">
          <x14:cfRule type="expression" priority="113" id="{508A8298-856F-4D88-8B28-5283A0309BE7}">
            <xm:f>NOT(Projektgrundlagen!$I$21)</xm:f>
            <x14:dxf>
              <font>
                <strike/>
                <color theme="0" tint="-0.14996795556505021"/>
              </font>
              <fill>
                <patternFill>
                  <bgColor theme="0"/>
                </patternFill>
              </fill>
            </x14:dxf>
          </x14:cfRule>
          <xm:sqref>G34</xm:sqref>
        </x14:conditionalFormatting>
        <x14:conditionalFormatting xmlns:xm="http://schemas.microsoft.com/office/excel/2006/main">
          <x14:cfRule type="expression" priority="111" id="{77EB24F0-DB07-4852-B023-3137E0AD5850}">
            <xm:f>NOT(Projektgrundlagen!$I$21)</xm:f>
            <x14:dxf>
              <font>
                <strike/>
                <color theme="0" tint="-0.14996795556505021"/>
              </font>
              <fill>
                <patternFill>
                  <bgColor theme="0"/>
                </patternFill>
              </fill>
            </x14:dxf>
          </x14:cfRule>
          <xm:sqref>F34</xm:sqref>
        </x14:conditionalFormatting>
        <x14:conditionalFormatting xmlns:xm="http://schemas.microsoft.com/office/excel/2006/main">
          <x14:cfRule type="expression" priority="107" id="{B6499BE4-5D58-4DB6-BFFB-3FD870F70C7A}">
            <xm:f>NOT(Projektgrundlagen!$I$21)</xm:f>
            <x14:dxf>
              <font>
                <strike/>
                <color theme="0" tint="-0.14996795556505021"/>
              </font>
              <fill>
                <patternFill>
                  <bgColor theme="0"/>
                </patternFill>
              </fill>
            </x14:dxf>
          </x14:cfRule>
          <xm:sqref>F37</xm:sqref>
        </x14:conditionalFormatting>
        <x14:conditionalFormatting xmlns:xm="http://schemas.microsoft.com/office/excel/2006/main">
          <x14:cfRule type="expression" priority="55" id="{27FD2D46-2D7A-4DD2-B5EE-92E660D81A65}">
            <xm:f>NOT(Projektgrundlagen!$I$21)</xm:f>
            <x14:dxf>
              <font>
                <strike/>
                <color theme="0" tint="-0.14996795556505021"/>
              </font>
              <fill>
                <patternFill>
                  <bgColor theme="0"/>
                </patternFill>
              </fill>
            </x14:dxf>
          </x14:cfRule>
          <xm:sqref>E80</xm:sqref>
        </x14:conditionalFormatting>
        <x14:conditionalFormatting xmlns:xm="http://schemas.microsoft.com/office/excel/2006/main">
          <x14:cfRule type="expression" priority="52" id="{7634C7BD-B7CC-4D35-98B3-22B2FA40B107}">
            <xm:f>NOT(Projektgrundlagen!$I$21)</xm:f>
            <x14:dxf>
              <font>
                <strike/>
                <color theme="0" tint="-0.14996795556505021"/>
              </font>
              <fill>
                <patternFill>
                  <bgColor theme="0"/>
                </patternFill>
              </fill>
            </x14:dxf>
          </x14:cfRule>
          <xm:sqref>E84</xm:sqref>
        </x14:conditionalFormatting>
        <x14:conditionalFormatting xmlns:xm="http://schemas.microsoft.com/office/excel/2006/main">
          <x14:cfRule type="expression" priority="61" id="{F38985C1-ECD6-4361-BB78-878421F300F1}">
            <xm:f>NOT(Projektgrundlagen!$I$21)</xm:f>
            <x14:dxf>
              <font>
                <strike/>
                <color theme="0" tint="-0.14996795556505021"/>
              </font>
              <fill>
                <patternFill>
                  <bgColor theme="0"/>
                </patternFill>
              </fill>
            </x14:dxf>
          </x14:cfRule>
          <xm:sqref>B77:K77</xm:sqref>
        </x14:conditionalFormatting>
        <x14:conditionalFormatting xmlns:xm="http://schemas.microsoft.com/office/excel/2006/main">
          <x14:cfRule type="expression" priority="60" id="{44A76018-9080-4DE6-953F-4E760F3B8D23}">
            <xm:f>NOT(Projektgrundlagen!$I$21)</xm:f>
            <x14:dxf>
              <font>
                <strike/>
                <color theme="0" tint="-0.14996795556505021"/>
              </font>
              <fill>
                <patternFill>
                  <bgColor theme="0"/>
                </patternFill>
              </fill>
            </x14:dxf>
          </x14:cfRule>
          <xm:sqref>B86:K86</xm:sqref>
        </x14:conditionalFormatting>
        <x14:conditionalFormatting xmlns:xm="http://schemas.microsoft.com/office/excel/2006/main">
          <x14:cfRule type="expression" priority="59" id="{5357DCB7-552B-4969-B072-EA3B44FA05E9}">
            <xm:f>NOT(Projektgrundlagen!$I$21)</xm:f>
            <x14:dxf>
              <font>
                <strike/>
                <color theme="0" tint="-0.14996795556505021"/>
              </font>
              <fill>
                <patternFill>
                  <bgColor theme="0"/>
                </patternFill>
              </fill>
            </x14:dxf>
          </x14:cfRule>
          <xm:sqref>B89:K89</xm:sqref>
        </x14:conditionalFormatting>
        <x14:conditionalFormatting xmlns:xm="http://schemas.microsoft.com/office/excel/2006/main">
          <x14:cfRule type="expression" priority="58" id="{5C371C74-A1DA-4E60-88F1-D9503DFA6EF0}">
            <xm:f>NOT(Projektgrundlagen!$I$21)</xm:f>
            <x14:dxf>
              <font>
                <strike/>
                <color theme="0" tint="-0.14996795556505021"/>
              </font>
              <fill>
                <patternFill>
                  <bgColor theme="0"/>
                </patternFill>
              </fill>
            </x14:dxf>
          </x14:cfRule>
          <xm:sqref>B95:K95</xm:sqref>
        </x14:conditionalFormatting>
        <x14:conditionalFormatting xmlns:xm="http://schemas.microsoft.com/office/excel/2006/main">
          <x14:cfRule type="expression" priority="57" id="{E3D4F3EC-8EB1-4565-80B0-0C756597A185}">
            <xm:f>NOT(Projektgrundlagen!$I$21)</xm:f>
            <x14:dxf>
              <font>
                <strike/>
                <color theme="0" tint="-0.14996795556505021"/>
              </font>
              <fill>
                <patternFill>
                  <bgColor theme="0"/>
                </patternFill>
              </fill>
            </x14:dxf>
          </x14:cfRule>
          <xm:sqref>B78:E78 H78:K81 B79:D81</xm:sqref>
        </x14:conditionalFormatting>
        <x14:conditionalFormatting xmlns:xm="http://schemas.microsoft.com/office/excel/2006/main">
          <x14:cfRule type="expression" priority="56" id="{68F509D8-B04E-490C-A1B5-058A36A3B3DB}">
            <xm:f>NOT(Projektgrundlagen!$I$21)</xm:f>
            <x14:dxf>
              <font>
                <strike/>
                <color theme="0" tint="-0.14996795556505021"/>
              </font>
              <fill>
                <patternFill>
                  <bgColor theme="0"/>
                </patternFill>
              </fill>
            </x14:dxf>
          </x14:cfRule>
          <xm:sqref>E79</xm:sqref>
        </x14:conditionalFormatting>
        <x14:conditionalFormatting xmlns:xm="http://schemas.microsoft.com/office/excel/2006/main">
          <x14:cfRule type="expression" priority="54" id="{A1C1AAFF-7F10-4810-90B4-437365C5F65E}">
            <xm:f>NOT(Projektgrundlagen!$I$21)</xm:f>
            <x14:dxf>
              <font>
                <strike/>
                <color theme="0" tint="-0.14996795556505021"/>
              </font>
              <fill>
                <patternFill>
                  <bgColor theme="0"/>
                </patternFill>
              </fill>
            </x14:dxf>
          </x14:cfRule>
          <xm:sqref>E81</xm:sqref>
        </x14:conditionalFormatting>
        <x14:conditionalFormatting xmlns:xm="http://schemas.microsoft.com/office/excel/2006/main">
          <x14:cfRule type="expression" priority="53" id="{8BB9FEFC-E192-4B5D-BECD-6725A45E2953}">
            <xm:f>NOT(Projektgrundlagen!$I$21)</xm:f>
            <x14:dxf>
              <font>
                <strike/>
                <color theme="0" tint="-0.14996795556505021"/>
              </font>
              <fill>
                <patternFill>
                  <bgColor theme="0"/>
                </patternFill>
              </fill>
            </x14:dxf>
          </x14:cfRule>
          <xm:sqref>H83:K83 B83:E83</xm:sqref>
        </x14:conditionalFormatting>
        <x14:conditionalFormatting xmlns:xm="http://schemas.microsoft.com/office/excel/2006/main">
          <x14:cfRule type="expression" priority="51" id="{4CB0C15A-EC08-4F90-BCF3-50EAA7BF6DA1}">
            <xm:f>NOT(Projektgrundlagen!$I$21)</xm:f>
            <x14:dxf>
              <font>
                <strike/>
                <color theme="0" tint="-0.14996795556505021"/>
              </font>
              <fill>
                <patternFill>
                  <bgColor theme="0"/>
                </patternFill>
              </fill>
            </x14:dxf>
          </x14:cfRule>
          <xm:sqref>H82:K82 B82:D82</xm:sqref>
        </x14:conditionalFormatting>
        <x14:conditionalFormatting xmlns:xm="http://schemas.microsoft.com/office/excel/2006/main">
          <x14:cfRule type="expression" priority="50" id="{1905B75C-F1C6-4C6B-82E7-CFFC4A7A2CD2}">
            <xm:f>NOT(Projektgrundlagen!$I$21)</xm:f>
            <x14:dxf>
              <font>
                <strike/>
                <color theme="0" tint="-0.14996795556505021"/>
              </font>
              <fill>
                <patternFill>
                  <bgColor theme="0"/>
                </patternFill>
              </fill>
            </x14:dxf>
          </x14:cfRule>
          <xm:sqref>E82</xm:sqref>
        </x14:conditionalFormatting>
        <x14:conditionalFormatting xmlns:xm="http://schemas.microsoft.com/office/excel/2006/main">
          <x14:cfRule type="expression" priority="41" id="{259E02A2-325C-431F-A829-8132F138D7FD}">
            <xm:f>NOT(Projektgrundlagen!$I$21)</xm:f>
            <x14:dxf>
              <font>
                <strike/>
                <color theme="0" tint="-0.14996795556505021"/>
              </font>
              <fill>
                <patternFill>
                  <bgColor theme="0"/>
                </patternFill>
              </fill>
            </x14:dxf>
          </x14:cfRule>
          <xm:sqref>B92:K92</xm:sqref>
        </x14:conditionalFormatting>
        <x14:conditionalFormatting xmlns:xm="http://schemas.microsoft.com/office/excel/2006/main">
          <x14:cfRule type="expression" priority="36" id="{B24B9FB5-C12F-439D-A104-1568C2ED16E2}">
            <xm:f>NOT(Projektgrundlagen!$I$21)</xm:f>
            <x14:dxf>
              <font>
                <strike/>
                <color theme="0" tint="-0.14996795556505021"/>
              </font>
              <fill>
                <patternFill>
                  <bgColor theme="0"/>
                </patternFill>
              </fill>
            </x14:dxf>
          </x14:cfRule>
          <xm:sqref>E98</xm:sqref>
        </x14:conditionalFormatting>
        <x14:conditionalFormatting xmlns:xm="http://schemas.microsoft.com/office/excel/2006/main">
          <x14:cfRule type="expression" priority="38" id="{3F1A1212-5C2A-4B10-8450-7EE858BF2C1E}">
            <xm:f>NOT(Projektgrundlagen!$I$21)</xm:f>
            <x14:dxf>
              <font>
                <strike/>
                <color theme="0" tint="-0.14996795556505021"/>
              </font>
              <fill>
                <patternFill>
                  <bgColor theme="0"/>
                </patternFill>
              </fill>
            </x14:dxf>
          </x14:cfRule>
          <xm:sqref>H97:K99 B97:D99</xm:sqref>
        </x14:conditionalFormatting>
        <x14:conditionalFormatting xmlns:xm="http://schemas.microsoft.com/office/excel/2006/main">
          <x14:cfRule type="expression" priority="37" id="{F8127419-3637-41F9-924A-824014665832}">
            <xm:f>NOT(Projektgrundlagen!$I$21)</xm:f>
            <x14:dxf>
              <font>
                <strike/>
                <color theme="0" tint="-0.14996795556505021"/>
              </font>
              <fill>
                <patternFill>
                  <bgColor theme="0"/>
                </patternFill>
              </fill>
            </x14:dxf>
          </x14:cfRule>
          <xm:sqref>E97</xm:sqref>
        </x14:conditionalFormatting>
        <x14:conditionalFormatting xmlns:xm="http://schemas.microsoft.com/office/excel/2006/main">
          <x14:cfRule type="expression" priority="35" id="{B763CE17-8396-44A1-B46D-2BC6577C8117}">
            <xm:f>NOT(Projektgrundlagen!$I$21)</xm:f>
            <x14:dxf>
              <font>
                <strike/>
                <color theme="0" tint="-0.14996795556505021"/>
              </font>
              <fill>
                <patternFill>
                  <bgColor theme="0"/>
                </patternFill>
              </fill>
            </x14:dxf>
          </x14:cfRule>
          <xm:sqref>E99</xm:sqref>
        </x14:conditionalFormatting>
        <x14:conditionalFormatting xmlns:xm="http://schemas.microsoft.com/office/excel/2006/main">
          <x14:cfRule type="expression" priority="33" id="{DE53BE8B-7B47-404D-A4E2-D1840D845318}">
            <xm:f>NOT(Projektgrundlagen!$I$21)</xm:f>
            <x14:dxf>
              <font>
                <strike/>
                <color theme="0" tint="-0.14996795556505021"/>
              </font>
              <fill>
                <patternFill>
                  <bgColor theme="0"/>
                </patternFill>
              </fill>
            </x14:dxf>
          </x14:cfRule>
          <xm:sqref>E100</xm:sqref>
        </x14:conditionalFormatting>
        <x14:conditionalFormatting xmlns:xm="http://schemas.microsoft.com/office/excel/2006/main">
          <x14:cfRule type="expression" priority="30" id="{93F14E03-50B1-4552-9E1D-B41EEA1B817B}">
            <xm:f>NOT(Projektgrundlagen!$I$21)</xm:f>
            <x14:dxf>
              <font>
                <strike/>
                <color theme="0" tint="-0.14996795556505021"/>
              </font>
              <fill>
                <patternFill>
                  <bgColor theme="0"/>
                </patternFill>
              </fill>
            </x14:dxf>
          </x14:cfRule>
          <xm:sqref>B15:K15</xm:sqref>
        </x14:conditionalFormatting>
        <x14:conditionalFormatting xmlns:xm="http://schemas.microsoft.com/office/excel/2006/main">
          <x14:cfRule type="expression" priority="28" id="{71369507-D8C3-40A0-A1F3-063BEF6D60F0}">
            <xm:f>NOT(Projektgrundlagen!$I$21)</xm:f>
            <x14:dxf>
              <font>
                <strike/>
                <color theme="0" tint="-0.14996795556505021"/>
              </font>
              <fill>
                <patternFill>
                  <bgColor theme="0"/>
                </patternFill>
              </fill>
            </x14:dxf>
          </x14:cfRule>
          <xm:sqref>F16</xm:sqref>
        </x14:conditionalFormatting>
        <x14:conditionalFormatting xmlns:xm="http://schemas.microsoft.com/office/excel/2006/main">
          <x14:cfRule type="expression" priority="26" id="{CA78175A-FD8D-4F1F-BE96-6B674186CEC1}">
            <xm:f>NOT(Projektgrundlagen!$I$21)</xm:f>
            <x14:dxf>
              <font>
                <strike/>
                <color theme="0" tint="-0.14996795556505021"/>
              </font>
              <fill>
                <patternFill>
                  <bgColor theme="0"/>
                </patternFill>
              </fill>
            </x14:dxf>
          </x14:cfRule>
          <xm:sqref>F36</xm:sqref>
        </x14:conditionalFormatting>
        <x14:conditionalFormatting xmlns:xm="http://schemas.microsoft.com/office/excel/2006/main">
          <x14:cfRule type="expression" priority="24" id="{E418DFEF-1ADC-479B-A3C7-CCBA63E5B281}">
            <xm:f>NOT(Projektgrundlagen!$I$21)</xm:f>
            <x14:dxf>
              <font>
                <strike/>
                <color theme="0" tint="-0.14996795556505021"/>
              </font>
              <fill>
                <patternFill>
                  <bgColor theme="0"/>
                </patternFill>
              </fill>
            </x14:dxf>
          </x14:cfRule>
          <xm:sqref>F39</xm:sqref>
        </x14:conditionalFormatting>
        <x14:conditionalFormatting xmlns:xm="http://schemas.microsoft.com/office/excel/2006/main">
          <x14:cfRule type="expression" priority="22" id="{2704514E-DDE8-4079-95FB-6070542E855D}">
            <xm:f>NOT(Projektgrundlagen!$I$21)</xm:f>
            <x14:dxf>
              <font>
                <strike/>
                <color theme="0" tint="-0.14996795556505021"/>
              </font>
              <fill>
                <patternFill>
                  <bgColor theme="0"/>
                </patternFill>
              </fill>
            </x14:dxf>
          </x14:cfRule>
          <xm:sqref>F78:F84</xm:sqref>
        </x14:conditionalFormatting>
        <x14:conditionalFormatting xmlns:xm="http://schemas.microsoft.com/office/excel/2006/main">
          <x14:cfRule type="expression" priority="20" id="{1E15F527-046E-4C9F-8984-A7C22FC9A561}">
            <xm:f>NOT(Projektgrundlagen!$I$21)</xm:f>
            <x14:dxf>
              <font>
                <strike/>
                <color theme="0" tint="-0.14996795556505021"/>
              </font>
              <fill>
                <patternFill>
                  <bgColor theme="0"/>
                </patternFill>
              </fill>
            </x14:dxf>
          </x14:cfRule>
          <xm:sqref>F87</xm:sqref>
        </x14:conditionalFormatting>
        <x14:conditionalFormatting xmlns:xm="http://schemas.microsoft.com/office/excel/2006/main">
          <x14:cfRule type="expression" priority="18" id="{8073D680-726E-44FE-BF86-4002C6753963}">
            <xm:f>NOT(Projektgrundlagen!$I$21)</xm:f>
            <x14:dxf>
              <font>
                <strike/>
                <color theme="0" tint="-0.14996795556505021"/>
              </font>
              <fill>
                <patternFill>
                  <bgColor theme="0"/>
                </patternFill>
              </fill>
            </x14:dxf>
          </x14:cfRule>
          <xm:sqref>F90</xm:sqref>
        </x14:conditionalFormatting>
        <x14:conditionalFormatting xmlns:xm="http://schemas.microsoft.com/office/excel/2006/main">
          <x14:cfRule type="expression" priority="16" id="{BA075EA4-06CE-44E9-A3E5-41EAB485DA78}">
            <xm:f>NOT(Projektgrundlagen!$I$21)</xm:f>
            <x14:dxf>
              <font>
                <strike/>
                <color theme="0" tint="-0.14996795556505021"/>
              </font>
              <fill>
                <patternFill>
                  <bgColor theme="0"/>
                </patternFill>
              </fill>
            </x14:dxf>
          </x14:cfRule>
          <xm:sqref>F93</xm:sqref>
        </x14:conditionalFormatting>
        <x14:conditionalFormatting xmlns:xm="http://schemas.microsoft.com/office/excel/2006/main">
          <x14:cfRule type="expression" priority="14" id="{BDFE9BFA-FF53-4DB0-8F82-3AC466DDD72D}">
            <xm:f>NOT(Projektgrundlagen!$I$21)</xm:f>
            <x14:dxf>
              <font>
                <strike/>
                <color theme="0" tint="-0.14996795556505021"/>
              </font>
              <fill>
                <patternFill>
                  <bgColor theme="0"/>
                </patternFill>
              </fill>
            </x14:dxf>
          </x14:cfRule>
          <xm:sqref>F96:F100</xm:sqref>
        </x14:conditionalFormatting>
        <x14:conditionalFormatting xmlns:xm="http://schemas.microsoft.com/office/excel/2006/main">
          <x14:cfRule type="expression" priority="3" id="{5CD29210-F4CD-4B74-B07E-2785580709A1}">
            <xm:f>NOT(Projektgrundlagen!$I$21)</xm:f>
            <x14:dxf>
              <font>
                <strike/>
                <color theme="0" tint="-0.14996795556505021"/>
              </font>
              <fill>
                <patternFill>
                  <bgColor theme="0"/>
                </patternFill>
              </fill>
            </x14:dxf>
          </x14:cfRule>
          <xm:sqref>F57:F58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theme="1" tint="0.249977111117893"/>
    <pageSetUpPr fitToPage="1"/>
  </sheetPr>
  <dimension ref="A1:V193"/>
  <sheetViews>
    <sheetView showGridLines="0" zoomScaleNormal="100" zoomScaleSheetLayoutView="100" zoomScalePageLayoutView="118" workbookViewId="0">
      <selection activeCell="F5" sqref="F5:H5"/>
    </sheetView>
  </sheetViews>
  <sheetFormatPr baseColWidth="10" defaultColWidth="0" defaultRowHeight="16.5" zeroHeight="1"/>
  <cols>
    <col min="1" max="1" width="5.7109375" style="457" customWidth="1"/>
    <col min="2" max="2" width="4.42578125" style="1000" customWidth="1"/>
    <col min="3" max="5" width="3.28515625" style="1" customWidth="1"/>
    <col min="6" max="6" width="22.28515625" style="1" customWidth="1"/>
    <col min="7" max="7" width="10.7109375" style="1" customWidth="1"/>
    <col min="8" max="10" width="19" style="1" customWidth="1"/>
    <col min="11" max="11" width="2.7109375" style="1" customWidth="1"/>
    <col min="12" max="12" width="12.5703125" style="184" hidden="1" customWidth="1"/>
    <col min="13" max="14" width="14.7109375" style="78" hidden="1" customWidth="1"/>
    <col min="15" max="15" width="16.5703125" style="78" hidden="1" customWidth="1"/>
    <col min="16" max="16" width="12.140625" style="1" hidden="1" customWidth="1"/>
    <col min="17" max="17" width="12.42578125" style="1" hidden="1" customWidth="1"/>
    <col min="18" max="16384" width="11.28515625" style="1" hidden="1"/>
  </cols>
  <sheetData>
    <row r="1" spans="1:21"/>
    <row r="2" spans="1:21" ht="16.5" customHeight="1">
      <c r="B2" s="1327" t="str">
        <f>IF(Projektgrundlagen!B2="","",Projektgrundlagen!B2)</f>
        <v>Fachplanung Tragwerksplanung</v>
      </c>
      <c r="C2" s="1327"/>
      <c r="D2" s="1327"/>
      <c r="E2" s="1327"/>
      <c r="F2" s="1327"/>
      <c r="G2" s="1327"/>
      <c r="H2" s="1328"/>
      <c r="I2" s="448" t="str">
        <f>IF(Projektgrundlagen!F2="","",Projektgrundlagen!F2)</f>
        <v>VII.12.4</v>
      </c>
      <c r="J2" s="297" t="s">
        <v>166</v>
      </c>
      <c r="K2" s="1414" t="s">
        <v>159</v>
      </c>
      <c r="L2" s="63" t="s">
        <v>54</v>
      </c>
      <c r="P2" s="181" t="s">
        <v>153</v>
      </c>
      <c r="U2" s="181"/>
    </row>
    <row r="3" spans="1:21" ht="16.5" customHeight="1">
      <c r="B3" s="1421" t="s">
        <v>159</v>
      </c>
      <c r="C3" s="1421"/>
      <c r="D3" s="1421"/>
      <c r="E3" s="1421"/>
      <c r="F3" s="1421"/>
      <c r="G3" s="1421"/>
      <c r="H3" s="1422"/>
      <c r="I3" s="379" t="str">
        <f>IF(Projektgrundlagen!F3="","",Projektgrundlagen!F3)</f>
        <v>Vertragsnr.:</v>
      </c>
      <c r="J3" s="390" t="str">
        <f>IF(Projektgrundlagen!G3="","",Projektgrundlagen!G3)</f>
        <v>000.411.425</v>
      </c>
      <c r="K3" s="1415"/>
      <c r="P3" s="1" t="str">
        <f ca="1">MID(CELL("dateiname",A2),FIND("]",CELL("dateiname",A2))+1,255)</f>
        <v>E Honorarberechnung</v>
      </c>
    </row>
    <row r="4" spans="1:21" ht="7.5" customHeight="1">
      <c r="B4" s="1001"/>
      <c r="C4" s="366"/>
      <c r="D4" s="366"/>
      <c r="E4" s="366"/>
      <c r="F4" s="366"/>
      <c r="G4" s="366"/>
      <c r="H4" s="365"/>
      <c r="I4" s="365"/>
      <c r="J4" s="365"/>
      <c r="K4" s="1415"/>
    </row>
    <row r="5" spans="1:21">
      <c r="B5" s="1238" t="str">
        <f>IF(Projektgrundlagen!B5="","",Projektgrundlagen!B5)</f>
        <v>Maßnahmennr:</v>
      </c>
      <c r="C5" s="1239"/>
      <c r="D5" s="1239"/>
      <c r="E5" s="1239"/>
      <c r="F5" s="1338" t="str">
        <f>IF(Projektgrundlagen!E5="","",Projektgrundlagen!E5)</f>
        <v>B63SABBD000300</v>
      </c>
      <c r="G5" s="1338"/>
      <c r="H5" s="1338"/>
      <c r="I5" s="374" t="str">
        <f>IF(Projektgrundlagen!F5="","",Projektgrundlagen!F5)</f>
        <v>Vergabenr.:</v>
      </c>
      <c r="J5" s="391" t="str">
        <f>IF(Projektgrundlagen!G5="","",Projektgrundlagen!G5)</f>
        <v>24-080603 D</v>
      </c>
      <c r="K5" s="1415"/>
      <c r="P5" s="152"/>
    </row>
    <row r="6" spans="1:21">
      <c r="B6" s="1240" t="str">
        <f>IF(Projektgrundlagen!B6="","",Projektgrundlagen!B6)</f>
        <v>Maßnahme:</v>
      </c>
      <c r="C6" s="1241"/>
      <c r="D6" s="1241"/>
      <c r="E6" s="1241"/>
      <c r="F6" s="1315" t="str">
        <f>IF(Projektgrundlagen!E6="","",Projektgrundlagen!E6)</f>
        <v>B 26, Erneuerung der Brücke über die Bahn bei Wernfeld</v>
      </c>
      <c r="G6" s="1315"/>
      <c r="H6" s="1315"/>
      <c r="I6" s="1315"/>
      <c r="J6" s="1316"/>
      <c r="K6" s="1415"/>
      <c r="P6" s="152"/>
    </row>
    <row r="7" spans="1:21">
      <c r="B7" s="1242"/>
      <c r="C7" s="1243"/>
      <c r="D7" s="1243"/>
      <c r="E7" s="1243"/>
      <c r="F7" s="1419" t="str">
        <f>IF(Projektgrundlagen!E7="","",Projektgrundlagen!E7)</f>
        <v>Behelfsbrücke über die Bahn</v>
      </c>
      <c r="G7" s="1419"/>
      <c r="H7" s="1419"/>
      <c r="I7" s="1419"/>
      <c r="J7" s="1420"/>
      <c r="K7" s="1415"/>
    </row>
    <row r="8" spans="1:21">
      <c r="B8" s="1254" t="s">
        <v>109</v>
      </c>
      <c r="C8" s="1255"/>
      <c r="D8" s="1255"/>
      <c r="E8" s="1255"/>
      <c r="F8" s="1313" t="str">
        <f>IF(Projektgrundlagen!E8="","",Projektgrundlagen!E8)</f>
        <v/>
      </c>
      <c r="G8" s="1313"/>
      <c r="H8" s="1313"/>
      <c r="I8" s="1313"/>
      <c r="J8" s="1314"/>
      <c r="K8" s="1415"/>
      <c r="P8" s="152"/>
    </row>
    <row r="9" spans="1:21">
      <c r="B9" s="1002"/>
      <c r="C9" s="343"/>
      <c r="D9" s="343"/>
      <c r="E9" s="343"/>
      <c r="F9" s="369"/>
      <c r="G9" s="369"/>
      <c r="H9" s="369"/>
      <c r="I9" s="369"/>
      <c r="J9" s="369"/>
    </row>
    <row r="10" spans="1:21" s="119" customFormat="1" ht="30" customHeight="1">
      <c r="A10" s="1044"/>
      <c r="B10" s="1413" t="s">
        <v>159</v>
      </c>
      <c r="C10" s="1413"/>
      <c r="D10" s="1413"/>
      <c r="E10" s="1413"/>
      <c r="F10" s="1413"/>
      <c r="G10" s="1413" t="str">
        <f>IF(Projektgrundlagen!I24,"",LOOKUP(TRUE,Projektgrundlagen!I19:I23,Projektgrundlagen!J19:J23))</f>
        <v>Straßenbau</v>
      </c>
      <c r="H10" s="1413"/>
      <c r="I10" s="490"/>
      <c r="J10" s="490"/>
      <c r="K10" s="120"/>
      <c r="L10" s="120"/>
      <c r="M10" s="120"/>
      <c r="N10" s="120"/>
    </row>
    <row r="11" spans="1:21" ht="15" customHeight="1">
      <c r="A11" s="1044"/>
      <c r="B11" s="1103" t="s">
        <v>1</v>
      </c>
      <c r="C11" s="493"/>
      <c r="D11" s="284"/>
      <c r="E11" s="284"/>
      <c r="F11" s="491"/>
      <c r="G11" s="492"/>
      <c r="H11" s="493"/>
      <c r="I11" s="495"/>
      <c r="J11" s="494" t="s">
        <v>84</v>
      </c>
      <c r="L11" s="78"/>
    </row>
    <row r="12" spans="1:21" ht="7.5" customHeight="1">
      <c r="A12" s="1044"/>
      <c r="B12" s="1003"/>
      <c r="C12" s="5"/>
      <c r="D12" s="5"/>
      <c r="E12" s="5"/>
      <c r="F12" s="5"/>
      <c r="G12" s="5"/>
      <c r="H12" s="5"/>
      <c r="I12" s="5"/>
      <c r="J12" s="5"/>
    </row>
    <row r="13" spans="1:21" s="18" customFormat="1" ht="16.5" customHeight="1">
      <c r="A13" s="1045"/>
      <c r="B13" s="1004"/>
      <c r="C13" s="779" t="s">
        <v>114</v>
      </c>
      <c r="D13" s="780"/>
      <c r="E13" s="780"/>
      <c r="F13" s="780"/>
      <c r="G13" s="780"/>
      <c r="H13" s="780"/>
      <c r="I13" s="781"/>
      <c r="J13" s="782"/>
      <c r="L13" s="147" t="s">
        <v>110</v>
      </c>
      <c r="M13" s="147" t="s">
        <v>108</v>
      </c>
    </row>
    <row r="14" spans="1:21" customFormat="1" ht="16.5" customHeight="1">
      <c r="A14" s="1046"/>
      <c r="B14" s="1005">
        <v>1</v>
      </c>
      <c r="C14" s="6" t="s">
        <v>404</v>
      </c>
      <c r="D14" s="318"/>
      <c r="E14" s="258"/>
      <c r="F14" s="258"/>
      <c r="G14" s="258"/>
      <c r="H14" s="450" t="s">
        <v>472</v>
      </c>
      <c r="I14" s="55">
        <f>IF('A anrechb Kosten'!G49="",0,'A anrechb Kosten'!G49)</f>
        <v>2250000</v>
      </c>
      <c r="J14" s="60"/>
      <c r="L14" s="78" t="b">
        <f>NOT(M14)</f>
        <v>1</v>
      </c>
      <c r="M14" s="145" t="b">
        <f>'A anrechb Kosten'!I49</f>
        <v>0</v>
      </c>
      <c r="N14" s="145"/>
      <c r="O14" s="145"/>
    </row>
    <row r="15" spans="1:21" ht="16.5" customHeight="1">
      <c r="A15" s="1044"/>
      <c r="B15" s="1006">
        <v>2</v>
      </c>
      <c r="C15" s="608" t="s">
        <v>223</v>
      </c>
      <c r="D15" s="954"/>
      <c r="E15" s="609"/>
      <c r="F15" s="609"/>
      <c r="G15" s="610"/>
      <c r="H15" s="611" t="s">
        <v>473</v>
      </c>
      <c r="I15" s="331">
        <f>'H §52 HOAI'!E7</f>
        <v>3</v>
      </c>
      <c r="J15" s="60"/>
      <c r="L15" s="78"/>
    </row>
    <row r="16" spans="1:21" ht="16.5" customHeight="1">
      <c r="A16" s="1044"/>
      <c r="B16" s="1006">
        <v>3</v>
      </c>
      <c r="C16" s="630" t="s">
        <v>318</v>
      </c>
      <c r="D16" s="607"/>
      <c r="F16" s="607"/>
      <c r="G16" s="607"/>
      <c r="H16" s="607"/>
      <c r="I16" s="394"/>
      <c r="J16" s="60"/>
      <c r="M16" s="1093" t="s">
        <v>111</v>
      </c>
      <c r="N16" s="1093" t="s">
        <v>112</v>
      </c>
      <c r="O16" s="1093" t="s">
        <v>113</v>
      </c>
    </row>
    <row r="17" spans="1:17" ht="16.5" customHeight="1">
      <c r="A17" s="1041" t="str">
        <f>IF(COUNTIF($L$17:$L$18,TRUE)&lt;&gt;1,"è","")</f>
        <v/>
      </c>
      <c r="B17" s="1012" t="s">
        <v>57</v>
      </c>
      <c r="C17" s="274"/>
      <c r="D17" s="1416" t="s">
        <v>340</v>
      </c>
      <c r="E17" s="1417"/>
      <c r="F17" s="1417"/>
      <c r="G17" s="1417"/>
      <c r="H17" s="1417"/>
      <c r="I17" s="34"/>
      <c r="J17" s="60"/>
      <c r="L17" s="184" t="b">
        <v>1</v>
      </c>
      <c r="M17" s="120" t="b">
        <f>IF(COUNTIF(L17:L18,TRUE)=0,TRUE,FALSE)</f>
        <v>0</v>
      </c>
      <c r="N17" s="120" t="b">
        <f>IF(COUNTIF(L17:L18,TRUE)&gt;1,TRUE,FALSE)</f>
        <v>0</v>
      </c>
      <c r="O17" s="78" t="b">
        <f>AND(NOT(M17),NOT(N17),L14,OR(L17,L18))</f>
        <v>1</v>
      </c>
    </row>
    <row r="18" spans="1:17" ht="16.5" customHeight="1">
      <c r="A18" s="1041" t="str">
        <f>IF(COUNTIF($L$17:$L$18,TRUE)&lt;&gt;1,"è","")</f>
        <v/>
      </c>
      <c r="B18" s="1007" t="s">
        <v>317</v>
      </c>
      <c r="C18" s="274"/>
      <c r="D18" s="1235" t="s">
        <v>399</v>
      </c>
      <c r="E18" s="1236"/>
      <c r="F18" s="1236"/>
      <c r="G18" s="1236"/>
      <c r="H18" s="1236"/>
      <c r="I18" s="766"/>
      <c r="J18" s="61"/>
      <c r="L18" s="184" t="b">
        <v>0</v>
      </c>
      <c r="M18" s="120"/>
      <c r="N18" s="120"/>
      <c r="O18" s="1094" t="s">
        <v>320</v>
      </c>
      <c r="Q18" s="152"/>
    </row>
    <row r="19" spans="1:17" ht="17.25" customHeight="1">
      <c r="A19" s="1044"/>
      <c r="B19" s="1008"/>
      <c r="C19" s="186"/>
      <c r="D19" s="186"/>
      <c r="E19" s="186"/>
      <c r="F19" s="187"/>
      <c r="G19" s="188"/>
      <c r="H19" s="188"/>
      <c r="I19" s="188"/>
      <c r="J19" s="66"/>
      <c r="L19" s="1095"/>
      <c r="O19" s="78" t="b">
        <f>AND(NOT(M17),NOT(N17),M14,OR(L17,L18))</f>
        <v>0</v>
      </c>
    </row>
    <row r="20" spans="1:17" s="18" customFormat="1">
      <c r="A20" s="1045"/>
      <c r="B20" s="1004"/>
      <c r="C20" s="779" t="s">
        <v>239</v>
      </c>
      <c r="D20" s="780"/>
      <c r="E20" s="780"/>
      <c r="F20" s="780"/>
      <c r="G20" s="780"/>
      <c r="H20" s="780"/>
      <c r="I20" s="781"/>
      <c r="J20" s="782"/>
      <c r="L20" s="1096"/>
      <c r="M20" s="143"/>
      <c r="N20" s="143"/>
      <c r="O20" s="143"/>
    </row>
    <row r="21" spans="1:17" ht="16.5" customHeight="1">
      <c r="A21" s="1044"/>
      <c r="B21" s="1009">
        <v>4</v>
      </c>
      <c r="C21" s="6" t="s">
        <v>381</v>
      </c>
      <c r="D21" s="640"/>
      <c r="E21" s="258"/>
      <c r="F21" s="258"/>
      <c r="G21" s="258"/>
      <c r="H21" s="925" t="str">
        <f>IF(O17,'H §52 HOAI'!E4,"")</f>
        <v>nach § 52 HOAI</v>
      </c>
      <c r="I21" s="619"/>
      <c r="J21" s="737"/>
    </row>
    <row r="22" spans="1:17" ht="16.5" customHeight="1">
      <c r="A22" s="1044"/>
      <c r="B22" s="1010" t="s">
        <v>2</v>
      </c>
      <c r="C22" s="946"/>
      <c r="D22" s="467" t="str">
        <f>IF(OR(L27,L32),"Basishonorarsatz der Honorartafel vor Abweichung","Basishonorarsatz der Honorartafel ")</f>
        <v xml:space="preserve">Basishonorarsatz der Honorartafel </v>
      </c>
      <c r="E22" s="284"/>
      <c r="F22" s="467"/>
      <c r="G22" s="467"/>
      <c r="H22" s="915"/>
      <c r="I22" s="735">
        <f>IF(L14,'H §52 HOAI'!F10,0)</f>
        <v>145093.25</v>
      </c>
      <c r="J22" s="55">
        <f>IF(AND(L14,O17),I22,0)</f>
        <v>145093.25</v>
      </c>
    </row>
    <row r="23" spans="1:17" ht="16.5" customHeight="1">
      <c r="A23" s="1041" t="str">
        <f>IF(AND(M14,O19,I23=""),"è","")</f>
        <v/>
      </c>
      <c r="B23" s="1011" t="s">
        <v>3</v>
      </c>
      <c r="C23" s="244"/>
      <c r="D23" s="607" t="str">
        <f>IF(OR(L27,L32),"Honorarsatz außerhalb der Honorartafel vor Abweichung","Honorarsatz außerhalb der Honorartafel ")</f>
        <v xml:space="preserve">Honorarsatz außerhalb der Honorartafel </v>
      </c>
      <c r="F23" s="607"/>
      <c r="G23" s="607"/>
      <c r="H23" s="924"/>
      <c r="I23" s="982"/>
      <c r="J23" s="55">
        <f>IF(AND(M14,O19),I23,0)</f>
        <v>0</v>
      </c>
      <c r="M23" s="1093"/>
      <c r="N23" s="1093"/>
      <c r="O23" s="1093"/>
    </row>
    <row r="24" spans="1:17" ht="16.5" customHeight="1">
      <c r="A24" s="1041" t="str">
        <f>IF(AND(M14,L27,I24=""),"è","")</f>
        <v/>
      </c>
      <c r="B24" s="1011" t="s">
        <v>4</v>
      </c>
      <c r="C24" s="244"/>
      <c r="D24" s="1" t="str">
        <f>IF(O19,IF(OR(L27,L32),"Oberer Honorarsatz außerhalb der Honorartafel [Vorgabe für 4.4]","Oberer Honorarsatz außerhalb der Honorartafel [Vorgabe für 4.4]"),"")</f>
        <v/>
      </c>
      <c r="F24" s="607"/>
      <c r="G24" s="607"/>
      <c r="H24" s="607"/>
      <c r="I24" s="982"/>
      <c r="J24" s="740"/>
      <c r="M24" s="1093"/>
      <c r="N24" s="1093"/>
      <c r="O24" s="1093"/>
    </row>
    <row r="25" spans="1:17" ht="16.5" customHeight="1">
      <c r="A25" s="1044"/>
      <c r="B25" s="1011"/>
      <c r="C25" s="453"/>
      <c r="D25" s="34"/>
      <c r="E25" s="1418" t="str">
        <f>IF(O19,"Die Honorarsätze ergeben sich auf Grundlage der Anlage:","")</f>
        <v/>
      </c>
      <c r="F25" s="1418"/>
      <c r="G25" s="1418"/>
      <c r="H25" s="1418"/>
      <c r="I25" s="1418"/>
      <c r="J25" s="738"/>
      <c r="O25" s="184"/>
      <c r="Q25" s="152"/>
    </row>
    <row r="26" spans="1:17" ht="16.5" customHeight="1">
      <c r="A26" s="1044"/>
      <c r="B26" s="1011"/>
      <c r="C26" s="34"/>
      <c r="D26" s="9"/>
      <c r="E26" s="1411"/>
      <c r="F26" s="1411"/>
      <c r="G26" s="1411"/>
      <c r="H26" s="1411"/>
      <c r="I26" s="1412"/>
      <c r="J26" s="738"/>
      <c r="Q26" s="152"/>
    </row>
    <row r="27" spans="1:17" ht="16.5" customHeight="1">
      <c r="A27" s="1044"/>
      <c r="B27" s="1012" t="s">
        <v>5</v>
      </c>
      <c r="C27" s="322"/>
      <c r="D27" s="613" t="str">
        <f>IF(OR(L27,L32),"Abweichung vom Basishonorarsatz der Honorartafel (Überschreitung)","Abweichung vom Honorarsatz außerhalb der Honorartafel (Überschreitung)")</f>
        <v>Abweichung vom Honorarsatz außerhalb der Honorartafel (Überschreitung)</v>
      </c>
      <c r="E27" s="612"/>
      <c r="F27" s="612"/>
      <c r="G27" s="612"/>
      <c r="H27" s="612"/>
      <c r="I27" s="612"/>
      <c r="J27" s="739"/>
      <c r="L27" s="184" t="b">
        <v>0</v>
      </c>
      <c r="P27" s="39"/>
    </row>
    <row r="28" spans="1:17" ht="16.5" customHeight="1">
      <c r="A28" s="1041" t="str">
        <f>IF(AND(L27,I28=""),"è","")</f>
        <v/>
      </c>
      <c r="B28" s="1013" t="s">
        <v>6</v>
      </c>
      <c r="C28" s="4"/>
      <c r="D28" s="1" t="s">
        <v>345</v>
      </c>
      <c r="H28" s="330" t="s">
        <v>222</v>
      </c>
      <c r="I28" s="900"/>
      <c r="J28" s="706"/>
    </row>
    <row r="29" spans="1:17" ht="16.5" customHeight="1">
      <c r="A29" s="1044"/>
      <c r="B29" s="1013" t="s">
        <v>7</v>
      </c>
      <c r="C29" s="4"/>
      <c r="D29" s="1" t="s">
        <v>395</v>
      </c>
      <c r="I29" s="735">
        <f>IF(AND(O17,L27,I28&gt;0),'H §52 HOAI'!F11-'H §52 HOAI'!F10,IF(AND(O19,L27,I28&gt;0,I24&gt;I23),(I24-I23),0))</f>
        <v>0</v>
      </c>
      <c r="J29" s="55">
        <f>IF(AND(L27,NOT(L32)),I29*I28/100,0)</f>
        <v>0</v>
      </c>
    </row>
    <row r="30" spans="1:17" ht="16.5" customHeight="1">
      <c r="A30" s="1044"/>
      <c r="B30" s="1011"/>
      <c r="C30" s="4"/>
      <c r="D30" s="654"/>
      <c r="E30" s="1" t="s">
        <v>347</v>
      </c>
      <c r="H30" s="654"/>
      <c r="I30" s="654"/>
      <c r="J30" s="740"/>
    </row>
    <row r="31" spans="1:17" ht="16.5" customHeight="1">
      <c r="A31" s="1044"/>
      <c r="B31" s="1011"/>
      <c r="C31" s="3"/>
      <c r="D31" s="615"/>
      <c r="E31" s="1409"/>
      <c r="F31" s="1409"/>
      <c r="G31" s="1409"/>
      <c r="H31" s="1409"/>
      <c r="I31" s="1409"/>
      <c r="J31" s="30"/>
    </row>
    <row r="32" spans="1:17" ht="16.5" customHeight="1">
      <c r="A32" s="1044"/>
      <c r="B32" s="1012" t="s">
        <v>8</v>
      </c>
      <c r="C32" s="323"/>
      <c r="D32" s="613" t="str">
        <f>IF(OR(L27,L32),"Abweichung vom Basishonorarsatz (Unterschreitung)","Abweichung vom Honorarsatz außerhalb der Honorartafel (Unterschreitung)")</f>
        <v>Abweichung vom Honorarsatz außerhalb der Honorartafel (Unterschreitung)</v>
      </c>
      <c r="E32" s="765"/>
      <c r="F32" s="614"/>
      <c r="G32" s="614"/>
      <c r="H32" s="614"/>
      <c r="I32" s="617"/>
      <c r="J32" s="310"/>
      <c r="L32" s="184" t="b">
        <v>0</v>
      </c>
      <c r="P32" s="39"/>
    </row>
    <row r="33" spans="1:17" ht="16.5" customHeight="1">
      <c r="A33" s="1041" t="str">
        <f>IF(AND(L32,I33=""),"è","")</f>
        <v/>
      </c>
      <c r="B33" s="1013" t="s">
        <v>48</v>
      </c>
      <c r="C33" s="4"/>
      <c r="D33" s="1" t="s">
        <v>346</v>
      </c>
      <c r="F33" s="239"/>
      <c r="H33" s="330" t="s">
        <v>222</v>
      </c>
      <c r="I33" s="736"/>
      <c r="J33" s="55">
        <f>IF(AND(NOT(L27),L32),(J22+J23)*I33/100,0)</f>
        <v>0</v>
      </c>
      <c r="L33" s="78"/>
    </row>
    <row r="34" spans="1:17" ht="16.5" customHeight="1">
      <c r="A34" s="1044"/>
      <c r="B34" s="1011"/>
      <c r="C34" s="4"/>
      <c r="E34" s="1" t="s">
        <v>347</v>
      </c>
      <c r="J34" s="741"/>
    </row>
    <row r="35" spans="1:17" ht="16.5" customHeight="1">
      <c r="A35" s="1044"/>
      <c r="B35" s="1011"/>
      <c r="C35" s="4"/>
      <c r="D35" s="615"/>
      <c r="E35" s="1410" t="s">
        <v>717</v>
      </c>
      <c r="F35" s="1410"/>
      <c r="G35" s="1410"/>
      <c r="H35" s="1410"/>
      <c r="I35" s="1410"/>
      <c r="J35" s="37"/>
      <c r="P35" s="39" t="s">
        <v>858</v>
      </c>
    </row>
    <row r="36" spans="1:17" ht="16.5" customHeight="1">
      <c r="A36" s="1044"/>
      <c r="B36" s="1012" t="s">
        <v>845</v>
      </c>
      <c r="C36" s="627"/>
      <c r="D36" s="651" t="s">
        <v>319</v>
      </c>
      <c r="E36" s="628"/>
      <c r="F36" s="623"/>
      <c r="G36" s="623"/>
      <c r="H36" s="623"/>
      <c r="I36" s="629"/>
      <c r="J36" s="616">
        <f>IF(O17,-J33+J29+J22,IF(O19,-J33+J29+J23,0))</f>
        <v>145093.25</v>
      </c>
      <c r="P36" s="1129">
        <f>IF(J36&gt;0,J36,IF(I23&lt;&gt;"",I23,I22))</f>
        <v>145093.25</v>
      </c>
    </row>
    <row r="37" spans="1:17" ht="7.5" customHeight="1">
      <c r="A37" s="1044"/>
      <c r="B37" s="1014"/>
      <c r="C37" s="67"/>
      <c r="D37" s="67"/>
      <c r="E37" s="67"/>
      <c r="F37" s="67"/>
      <c r="G37" s="67"/>
      <c r="H37" s="66"/>
      <c r="I37" s="77"/>
      <c r="J37" s="321"/>
    </row>
    <row r="38" spans="1:17" ht="16.5" customHeight="1">
      <c r="A38" s="1044"/>
      <c r="B38" s="1015" t="s">
        <v>59</v>
      </c>
      <c r="C38" s="6" t="s">
        <v>224</v>
      </c>
      <c r="D38" s="318"/>
      <c r="E38" s="1102"/>
      <c r="F38" s="242"/>
      <c r="G38" s="242"/>
      <c r="H38" s="242"/>
      <c r="I38" s="242"/>
      <c r="J38" s="741"/>
      <c r="M38" s="1093" t="s">
        <v>111</v>
      </c>
      <c r="N38" s="1093" t="s">
        <v>112</v>
      </c>
      <c r="O38" s="1093" t="s">
        <v>115</v>
      </c>
    </row>
    <row r="39" spans="1:17" ht="30" customHeight="1">
      <c r="A39" s="1044"/>
      <c r="B39" s="1016"/>
      <c r="C39" s="4"/>
      <c r="D39" s="999"/>
      <c r="E39" s="1434" t="s">
        <v>119</v>
      </c>
      <c r="F39" s="1434"/>
      <c r="G39" s="1434"/>
      <c r="H39" s="1434"/>
      <c r="I39" s="1435"/>
      <c r="J39" s="742"/>
      <c r="L39" s="78"/>
      <c r="M39" s="120" t="b">
        <f>IF(COUNTIF(L40:L41,TRUE)=0,TRUE,FALSE)</f>
        <v>1</v>
      </c>
      <c r="N39" s="120" t="b">
        <f>IF(COUNTIF(O40:O41,TRUE)&gt;1,TRUE,FALSE)</f>
        <v>0</v>
      </c>
      <c r="O39" s="78" t="b">
        <f>AND(NOT(M39),NOT(N39))</f>
        <v>0</v>
      </c>
    </row>
    <row r="40" spans="1:17" ht="16.5" customHeight="1">
      <c r="A40" s="1044"/>
      <c r="B40" s="1010" t="s">
        <v>9</v>
      </c>
      <c r="C40" s="299"/>
      <c r="D40" s="1439" t="s">
        <v>123</v>
      </c>
      <c r="E40" s="1439"/>
      <c r="F40" s="1439"/>
      <c r="G40" s="1439"/>
      <c r="H40" s="932" t="s">
        <v>222</v>
      </c>
      <c r="I40" s="332"/>
      <c r="J40" s="30"/>
      <c r="L40" s="78" t="b">
        <f>IF(COUNT(I40)=1,TRUE,FALSE)</f>
        <v>0</v>
      </c>
      <c r="O40" s="78" t="b">
        <f>AND(L40,I40&gt;0,I40&lt;=100)</f>
        <v>0</v>
      </c>
    </row>
    <row r="41" spans="1:17" ht="16.5" customHeight="1">
      <c r="A41" s="1044"/>
      <c r="B41" s="1011" t="s">
        <v>49</v>
      </c>
      <c r="C41" s="4"/>
      <c r="D41" s="1440" t="s">
        <v>125</v>
      </c>
      <c r="E41" s="1440"/>
      <c r="F41" s="1440"/>
      <c r="G41" s="1440"/>
      <c r="H41" s="330" t="s">
        <v>222</v>
      </c>
      <c r="I41" s="332"/>
      <c r="J41" s="30"/>
      <c r="L41" s="78" t="b">
        <f>IF(COUNT(I41)=1,TRUE,FALSE)</f>
        <v>0</v>
      </c>
      <c r="O41" s="78" t="b">
        <f>AND(L41,I41&gt;0%)</f>
        <v>0</v>
      </c>
    </row>
    <row r="42" spans="1:17" ht="16.5" customHeight="1">
      <c r="A42" s="1044"/>
      <c r="B42" s="1017" t="s">
        <v>81</v>
      </c>
      <c r="C42" s="630"/>
      <c r="D42" s="614" t="str">
        <f>IF(AND(O39,O40),"Es ergibt sich eine Honorarminderung in Höhe von",IF(AND(O39,O41),"Es ergibt sich eine Honorarerhöhung in Höhe von",""))</f>
        <v/>
      </c>
      <c r="E42" s="468"/>
      <c r="F42" s="468"/>
      <c r="G42" s="468"/>
      <c r="H42" s="468"/>
      <c r="I42" s="631"/>
      <c r="J42" s="56">
        <f>IF(J36&gt;0,(IF(AND(O39,O40),I40,IF(AND(O39,I41),I41,0))/100)*J36,0)</f>
        <v>0</v>
      </c>
    </row>
    <row r="43" spans="1:17" ht="16.5" customHeight="1">
      <c r="A43" s="1044"/>
      <c r="B43" s="1013" t="s">
        <v>82</v>
      </c>
      <c r="C43" s="622"/>
      <c r="D43" s="956" t="str">
        <f>IF(AND(O39,O40),"Basishonorar der Leistungsphasen 1 bis 9 nach Minderung",IF(AND(O39,O41),"Basishonorar der Leistungsphasen 1 bis 9 nach Erhöhung","Basishonorar der Leistungsphasen 1 bis 9"))</f>
        <v>Basishonorar der Leistungsphasen 1 bis 9</v>
      </c>
      <c r="E43" s="632"/>
      <c r="F43" s="632"/>
      <c r="G43" s="632"/>
      <c r="H43" s="632"/>
      <c r="I43" s="633"/>
      <c r="J43" s="616">
        <f>IF(AND(O39,O40),J36-J42,IF(AND(O39,O41),J36+J42,J36))</f>
        <v>145093.25</v>
      </c>
    </row>
    <row r="44" spans="1:17" ht="7.5" customHeight="1">
      <c r="A44" s="1044"/>
      <c r="B44" s="1018"/>
      <c r="C44" s="318"/>
      <c r="D44" s="318"/>
      <c r="E44" s="318"/>
      <c r="F44" s="318"/>
      <c r="G44" s="318"/>
      <c r="H44" s="7"/>
      <c r="I44" s="133"/>
      <c r="J44" s="347"/>
    </row>
    <row r="45" spans="1:17" ht="16.5" customHeight="1">
      <c r="A45" s="1044"/>
      <c r="B45" s="1005">
        <v>6</v>
      </c>
      <c r="C45" s="995" t="s">
        <v>61</v>
      </c>
      <c r="D45" s="640"/>
      <c r="E45" s="640"/>
      <c r="F45" s="641"/>
      <c r="G45" s="642"/>
      <c r="H45" s="643" t="str">
        <f>IF(Projektgrundlagen!I21,"siehe Teil StB-C1",IF(Projektgrundlagen!I22,"siehe Teil HB-C1",IF(Projektgrundlagen!I23,"siehe Teil HB-C2","")))</f>
        <v>siehe Teil StB-C1</v>
      </c>
      <c r="I45" s="621"/>
      <c r="J45" s="743"/>
      <c r="Q45" s="152"/>
    </row>
    <row r="46" spans="1:17" ht="16.5" customHeight="1">
      <c r="A46" s="1044"/>
      <c r="B46" s="1012" t="s">
        <v>364</v>
      </c>
      <c r="C46" s="327"/>
      <c r="D46" s="1" t="s">
        <v>263</v>
      </c>
      <c r="F46" s="328"/>
      <c r="G46" s="328"/>
      <c r="H46" s="933" t="s">
        <v>222</v>
      </c>
      <c r="I46" s="329">
        <f>'StB-C1 Grundlstg'!J238+'HB-C1 Grundlstg Land'!J123+'HB-C2 Grundlstg Bund'!J129</f>
        <v>25</v>
      </c>
      <c r="J46" s="61"/>
      <c r="Q46" s="152"/>
    </row>
    <row r="47" spans="1:17" ht="16.5" customHeight="1">
      <c r="A47" s="1044"/>
      <c r="B47" s="1007" t="s">
        <v>405</v>
      </c>
      <c r="C47" s="622"/>
      <c r="D47" s="651" t="s">
        <v>264</v>
      </c>
      <c r="E47" s="623"/>
      <c r="F47" s="623"/>
      <c r="G47" s="623"/>
      <c r="H47" s="623"/>
      <c r="I47" s="634"/>
      <c r="J47" s="616">
        <f>IF(AND(O39,OR(O40,O41)),J43*I46%,J36*I46%)</f>
        <v>36273.3125</v>
      </c>
    </row>
    <row r="48" spans="1:17" ht="7.5" customHeight="1">
      <c r="A48" s="1044"/>
      <c r="B48" s="1018"/>
      <c r="C48" s="318"/>
      <c r="D48" s="318"/>
      <c r="E48" s="318"/>
      <c r="F48" s="318"/>
      <c r="G48" s="318"/>
      <c r="H48" s="7"/>
      <c r="I48" s="133"/>
      <c r="J48" s="347"/>
      <c r="M48" s="452"/>
    </row>
    <row r="49" spans="1:16" ht="16.5" customHeight="1">
      <c r="A49" s="1041"/>
      <c r="B49" s="1019">
        <v>7</v>
      </c>
      <c r="C49" s="987" t="s">
        <v>907</v>
      </c>
      <c r="D49" s="69"/>
      <c r="E49" s="69"/>
      <c r="F49" s="69"/>
      <c r="G49" s="69"/>
      <c r="H49" s="240"/>
      <c r="I49" s="142"/>
      <c r="J49" s="744"/>
      <c r="M49" s="1093" t="s">
        <v>111</v>
      </c>
      <c r="N49" s="1093" t="s">
        <v>112</v>
      </c>
      <c r="O49" s="1093" t="s">
        <v>115</v>
      </c>
      <c r="P49" s="39"/>
    </row>
    <row r="50" spans="1:16" ht="16.5" customHeight="1">
      <c r="A50" s="1041" t="str">
        <f>IF(COUNTIF($L$50:$L$54,TRUE)&lt;&gt;1,"è","")</f>
        <v/>
      </c>
      <c r="B50" s="1012" t="s">
        <v>269</v>
      </c>
      <c r="C50" s="454"/>
      <c r="D50" s="1441" t="s">
        <v>850</v>
      </c>
      <c r="E50" s="1442"/>
      <c r="F50" s="1442"/>
      <c r="G50" s="1442"/>
      <c r="H50" s="1442"/>
      <c r="I50" s="1442"/>
      <c r="J50" s="745"/>
      <c r="L50" s="184" t="b">
        <v>1</v>
      </c>
      <c r="M50" s="120" t="b">
        <f>IF(COUNTIF(L50:L54,TRUE)=0,TRUE,FALSE)</f>
        <v>0</v>
      </c>
      <c r="N50" s="120" t="b">
        <f>IF(COUNTIF(L50:L54,TRUE)&gt;1,TRUE,FALSE)</f>
        <v>0</v>
      </c>
      <c r="O50" s="78" t="b">
        <f>AND(NOT(M50),NOT(N50))</f>
        <v>1</v>
      </c>
    </row>
    <row r="51" spans="1:16" ht="16.5" customHeight="1">
      <c r="A51" s="1041"/>
      <c r="B51" s="1020" t="s">
        <v>270</v>
      </c>
      <c r="C51" s="451"/>
      <c r="D51" s="1443" t="s">
        <v>851</v>
      </c>
      <c r="E51" s="1443"/>
      <c r="F51" s="1443"/>
      <c r="G51" s="1443"/>
      <c r="H51" s="1443"/>
      <c r="I51" s="1443"/>
      <c r="J51" s="746"/>
      <c r="L51" s="78"/>
      <c r="P51" s="39"/>
    </row>
    <row r="52" spans="1:16" ht="16.5" customHeight="1">
      <c r="A52" s="1041" t="str">
        <f>IF(COUNTIF($L$50:$L$54,TRUE)&lt;&gt;1,"è","")</f>
        <v/>
      </c>
      <c r="B52" s="1012" t="s">
        <v>271</v>
      </c>
      <c r="C52" s="334"/>
      <c r="D52" s="1441" t="s">
        <v>324</v>
      </c>
      <c r="E52" s="1442"/>
      <c r="F52" s="1442"/>
      <c r="G52" s="1442"/>
      <c r="H52" s="1442"/>
      <c r="I52" s="1445"/>
      <c r="J52" s="745"/>
      <c r="L52" s="78" t="b">
        <v>0</v>
      </c>
      <c r="O52" s="78" t="b">
        <f>AND(L52,I53&gt;=0,I53&lt;=50,I53&lt;&gt;"")</f>
        <v>0</v>
      </c>
      <c r="P52" s="39"/>
    </row>
    <row r="53" spans="1:16" ht="16.5" customHeight="1">
      <c r="A53" s="1041"/>
      <c r="B53" s="1013" t="s">
        <v>272</v>
      </c>
      <c r="C53" s="625"/>
      <c r="D53" s="1443" t="s">
        <v>859</v>
      </c>
      <c r="E53" s="1443"/>
      <c r="F53" s="1443"/>
      <c r="G53" s="1443"/>
      <c r="H53" s="1444"/>
      <c r="I53" s="333"/>
      <c r="J53" s="336"/>
      <c r="L53" s="78"/>
      <c r="P53" s="39"/>
    </row>
    <row r="54" spans="1:16" ht="16.5" customHeight="1">
      <c r="A54" s="1041"/>
      <c r="B54" s="1020" t="s">
        <v>417</v>
      </c>
      <c r="C54" s="620"/>
      <c r="D54" s="467" t="str">
        <f>IF(AND(O50,L52),"Es ergibt sich ein Honorarzuschlag für Umbauten und Modernisierungen in Höhe von",IF(AND(L50,O50),"kein Umbauzuschlag",""))</f>
        <v>kein Umbauzuschlag</v>
      </c>
      <c r="E54" s="496"/>
      <c r="F54" s="496"/>
      <c r="G54" s="496"/>
      <c r="H54" s="496"/>
      <c r="I54" s="662"/>
      <c r="J54" s="56">
        <f>IF(AND(O50,O52),I53%*J47,0)</f>
        <v>0</v>
      </c>
    </row>
    <row r="55" spans="1:16" ht="16.5" customHeight="1">
      <c r="A55" s="1044"/>
      <c r="B55" s="1007" t="s">
        <v>418</v>
      </c>
      <c r="C55" s="622"/>
      <c r="D55" s="651" t="s">
        <v>264</v>
      </c>
      <c r="E55" s="623"/>
      <c r="F55" s="623"/>
      <c r="G55" s="623"/>
      <c r="H55" s="623"/>
      <c r="I55" s="624"/>
      <c r="J55" s="616">
        <f>IF(AND(L52,O52),J54+J47,IF(L50,J47,0))</f>
        <v>36273.3125</v>
      </c>
    </row>
    <row r="56" spans="1:16" ht="7.5" customHeight="1">
      <c r="A56" s="1044"/>
      <c r="B56" s="1021"/>
      <c r="C56" s="34"/>
      <c r="D56" s="320"/>
      <c r="E56" s="320"/>
      <c r="F56" s="320"/>
      <c r="G56" s="320"/>
      <c r="H56" s="320"/>
      <c r="I56" s="14"/>
      <c r="J56" s="14"/>
      <c r="L56" s="78"/>
      <c r="P56" s="39"/>
    </row>
    <row r="57" spans="1:16" ht="16.5" customHeight="1">
      <c r="A57" s="1044"/>
      <c r="B57" s="1022">
        <v>8</v>
      </c>
      <c r="C57" s="318" t="s">
        <v>447</v>
      </c>
      <c r="D57" s="988"/>
      <c r="E57" s="988"/>
      <c r="F57" s="988"/>
      <c r="G57" s="988"/>
      <c r="H57" s="988"/>
      <c r="I57" s="988"/>
      <c r="J57" s="747"/>
      <c r="P57" s="39"/>
    </row>
    <row r="58" spans="1:16" ht="16.5" customHeight="1">
      <c r="A58" s="1044"/>
      <c r="B58" s="1012" t="s">
        <v>72</v>
      </c>
      <c r="C58" s="326"/>
      <c r="D58" s="1431" t="s">
        <v>452</v>
      </c>
      <c r="E58" s="1432"/>
      <c r="F58" s="1432"/>
      <c r="G58" s="1432"/>
      <c r="H58" s="1432"/>
      <c r="I58" s="1433"/>
      <c r="J58" s="748"/>
      <c r="L58" s="184" t="b">
        <v>0</v>
      </c>
      <c r="P58" s="39"/>
    </row>
    <row r="59" spans="1:16" ht="43.15" customHeight="1">
      <c r="A59" s="1044"/>
      <c r="B59" s="1020"/>
      <c r="C59" s="42"/>
      <c r="D59" s="1293" t="s">
        <v>379</v>
      </c>
      <c r="E59" s="1293"/>
      <c r="F59" s="1293"/>
      <c r="G59" s="1293"/>
      <c r="H59" s="1293"/>
      <c r="I59" s="1293"/>
      <c r="J59" s="748"/>
      <c r="M59" s="337"/>
    </row>
    <row r="60" spans="1:16" ht="16.5" customHeight="1">
      <c r="A60" s="1041" t="str">
        <f>IF(AND(L58,I60=""),"è","")</f>
        <v/>
      </c>
      <c r="B60" s="1017" t="s">
        <v>365</v>
      </c>
      <c r="C60" s="636"/>
      <c r="D60" s="1287" t="s">
        <v>218</v>
      </c>
      <c r="E60" s="1287"/>
      <c r="F60" s="1287"/>
      <c r="G60" s="1287"/>
      <c r="H60" s="1288"/>
      <c r="I60" s="325"/>
      <c r="J60" s="30"/>
      <c r="L60" s="78"/>
      <c r="M60" s="337"/>
      <c r="N60" s="144"/>
      <c r="O60" s="144"/>
    </row>
    <row r="61" spans="1:16" ht="16.5" customHeight="1">
      <c r="A61" s="1044"/>
      <c r="B61" s="1017" t="s">
        <v>366</v>
      </c>
      <c r="C61" s="955"/>
      <c r="D61" s="1" t="str">
        <f>IF(L58,IF(I60&lt;&gt;"","Die Minderung der v.H.-Sätze der Leistungsphasen 1 bis 6 beträgt",""),"keine Wiederholungen")</f>
        <v>keine Wiederholungen</v>
      </c>
      <c r="E61" s="9"/>
      <c r="F61" s="9"/>
      <c r="G61" s="9"/>
      <c r="H61" s="9"/>
      <c r="I61" s="637" t="str">
        <f>IF(AND(L58,I60&lt;&gt;""),IF(ROUND(I60,0)&lt;1,0,IF(ROUND(I60,0)&lt;5,50%,IF(ROUND(I60,0)&lt;8,60%,90%))),"")</f>
        <v/>
      </c>
      <c r="J61" s="37"/>
      <c r="L61" s="78"/>
      <c r="N61" s="144"/>
      <c r="O61" s="456"/>
    </row>
    <row r="62" spans="1:16" ht="16.5" customHeight="1">
      <c r="A62" s="1044"/>
      <c r="B62" s="1017" t="s">
        <v>367</v>
      </c>
      <c r="C62" s="466"/>
      <c r="D62" s="944" t="str">
        <f>IF(AND(L58,I60&lt;&gt;""),IF(AND(L52,I52&gt;0),"Es ergibt sich eine Honorarminderung inkl. Umbauzuschlag in Höhe von","Es ergibt sich eine Honorarminderung in Höhe von"),"")</f>
        <v/>
      </c>
      <c r="E62" s="638"/>
      <c r="F62" s="638"/>
      <c r="G62" s="638"/>
      <c r="H62" s="638"/>
      <c r="I62" s="639">
        <f>IF(AND(L58,I61&lt;&gt;"",I61&gt;0),SUM(P104:P109)/100*I61,0)</f>
        <v>0</v>
      </c>
      <c r="J62" s="455">
        <f>IF(AND(L58,I61&gt;0,J47&gt;0),IF(J43&gt;0,IF(J54&gt;0,J43*(1+I53/100)*I62,J43*I62),IF(J54&gt;0,J36*(1+I53)*I62,J36*I62)),0)</f>
        <v>0</v>
      </c>
      <c r="L62" s="78"/>
      <c r="N62" s="253"/>
      <c r="O62" s="253"/>
    </row>
    <row r="63" spans="1:16" ht="16.5" customHeight="1">
      <c r="A63" s="1044"/>
      <c r="B63" s="1007" t="s">
        <v>446</v>
      </c>
      <c r="C63" s="622"/>
      <c r="D63" s="651" t="s">
        <v>264</v>
      </c>
      <c r="E63" s="623"/>
      <c r="F63" s="623"/>
      <c r="G63" s="623"/>
      <c r="H63" s="623"/>
      <c r="I63" s="635"/>
      <c r="J63" s="616">
        <f>IF(NOT(L58),J55,IF(L58,-J62+J55,IF(AND(L58,L17=FALSE,L18=FALSE),-J62+J47,0)))</f>
        <v>36273.3125</v>
      </c>
    </row>
    <row r="64" spans="1:16" ht="7.5" customHeight="1">
      <c r="A64" s="1044"/>
      <c r="B64" s="1021"/>
      <c r="C64" s="34"/>
      <c r="D64" s="320"/>
      <c r="E64" s="320"/>
      <c r="F64" s="320"/>
      <c r="G64" s="320"/>
      <c r="H64" s="320"/>
      <c r="I64" s="320"/>
      <c r="J64" s="320"/>
      <c r="L64" s="78"/>
      <c r="N64" s="144"/>
      <c r="O64" s="144"/>
    </row>
    <row r="65" spans="1:17" ht="16.5" customHeight="1">
      <c r="A65" s="1044"/>
      <c r="B65" s="1005">
        <v>9</v>
      </c>
      <c r="C65" s="6" t="s">
        <v>262</v>
      </c>
      <c r="D65" s="318"/>
      <c r="E65" s="318"/>
      <c r="F65" s="318"/>
      <c r="G65" s="324"/>
      <c r="H65" s="450" t="str">
        <f>IF(Projektgrundlagen!I21,"siehe Teil StB-D1",IF(Projektgrundlagen!I22,"siehe Teil HB-D1",IF(Projektgrundlagen!I23,"siehe Teil HB-D2","")))</f>
        <v>siehe Teil StB-D1</v>
      </c>
      <c r="I65" s="318"/>
      <c r="J65" s="749"/>
    </row>
    <row r="66" spans="1:17" ht="16.5" customHeight="1">
      <c r="A66" s="1044"/>
      <c r="B66" s="1017" t="s">
        <v>273</v>
      </c>
      <c r="C66" s="620"/>
      <c r="D66" s="944" t="s">
        <v>261</v>
      </c>
      <c r="E66" s="944"/>
      <c r="F66" s="993"/>
      <c r="G66" s="993"/>
      <c r="H66" s="993"/>
      <c r="I66" s="994"/>
      <c r="J66" s="56">
        <f>SUM('StB-D1 Besondere Lstg'!K177,'HB-D1 Besondere Lstg Land'!K104,'HB-D2 Besondere Lstg Bund'!K84)</f>
        <v>0</v>
      </c>
    </row>
    <row r="67" spans="1:17" ht="16.5" customHeight="1">
      <c r="A67" s="1044"/>
      <c r="B67" s="1023" t="s">
        <v>274</v>
      </c>
      <c r="C67" s="622"/>
      <c r="D67" s="651" t="s">
        <v>282</v>
      </c>
      <c r="E67" s="623"/>
      <c r="F67" s="623"/>
      <c r="G67" s="623"/>
      <c r="H67" s="623"/>
      <c r="I67" s="635"/>
      <c r="J67" s="616">
        <f>IF(L58,J66+J63,J66+J55)</f>
        <v>36273.3125</v>
      </c>
    </row>
    <row r="68" spans="1:17" ht="7.5" customHeight="1">
      <c r="A68" s="1044"/>
      <c r="B68" s="1021"/>
      <c r="C68" s="34"/>
      <c r="D68" s="320"/>
      <c r="E68" s="320"/>
      <c r="F68" s="320"/>
      <c r="G68" s="320"/>
      <c r="H68" s="320"/>
      <c r="I68" s="320"/>
      <c r="J68" s="320"/>
    </row>
    <row r="69" spans="1:17" ht="16.5" customHeight="1">
      <c r="A69" s="1044"/>
      <c r="B69" s="1019">
        <v>10</v>
      </c>
      <c r="C69" s="987" t="s">
        <v>56</v>
      </c>
      <c r="D69" s="69"/>
      <c r="E69" s="69"/>
      <c r="F69" s="141"/>
      <c r="G69" s="142"/>
      <c r="H69" s="141"/>
      <c r="I69" s="141"/>
      <c r="J69" s="744"/>
      <c r="M69" s="1093" t="s">
        <v>111</v>
      </c>
      <c r="N69" s="1093" t="s">
        <v>112</v>
      </c>
      <c r="O69" s="1093" t="s">
        <v>115</v>
      </c>
    </row>
    <row r="70" spans="1:17" ht="16.5" customHeight="1">
      <c r="A70" s="1041" t="str">
        <f>IF(COUNTIF($L$70:$L$73,TRUE)&lt;&gt;1,"è","")</f>
        <v/>
      </c>
      <c r="B70" s="1010" t="s">
        <v>275</v>
      </c>
      <c r="C70" s="335"/>
      <c r="D70" s="989" t="s">
        <v>409</v>
      </c>
      <c r="E70" s="958"/>
      <c r="F70" s="990"/>
      <c r="G70" s="991"/>
      <c r="H70" s="990"/>
      <c r="I70" s="992"/>
      <c r="J70" s="750"/>
      <c r="L70" s="184" t="b">
        <v>0</v>
      </c>
      <c r="M70" s="120" t="b">
        <f>IF(COUNTIF(L70:L73,TRUE)=0,TRUE,FALSE)</f>
        <v>0</v>
      </c>
      <c r="N70" s="120" t="b">
        <f>IF(COUNTIF(L70:L73,TRUE)&gt;1,TRUE,FALSE)</f>
        <v>0</v>
      </c>
      <c r="O70" s="78" t="b">
        <f>AND(NOT(M70),NOT(N70),J67&lt;&gt;"")</f>
        <v>1</v>
      </c>
    </row>
    <row r="71" spans="1:17" ht="16.5" customHeight="1">
      <c r="A71" s="1041" t="str">
        <f t="shared" ref="A71:A73" si="0">IF(COUNTIF($L$70:$L$73,TRUE)&lt;&gt;1,"è","")</f>
        <v/>
      </c>
      <c r="B71" s="1011" t="s">
        <v>276</v>
      </c>
      <c r="C71" s="348"/>
      <c r="D71" s="275" t="s">
        <v>120</v>
      </c>
      <c r="E71" s="276"/>
      <c r="F71" s="644"/>
      <c r="G71" s="644"/>
      <c r="H71" s="645"/>
      <c r="I71" s="72"/>
      <c r="J71" s="55">
        <f>IF(AND(L71,O71,$O$70),I71*$J$67,0)</f>
        <v>0</v>
      </c>
      <c r="K71" s="98"/>
      <c r="L71" s="184" t="b">
        <v>1</v>
      </c>
      <c r="O71" s="78" t="b">
        <f>AND(I71&gt;=0%,I71&lt;=100%,I71&lt;&gt;"")</f>
        <v>0</v>
      </c>
      <c r="Q71" s="152"/>
    </row>
    <row r="72" spans="1:17" ht="16.5" customHeight="1">
      <c r="A72" s="1041" t="str">
        <f t="shared" si="0"/>
        <v/>
      </c>
      <c r="B72" s="1010" t="s">
        <v>333</v>
      </c>
      <c r="C72" s="348"/>
      <c r="D72" s="275" t="s">
        <v>121</v>
      </c>
      <c r="E72" s="276"/>
      <c r="F72" s="644"/>
      <c r="G72" s="644"/>
      <c r="H72" s="645"/>
      <c r="I72" s="140"/>
      <c r="J72" s="55">
        <f>IF(AND(L72,O72,$O$70),I72,0)</f>
        <v>0</v>
      </c>
      <c r="L72" s="1095" t="b">
        <v>0</v>
      </c>
      <c r="O72" s="1097" t="b">
        <f>AND(I72&gt;=0,I72&lt;&gt;"")</f>
        <v>0</v>
      </c>
    </row>
    <row r="73" spans="1:17" ht="16.5" customHeight="1">
      <c r="A73" s="1041" t="str">
        <f t="shared" si="0"/>
        <v/>
      </c>
      <c r="B73" s="1011" t="s">
        <v>334</v>
      </c>
      <c r="C73" s="348"/>
      <c r="D73" s="286" t="s">
        <v>325</v>
      </c>
      <c r="E73" s="286"/>
      <c r="F73" s="287"/>
      <c r="G73" s="287"/>
      <c r="H73" s="288"/>
      <c r="I73" s="646"/>
      <c r="J73" s="55"/>
      <c r="L73" s="1095" t="b">
        <v>0</v>
      </c>
      <c r="O73" s="1097"/>
    </row>
    <row r="74" spans="1:17" ht="16.5" customHeight="1">
      <c r="A74" s="1044"/>
      <c r="B74" s="1011" t="s">
        <v>419</v>
      </c>
      <c r="C74" s="284">
        <v>1</v>
      </c>
      <c r="D74" s="285" t="s">
        <v>67</v>
      </c>
      <c r="E74" s="284"/>
      <c r="F74" s="285"/>
      <c r="G74" s="356"/>
      <c r="H74" s="461" t="str">
        <f>IF(Projektgrundlagen!$I$22,"(Leistungsstufe 1A)",IF(Projektgrundlagen!$I$23,"(Leistungsstufe 1)",""))</f>
        <v/>
      </c>
      <c r="I74" s="72"/>
      <c r="J74" s="55">
        <f>IF(AND($L$73,O74,$O$70),I74*($J$63/$P$113*P104+SUM(Q104,R104)),0)</f>
        <v>0</v>
      </c>
      <c r="O74" s="1097" t="str">
        <f>IF(O104,AND(I74&gt;=0,I74&lt;&gt;""),"")</f>
        <v/>
      </c>
    </row>
    <row r="75" spans="1:17" ht="16.5" customHeight="1">
      <c r="A75" s="1044"/>
      <c r="B75" s="1011" t="s">
        <v>420</v>
      </c>
      <c r="C75" s="284">
        <v>2</v>
      </c>
      <c r="D75" s="284" t="s">
        <v>73</v>
      </c>
      <c r="E75" s="284"/>
      <c r="F75" s="284"/>
      <c r="G75" s="357"/>
      <c r="H75" s="461" t="str">
        <f>IF(Projektgrundlagen!$I$22,"(Leistungsstufe 1B)",IF(Projektgrundlagen!$I$23,"(Leistungsstufe 1)",""))</f>
        <v/>
      </c>
      <c r="I75" s="72"/>
      <c r="J75" s="55">
        <f>IF(AND($L$73,O75,$O$70),I75*($J$63/$P$113*P105+SUM(Q105,R105)),0)</f>
        <v>0</v>
      </c>
      <c r="O75" s="1097" t="b">
        <f>IF(O105,AND(I75&gt;=0,I75&lt;&gt;""),"")</f>
        <v>0</v>
      </c>
    </row>
    <row r="76" spans="1:17" ht="16.5" customHeight="1">
      <c r="A76" s="1044"/>
      <c r="B76" s="1011" t="s">
        <v>421</v>
      </c>
      <c r="C76" s="284">
        <v>3</v>
      </c>
      <c r="D76" s="284" t="s">
        <v>74</v>
      </c>
      <c r="E76" s="284"/>
      <c r="F76" s="284"/>
      <c r="G76" s="357"/>
      <c r="H76" s="461" t="str">
        <f>IF(Projektgrundlagen!$I$22,"(Leistungsstufe 1C)",IF(Projektgrundlagen!$I$23,"(Leistungsstufe 1)",""))</f>
        <v/>
      </c>
      <c r="I76" s="72"/>
      <c r="J76" s="55">
        <f>IF(AND($L$73,O76,$O$70),I76*($J$63/$P$113*P106+SUM(Q106,R106)),0)</f>
        <v>0</v>
      </c>
      <c r="O76" s="1097" t="b">
        <f>IF(O106,AND(I76&gt;=0,I76&lt;&gt;""),"")</f>
        <v>0</v>
      </c>
    </row>
    <row r="77" spans="1:17" ht="16.5" customHeight="1">
      <c r="A77" s="1044"/>
      <c r="B77" s="1011" t="s">
        <v>422</v>
      </c>
      <c r="C77" s="284">
        <v>4</v>
      </c>
      <c r="D77" s="284" t="s">
        <v>75</v>
      </c>
      <c r="E77" s="284"/>
      <c r="F77" s="284"/>
      <c r="G77" s="357"/>
      <c r="H77" s="461" t="str">
        <f>IF(Projektgrundlagen!$I$22,"(Leistungsstufe 1D)",IF(Projektgrundlagen!$I$23,"(Leistungsstufe 1)",""))</f>
        <v/>
      </c>
      <c r="I77" s="72"/>
      <c r="J77" s="55">
        <f>IF(AND($L$73,O77,$O$70),I77*($J$63/$P$113*P107+SUM(Q107,R107)),0)</f>
        <v>0</v>
      </c>
      <c r="M77" s="253"/>
      <c r="O77" s="1097" t="str">
        <f>IF(O107,AND(I77&gt;=0,I77&lt;&gt;""),"")</f>
        <v/>
      </c>
    </row>
    <row r="78" spans="1:17" ht="16.5" customHeight="1">
      <c r="A78" s="1044"/>
      <c r="B78" s="1011" t="s">
        <v>423</v>
      </c>
      <c r="C78" s="284"/>
      <c r="D78" s="284" t="str">
        <f>IF(Projektgrundlagen!$I$23,"Besondere Leistungen","")</f>
        <v/>
      </c>
      <c r="E78" s="284"/>
      <c r="F78" s="284"/>
      <c r="G78" s="356"/>
      <c r="H78" s="461" t="str">
        <f>IF(Projektgrundlagen!$I$23,"(Leistungsstufe 1)","")</f>
        <v/>
      </c>
      <c r="I78" s="72"/>
      <c r="J78" s="55">
        <f>IF(AND($L$73,O77,$O$70),I77*(SUM(S107)),0)</f>
        <v>0</v>
      </c>
      <c r="M78" s="253"/>
      <c r="O78" s="1097" t="str">
        <f>IF(T107,AND(I78&gt;=0,I78&lt;&gt;""),"")</f>
        <v/>
      </c>
    </row>
    <row r="79" spans="1:17" ht="16.5" customHeight="1">
      <c r="A79" s="1044"/>
      <c r="B79" s="1011" t="s">
        <v>424</v>
      </c>
      <c r="C79" s="284">
        <v>5</v>
      </c>
      <c r="D79" s="284" t="s">
        <v>76</v>
      </c>
      <c r="E79" s="284"/>
      <c r="F79" s="284"/>
      <c r="G79" s="357"/>
      <c r="H79" s="461" t="str">
        <f>IF(Projektgrundlagen!$I$22,"(Leistungsstufe 2)",IF(Projektgrundlagen!$I$23,"(Leistungsstufe 2)",""))</f>
        <v/>
      </c>
      <c r="I79" s="72"/>
      <c r="J79" s="55">
        <f>IF(AND($L$73,O79,$O$70),I79*($J$63/$P$113*P108+SUM(Q108:S108)),0)</f>
        <v>0</v>
      </c>
      <c r="O79" s="1097" t="str">
        <f>IF(O108,AND(I79&gt;=0,I79&lt;&gt;""),"")</f>
        <v/>
      </c>
    </row>
    <row r="80" spans="1:17" ht="16.5" customHeight="1">
      <c r="A80" s="1044"/>
      <c r="B80" s="1011" t="s">
        <v>425</v>
      </c>
      <c r="C80" s="284">
        <v>6</v>
      </c>
      <c r="D80" s="284" t="s">
        <v>77</v>
      </c>
      <c r="E80" s="284"/>
      <c r="F80" s="284"/>
      <c r="G80" s="357"/>
      <c r="H80" s="461" t="str">
        <f>IF(Projektgrundlagen!$I$22,"(Leistungsstufe 3A)",IF(Projektgrundlagen!$I$23,"(Leistungsstufe 3)",""))</f>
        <v/>
      </c>
      <c r="I80" s="72"/>
      <c r="J80" s="55">
        <f>IF(AND($L$73,O80,$O$70),I80*($J$63/$P$113*P109+SUM(Q109,R109)),0)</f>
        <v>0</v>
      </c>
      <c r="O80" s="1097" t="str">
        <f>IF(O109,AND(I80&gt;=0,I80&lt;&gt;""),"")</f>
        <v/>
      </c>
    </row>
    <row r="81" spans="1:15" ht="16.5" customHeight="1">
      <c r="A81" s="1044"/>
      <c r="B81" s="1011" t="s">
        <v>426</v>
      </c>
      <c r="C81" s="284">
        <v>7</v>
      </c>
      <c r="D81" s="284" t="s">
        <v>78</v>
      </c>
      <c r="E81" s="284"/>
      <c r="F81" s="284"/>
      <c r="G81" s="357"/>
      <c r="H81" s="461" t="str">
        <f>IF(Projektgrundlagen!$I$22,"(Leistungsstufe 3B)",IF(Projektgrundlagen!$I$23,"(Leistungsstufe 3)",""))</f>
        <v/>
      </c>
      <c r="I81" s="72"/>
      <c r="J81" s="55">
        <f>IF(AND($L$73,O81,$O$70),I81*($J$63/$P$113*P110+SUM(Q110,R110)),0)</f>
        <v>0</v>
      </c>
      <c r="O81" s="1097" t="str">
        <f>IF(O110,AND(I81&gt;=0,I81&lt;&gt;""),"")</f>
        <v/>
      </c>
    </row>
    <row r="82" spans="1:15" ht="16.5" customHeight="1">
      <c r="A82" s="1044"/>
      <c r="B82" s="1011" t="s">
        <v>427</v>
      </c>
      <c r="C82" s="284"/>
      <c r="D82" s="284" t="str">
        <f>IF(Projektgrundlagen!$I$23,"Besondere Leistungen","")</f>
        <v/>
      </c>
      <c r="E82" s="284"/>
      <c r="F82" s="284"/>
      <c r="G82" s="356"/>
      <c r="H82" s="461" t="str">
        <f>IF(Projektgrundlagen!$I$23,"(Leistungsstufe 3)","")</f>
        <v/>
      </c>
      <c r="I82" s="72"/>
      <c r="J82" s="55">
        <f>IF(AND($L$73,O82,$O$70),I82*(SUM(S110)),0)</f>
        <v>0</v>
      </c>
      <c r="O82" s="1097" t="str">
        <f>IF(T110,AND(I82&gt;=0,I82&lt;&gt;""),"")</f>
        <v/>
      </c>
    </row>
    <row r="83" spans="1:15" ht="16.5" customHeight="1">
      <c r="A83" s="1044"/>
      <c r="B83" s="1011" t="s">
        <v>428</v>
      </c>
      <c r="C83" s="284">
        <v>8</v>
      </c>
      <c r="D83" s="284" t="s">
        <v>79</v>
      </c>
      <c r="E83" s="284"/>
      <c r="F83" s="284"/>
      <c r="G83" s="357"/>
      <c r="H83" s="461" t="str">
        <f>IF(Projektgrundlagen!$I$22,"(Leistungsstufe 4)",IF(Projektgrundlagen!$I$23,"(Leistungsstufe 4)",""))</f>
        <v/>
      </c>
      <c r="I83" s="72"/>
      <c r="J83" s="55">
        <f>IF(AND($L$73,O83,$O$70),I83*($J$63/$P$113*P111+SUM(Q111:S111)),0)</f>
        <v>0</v>
      </c>
      <c r="O83" s="1097" t="str">
        <f>IF(O111,AND(I83&gt;=0,I83&lt;&gt;""),"")</f>
        <v/>
      </c>
    </row>
    <row r="84" spans="1:15" ht="16.5" customHeight="1">
      <c r="A84" s="1044"/>
      <c r="B84" s="1011" t="s">
        <v>429</v>
      </c>
      <c r="C84" s="284">
        <v>9</v>
      </c>
      <c r="D84" s="284" t="s">
        <v>66</v>
      </c>
      <c r="E84" s="284"/>
      <c r="F84" s="284"/>
      <c r="G84" s="357"/>
      <c r="H84" s="461" t="str">
        <f>IF(Projektgrundlagen!$I$22,"(Leistungsstufe 5)",IF(Projektgrundlagen!$I$23,"(Leistungsstufe 5)",""))</f>
        <v/>
      </c>
      <c r="I84" s="72"/>
      <c r="J84" s="55">
        <f>IF(AND($L$73,O84,$O$70),I84*($J$63/$P$113*P112+SUM(Q112:S112)),0)</f>
        <v>0</v>
      </c>
      <c r="O84" s="1097" t="str">
        <f>IF(O112,AND(I84&gt;=0,I84&lt;&gt;""),"")</f>
        <v/>
      </c>
    </row>
    <row r="85" spans="1:15" ht="16.5" customHeight="1">
      <c r="A85" s="1044"/>
      <c r="B85" s="1006">
        <v>11</v>
      </c>
      <c r="C85" s="256"/>
      <c r="D85" s="241" t="s">
        <v>122</v>
      </c>
      <c r="E85" s="241"/>
      <c r="F85" s="57"/>
      <c r="G85" s="57"/>
      <c r="H85" s="58"/>
      <c r="I85" s="283"/>
      <c r="J85" s="65"/>
      <c r="L85" s="1095" t="b">
        <v>0</v>
      </c>
    </row>
    <row r="86" spans="1:15" ht="16.5" customHeight="1">
      <c r="A86" s="1044"/>
      <c r="B86" s="1011" t="s">
        <v>406</v>
      </c>
      <c r="C86" s="11"/>
      <c r="D86" s="323"/>
      <c r="E86" s="840" t="s">
        <v>398</v>
      </c>
      <c r="F86" s="840"/>
      <c r="G86" s="840"/>
      <c r="H86" s="1104"/>
      <c r="I86" s="952"/>
      <c r="J86" s="96"/>
      <c r="L86" s="1095" t="b">
        <v>0</v>
      </c>
      <c r="N86" s="358"/>
    </row>
    <row r="87" spans="1:15" ht="16.5" customHeight="1">
      <c r="A87" s="1044"/>
      <c r="B87" s="1011"/>
      <c r="C87" s="11"/>
      <c r="D87" s="241" t="s">
        <v>397</v>
      </c>
      <c r="E87" s="241"/>
      <c r="F87" s="57"/>
      <c r="G87" s="57"/>
      <c r="H87" s="58"/>
      <c r="I87" s="59"/>
      <c r="J87" s="96"/>
      <c r="L87" s="1095"/>
    </row>
    <row r="88" spans="1:15" ht="16.5" customHeight="1">
      <c r="A88" s="1044"/>
      <c r="B88" s="1013" t="s">
        <v>407</v>
      </c>
      <c r="C88" s="11"/>
      <c r="D88" s="323"/>
      <c r="E88" s="1240" t="s">
        <v>85</v>
      </c>
      <c r="F88" s="1241"/>
      <c r="G88" s="1241"/>
      <c r="H88" s="1241"/>
      <c r="I88" s="840"/>
      <c r="J88" s="96"/>
      <c r="L88" s="1095" t="b">
        <v>0</v>
      </c>
      <c r="N88" s="358"/>
    </row>
    <row r="89" spans="1:15" ht="16.5" customHeight="1">
      <c r="A89" s="1044"/>
      <c r="B89" s="1013" t="s">
        <v>408</v>
      </c>
      <c r="C89" s="3"/>
      <c r="D89" s="323"/>
      <c r="E89" s="1436" t="s">
        <v>107</v>
      </c>
      <c r="F89" s="1437"/>
      <c r="G89" s="1437"/>
      <c r="H89" s="1437"/>
      <c r="I89" s="1438"/>
      <c r="J89" s="95"/>
      <c r="L89" s="1095" t="b">
        <v>0</v>
      </c>
    </row>
    <row r="90" spans="1:15" ht="7.5" customHeight="1">
      <c r="A90" s="1044"/>
      <c r="B90" s="1008"/>
      <c r="C90" s="186"/>
      <c r="D90" s="186"/>
      <c r="E90" s="186"/>
      <c r="F90" s="187"/>
      <c r="G90" s="188"/>
      <c r="H90" s="188"/>
      <c r="I90" s="188"/>
      <c r="J90" s="66"/>
      <c r="L90" s="1095"/>
    </row>
    <row r="91" spans="1:15" s="18" customFormat="1">
      <c r="A91" s="1045"/>
      <c r="B91" s="1004"/>
      <c r="C91" s="779" t="s">
        <v>265</v>
      </c>
      <c r="D91" s="780"/>
      <c r="E91" s="780"/>
      <c r="F91" s="780"/>
      <c r="G91" s="780"/>
      <c r="H91" s="780"/>
      <c r="I91" s="781"/>
      <c r="J91" s="783"/>
      <c r="L91" s="1096"/>
      <c r="M91" s="143"/>
      <c r="N91" s="909"/>
      <c r="O91" s="143"/>
    </row>
    <row r="92" spans="1:15" ht="16.5" customHeight="1">
      <c r="A92" s="1044"/>
      <c r="B92" s="1024">
        <v>12</v>
      </c>
      <c r="C92" s="248"/>
      <c r="D92" s="950" t="str">
        <f>"Honorar "&amp;B2&amp;" netto"</f>
        <v>Honorar Fachplanung Tragwerksplanung netto</v>
      </c>
      <c r="E92" s="950"/>
      <c r="F92" s="950"/>
      <c r="G92" s="950"/>
      <c r="H92" s="950"/>
      <c r="I92" s="951"/>
      <c r="J92" s="56">
        <f>IF(AND(OR(J47&gt;0,J67&gt;0),O70),SUM(J71:J84)+J67,0)</f>
        <v>36273.3125</v>
      </c>
      <c r="M92" s="253"/>
    </row>
    <row r="93" spans="1:15" ht="16.5" customHeight="1">
      <c r="A93" s="1044"/>
      <c r="B93" s="1025">
        <v>13</v>
      </c>
      <c r="C93" s="246"/>
      <c r="D93" s="247" t="s">
        <v>124</v>
      </c>
      <c r="E93" s="247"/>
      <c r="F93" s="247"/>
      <c r="G93" s="247"/>
      <c r="H93" s="247"/>
      <c r="I93" s="68">
        <v>0.19</v>
      </c>
      <c r="J93" s="349">
        <f>J92*I93</f>
        <v>6891.9293749999997</v>
      </c>
      <c r="L93" s="1098"/>
      <c r="M93" s="147"/>
    </row>
    <row r="94" spans="1:15" ht="17.25" thickBot="1">
      <c r="A94" s="1044"/>
      <c r="B94" s="1026"/>
      <c r="C94" s="606"/>
      <c r="D94" s="7"/>
      <c r="E94" s="7"/>
      <c r="F94" s="7"/>
      <c r="G94" s="7"/>
      <c r="H94" s="7"/>
      <c r="I94" s="7"/>
      <c r="J94" s="604"/>
    </row>
    <row r="95" spans="1:15" ht="30" customHeight="1" thickBot="1">
      <c r="A95" s="1044"/>
      <c r="B95" s="1027">
        <v>14</v>
      </c>
      <c r="C95" s="949" t="str">
        <f>IF(I93&gt;0,"Honorar "&amp;B2&amp;" brutto","Honorar für "&amp;B2&amp;" netto")</f>
        <v>Honorar Fachplanung Tragwerksplanung brutto</v>
      </c>
      <c r="D95" s="605"/>
      <c r="E95" s="605"/>
      <c r="F95" s="605"/>
      <c r="G95" s="605"/>
      <c r="H95" s="605"/>
      <c r="I95" s="908" t="str">
        <f>IF(AND(L17,NOT(L18)),"[vorläufig]  ",IF(AND(NOT(L17),L18),"[endgültig]  ",""))</f>
        <v xml:space="preserve">[vorläufig]  </v>
      </c>
      <c r="J95" s="597">
        <f>J93+J92</f>
        <v>43165.241875</v>
      </c>
      <c r="M95" s="253"/>
    </row>
    <row r="96" spans="1:15">
      <c r="A96" s="1044"/>
      <c r="C96" s="181"/>
    </row>
    <row r="97" spans="1:22" s="18" customFormat="1">
      <c r="A97" s="1045"/>
      <c r="B97" s="1004"/>
      <c r="C97" s="779" t="s">
        <v>69</v>
      </c>
      <c r="D97" s="780"/>
      <c r="E97" s="780"/>
      <c r="F97" s="780"/>
      <c r="G97" s="780"/>
      <c r="H97" s="780"/>
      <c r="I97" s="781"/>
      <c r="J97" s="782"/>
      <c r="L97" s="1096"/>
      <c r="M97" s="143"/>
      <c r="N97" s="143"/>
      <c r="O97" s="143"/>
    </row>
    <row r="98" spans="1:22" ht="16.5" customHeight="1">
      <c r="A98" s="1044"/>
      <c r="B98" s="1005">
        <v>15</v>
      </c>
      <c r="C98" s="248" t="s">
        <v>51</v>
      </c>
      <c r="D98" s="957"/>
      <c r="E98" s="69"/>
      <c r="F98" s="69"/>
      <c r="G98" s="69"/>
      <c r="H98" s="69"/>
      <c r="I98" s="69"/>
      <c r="J98" s="744"/>
    </row>
    <row r="99" spans="1:22" ht="16.5" customHeight="1">
      <c r="A99" s="1044"/>
      <c r="B99" s="1010" t="s">
        <v>368</v>
      </c>
      <c r="C99" s="64"/>
      <c r="D99" s="1446" t="s">
        <v>52</v>
      </c>
      <c r="E99" s="1447"/>
      <c r="F99" s="1447"/>
      <c r="G99" s="1447"/>
      <c r="H99" s="277" t="s">
        <v>90</v>
      </c>
      <c r="I99" s="647"/>
      <c r="J99" s="96"/>
      <c r="L99" s="78" t="b">
        <v>1</v>
      </c>
      <c r="O99" s="146"/>
    </row>
    <row r="100" spans="1:22" ht="16.5" customHeight="1">
      <c r="A100" s="1044"/>
      <c r="B100" s="1010" t="s">
        <v>369</v>
      </c>
      <c r="C100" s="97"/>
      <c r="D100" s="1446" t="s">
        <v>53</v>
      </c>
      <c r="E100" s="1447"/>
      <c r="F100" s="1447"/>
      <c r="G100" s="1447"/>
      <c r="H100" s="277" t="s">
        <v>90</v>
      </c>
      <c r="I100" s="648"/>
      <c r="J100" s="96"/>
      <c r="L100" s="78" t="b">
        <v>1</v>
      </c>
    </row>
    <row r="101" spans="1:22" ht="16.5" customHeight="1">
      <c r="A101" s="1044"/>
      <c r="B101" s="1011" t="s">
        <v>370</v>
      </c>
      <c r="C101" s="97"/>
      <c r="D101" s="1448" t="s">
        <v>466</v>
      </c>
      <c r="E101" s="1449"/>
      <c r="F101" s="1449"/>
      <c r="G101" s="1449"/>
      <c r="H101" s="278" t="s">
        <v>90</v>
      </c>
      <c r="I101" s="647"/>
      <c r="J101" s="96"/>
      <c r="L101" s="78" t="b">
        <v>1</v>
      </c>
    </row>
    <row r="102" spans="1:22" ht="7.5" customHeight="1">
      <c r="A102" s="1044"/>
      <c r="B102" s="1008"/>
      <c r="C102" s="186"/>
      <c r="D102" s="186"/>
      <c r="E102" s="186"/>
      <c r="F102" s="187"/>
      <c r="G102" s="188"/>
      <c r="H102" s="188"/>
      <c r="I102" s="188"/>
      <c r="J102" s="66"/>
      <c r="L102" s="1095"/>
    </row>
    <row r="103" spans="1:22" ht="16.5" customHeight="1">
      <c r="A103" s="1044"/>
      <c r="B103" s="1005">
        <v>16</v>
      </c>
      <c r="C103" s="249" t="s">
        <v>337</v>
      </c>
      <c r="D103" s="245"/>
      <c r="E103" s="245"/>
      <c r="F103" s="245"/>
      <c r="G103" s="245"/>
      <c r="H103" s="242"/>
      <c r="I103" s="250"/>
      <c r="J103" s="649"/>
      <c r="N103" s="905"/>
      <c r="O103" s="1099" t="s">
        <v>283</v>
      </c>
      <c r="P103" s="1099" t="s">
        <v>293</v>
      </c>
      <c r="Q103" s="1099" t="s">
        <v>186</v>
      </c>
      <c r="R103" s="1099" t="s">
        <v>187</v>
      </c>
      <c r="S103" s="1099" t="s">
        <v>188</v>
      </c>
      <c r="T103" s="650"/>
      <c r="U103" s="997"/>
    </row>
    <row r="104" spans="1:22" ht="16.5" customHeight="1">
      <c r="A104" s="1044"/>
      <c r="B104" s="1028"/>
      <c r="C104" s="246"/>
      <c r="D104" s="247" t="s">
        <v>80</v>
      </c>
      <c r="E104" s="247"/>
      <c r="F104" s="247"/>
      <c r="G104" s="247"/>
      <c r="H104" s="243" t="s">
        <v>70</v>
      </c>
      <c r="I104" s="251"/>
      <c r="J104" s="136"/>
      <c r="N104" s="1100" t="s">
        <v>242</v>
      </c>
      <c r="O104" s="351" t="b">
        <f>IF(SUM(P104:R104)&gt;0,TRUE,FALSE)</f>
        <v>0</v>
      </c>
      <c r="P104" s="350">
        <f>'StB-C1 Grundlstg'!J37+'HB-C1 Grundlstg Land'!J27+'HB-C2 Grundlstg Bund'!J27</f>
        <v>0</v>
      </c>
      <c r="Q104" s="109" t="str">
        <f>'StB-D1 Besondere Lstg'!K23</f>
        <v/>
      </c>
      <c r="R104" s="109">
        <f>'HB-D1 Besondere Lstg Land'!K20</f>
        <v>0</v>
      </c>
      <c r="S104" s="350"/>
      <c r="T104" s="109"/>
      <c r="U104" s="998"/>
      <c r="V104" s="350"/>
    </row>
    <row r="105" spans="1:22" ht="16.5" customHeight="1">
      <c r="A105" s="1044"/>
      <c r="B105" s="1029"/>
      <c r="C105" s="65"/>
      <c r="D105" s="252"/>
      <c r="E105" s="7" t="s">
        <v>969</v>
      </c>
      <c r="F105" s="7"/>
      <c r="G105" s="7"/>
      <c r="H105" s="7"/>
      <c r="I105" s="21"/>
      <c r="J105" s="30"/>
      <c r="L105" s="184" t="b">
        <v>0</v>
      </c>
      <c r="N105" s="1100" t="s">
        <v>284</v>
      </c>
      <c r="O105" s="351" t="b">
        <f>IF(SUM(P105:R105)&gt;0,TRUE,FALSE)</f>
        <v>1</v>
      </c>
      <c r="P105" s="350">
        <f>'StB-C1 Grundlstg'!J66+'HB-C1 Grundlstg Land'!J42+'HB-C2 Grundlstg Bund'!J42</f>
        <v>10</v>
      </c>
      <c r="Q105" s="109">
        <f>'StB-D1 Besondere Lstg'!K44</f>
        <v>0</v>
      </c>
      <c r="R105" s="109">
        <f>'HB-D1 Besondere Lstg Land'!K29</f>
        <v>0</v>
      </c>
      <c r="S105" s="350"/>
      <c r="T105" s="109"/>
      <c r="U105" s="998"/>
    </row>
    <row r="106" spans="1:22" ht="16.5" customHeight="1">
      <c r="A106" s="1044"/>
      <c r="B106" s="1029"/>
      <c r="C106" s="95"/>
      <c r="D106" s="252"/>
      <c r="E106" s="944" t="s">
        <v>296</v>
      </c>
      <c r="F106" s="944"/>
      <c r="G106" s="944"/>
      <c r="H106" s="944"/>
      <c r="I106" s="953"/>
      <c r="J106" s="30"/>
      <c r="L106" s="184" t="b">
        <v>0</v>
      </c>
      <c r="N106" s="1100" t="s">
        <v>285</v>
      </c>
      <c r="O106" s="351" t="b">
        <f>IF(SUM(P106:R106)&gt;0,TRUE,FALSE)</f>
        <v>1</v>
      </c>
      <c r="P106" s="350">
        <f>'StB-C1 Grundlstg'!J120+'HB-C1 Grundlstg Land'!J63+'HB-C2 Grundlstg Bund'!J65</f>
        <v>15</v>
      </c>
      <c r="Q106" s="109">
        <f>'StB-D1 Besondere Lstg'!K61</f>
        <v>0</v>
      </c>
      <c r="R106" s="109">
        <f>'HB-D1 Besondere Lstg Land'!K42</f>
        <v>0</v>
      </c>
      <c r="S106" s="350"/>
      <c r="T106" s="109"/>
      <c r="U106" s="998"/>
    </row>
    <row r="107" spans="1:22" ht="16.5" customHeight="1">
      <c r="A107" s="1044"/>
      <c r="B107" s="1011" t="s">
        <v>277</v>
      </c>
      <c r="C107" s="931" t="str">
        <f>IF(AND(L105,NOT(L106)),"","1")</f>
        <v>1</v>
      </c>
      <c r="D107" s="281" t="str">
        <f>IF(AND(L105,NOT(L106)),"alle vertraglichen Leistungsphasen",D74)</f>
        <v>Grundlagenermittlung</v>
      </c>
      <c r="E107" s="281"/>
      <c r="F107" s="281"/>
      <c r="G107" s="282" t="s">
        <v>240</v>
      </c>
      <c r="H107" s="1427"/>
      <c r="I107" s="1428"/>
      <c r="J107" s="30"/>
      <c r="N107" s="1100" t="s">
        <v>286</v>
      </c>
      <c r="O107" s="351" t="b">
        <f>IF(SUM(P107:R107)&gt;0,TRUE,FALSE)</f>
        <v>0</v>
      </c>
      <c r="P107" s="350">
        <f>'StB-C1 Grundlstg'!J172+'HB-C1 Grundlstg Land'!J79+'HB-C2 Grundlstg Bund'!J81</f>
        <v>0</v>
      </c>
      <c r="Q107" s="109" t="str">
        <f>'StB-D1 Besondere Lstg'!K105</f>
        <v/>
      </c>
      <c r="R107" s="109">
        <f>'HB-D1 Besondere Lstg Land'!K53</f>
        <v>0</v>
      </c>
      <c r="S107" s="350">
        <f>'HB-D2 Besondere Lstg Bund'!K28</f>
        <v>0</v>
      </c>
      <c r="T107" s="109" t="b">
        <f>AND(Projektgrundlagen!$I$33,IF(COUNTIF('HB-D2 Besondere Lstg Bund'!M14:M27,TRUE)&gt;0,1,0))</f>
        <v>0</v>
      </c>
      <c r="U107" s="998"/>
    </row>
    <row r="108" spans="1:22" ht="16.5" customHeight="1">
      <c r="A108" s="1044"/>
      <c r="B108" s="1011" t="s">
        <v>278</v>
      </c>
      <c r="C108" s="105"/>
      <c r="D108" s="8"/>
      <c r="E108" s="8"/>
      <c r="F108" s="8"/>
      <c r="G108" s="279" t="s">
        <v>241</v>
      </c>
      <c r="H108" s="1429"/>
      <c r="I108" s="1430"/>
      <c r="J108" s="30"/>
      <c r="N108" s="1100" t="s">
        <v>287</v>
      </c>
      <c r="O108" s="351" t="b">
        <f>IF(SUM(P108:S108)&gt;0,TRUE,FALSE)</f>
        <v>0</v>
      </c>
      <c r="P108" s="350">
        <f>'StB-C1 Grundlstg'!J203+'HB-C1 Grundlstg Land'!J97+'HB-C2 Grundlstg Bund'!J101</f>
        <v>0</v>
      </c>
      <c r="Q108" s="109" t="str">
        <f>'StB-D1 Besondere Lstg'!K120</f>
        <v/>
      </c>
      <c r="R108" s="109">
        <f>'HB-D1 Besondere Lstg Land'!K62</f>
        <v>0</v>
      </c>
      <c r="S108" s="350">
        <f>'HB-D2 Besondere Lstg Bund'!K43</f>
        <v>0</v>
      </c>
      <c r="T108" s="109"/>
      <c r="U108" s="998"/>
    </row>
    <row r="109" spans="1:22" ht="16.5" customHeight="1">
      <c r="A109" s="1044"/>
      <c r="B109" s="1013" t="s">
        <v>279</v>
      </c>
      <c r="C109" s="280">
        <v>2</v>
      </c>
      <c r="D109" s="281" t="str">
        <f>D75</f>
        <v xml:space="preserve">Vorplanung </v>
      </c>
      <c r="E109" s="281"/>
      <c r="F109" s="281"/>
      <c r="G109" s="282" t="s">
        <v>240</v>
      </c>
      <c r="H109" s="1427"/>
      <c r="I109" s="1428"/>
      <c r="J109" s="30"/>
      <c r="N109" s="1100" t="s">
        <v>288</v>
      </c>
      <c r="O109" s="351" t="b">
        <f>IF(SUM(P109:R109)&gt;0,TRUE,FALSE)</f>
        <v>0</v>
      </c>
      <c r="P109" s="350">
        <f>'StB-C1 Grundlstg'!J221+'HB-C1 Grundlstg Land'!J106+'HB-C2 Grundlstg Bund'!J110</f>
        <v>0</v>
      </c>
      <c r="Q109" s="109" t="str">
        <f>'StB-D1 Besondere Lstg'!K136</f>
        <v/>
      </c>
      <c r="R109" s="109">
        <f>'HB-D1 Besondere Lstg Land'!K71</f>
        <v>0</v>
      </c>
      <c r="S109" s="350"/>
      <c r="T109" s="109"/>
      <c r="U109" s="998"/>
    </row>
    <row r="110" spans="1:22" ht="16.5" customHeight="1">
      <c r="A110" s="1044"/>
      <c r="B110" s="1013" t="s">
        <v>410</v>
      </c>
      <c r="C110" s="105"/>
      <c r="D110" s="8"/>
      <c r="E110" s="8"/>
      <c r="F110" s="8"/>
      <c r="G110" s="279" t="s">
        <v>241</v>
      </c>
      <c r="H110" s="1429"/>
      <c r="I110" s="1430"/>
      <c r="J110" s="30"/>
      <c r="N110" s="1100" t="s">
        <v>289</v>
      </c>
      <c r="O110" s="351" t="b">
        <f>IF(SUM(P110:R110)&gt;0,TRUE,FALSE)</f>
        <v>0</v>
      </c>
      <c r="P110" s="350">
        <f>'StB-C1 Grundlstg'!J226+'HB-C1 Grundlstg Land'!J111+'HB-C2 Grundlstg Bund'!J115</f>
        <v>0</v>
      </c>
      <c r="Q110" s="109" t="str">
        <f>'StB-D1 Besondere Lstg'!K149</f>
        <v/>
      </c>
      <c r="R110" s="109">
        <f>'HB-D1 Besondere Lstg Land'!K82</f>
        <v>0</v>
      </c>
      <c r="S110" s="350">
        <f>'HB-D2 Besondere Lstg Bund'!K58</f>
        <v>0</v>
      </c>
      <c r="T110" s="109" t="b">
        <f>AND(Projektgrundlagen!$I$33,IF(COUNTIF('HB-D2 Besondere Lstg Bund'!M46:M57,TRUE)&gt;0,1,0))</f>
        <v>0</v>
      </c>
      <c r="U110" s="998"/>
    </row>
    <row r="111" spans="1:22" ht="16.5" customHeight="1">
      <c r="A111" s="1044"/>
      <c r="B111" s="1013" t="s">
        <v>411</v>
      </c>
      <c r="C111" s="280">
        <v>3</v>
      </c>
      <c r="D111" s="281" t="str">
        <f>D76</f>
        <v xml:space="preserve">Entwurfsplanung </v>
      </c>
      <c r="E111" s="281"/>
      <c r="F111" s="281"/>
      <c r="G111" s="282" t="s">
        <v>240</v>
      </c>
      <c r="H111" s="1427"/>
      <c r="I111" s="1428"/>
      <c r="J111" s="30"/>
      <c r="N111" s="1100" t="s">
        <v>290</v>
      </c>
      <c r="O111" s="351" t="b">
        <f>IF(SUM(P111:S111)&gt;0,TRUE,FALSE)</f>
        <v>0</v>
      </c>
      <c r="P111" s="350">
        <f>'StB-C1 Grundlstg'!J231+'HB-C1 Grundlstg Land'!J116+'HB-C2 Grundlstg Bund'!J122</f>
        <v>0</v>
      </c>
      <c r="Q111" s="109" t="str">
        <f>'StB-D1 Besondere Lstg'!K168</f>
        <v/>
      </c>
      <c r="R111" s="109">
        <f>'HB-D1 Besondere Lstg Land'!K93</f>
        <v>0</v>
      </c>
      <c r="S111" s="350">
        <f>'HB-D2 Besondere Lstg Bund'!K73</f>
        <v>0</v>
      </c>
      <c r="T111" s="109"/>
      <c r="U111" s="998"/>
    </row>
    <row r="112" spans="1:22" ht="16.5" customHeight="1">
      <c r="A112" s="1044"/>
      <c r="B112" s="1013" t="s">
        <v>412</v>
      </c>
      <c r="C112" s="105"/>
      <c r="D112" s="8"/>
      <c r="E112" s="8"/>
      <c r="F112" s="8"/>
      <c r="G112" s="279" t="s">
        <v>241</v>
      </c>
      <c r="H112" s="1429"/>
      <c r="I112" s="1430"/>
      <c r="J112" s="30"/>
      <c r="N112" s="1100" t="s">
        <v>291</v>
      </c>
      <c r="O112" s="351" t="b">
        <f>IF(SUM(P112:S112)&gt;0,TRUE,FALSE)</f>
        <v>0</v>
      </c>
      <c r="P112" s="350">
        <f>'StB-C1 Grundlstg'!J236+'HB-C1 Grundlstg Land'!J121+'HB-C2 Grundlstg Bund'!J127</f>
        <v>0</v>
      </c>
      <c r="Q112" s="109" t="str">
        <f>'StB-D1 Besondere Lstg'!K175</f>
        <v/>
      </c>
      <c r="R112" s="109">
        <f>'HB-D1 Besondere Lstg Land'!K102</f>
        <v>0</v>
      </c>
      <c r="S112" s="350">
        <f>'HB-D2 Besondere Lstg Bund'!K82</f>
        <v>0</v>
      </c>
      <c r="T112" s="109"/>
      <c r="U112" s="998"/>
    </row>
    <row r="113" spans="1:21" ht="16.5" customHeight="1">
      <c r="A113" s="1044"/>
      <c r="B113" s="1013" t="s">
        <v>413</v>
      </c>
      <c r="C113" s="280">
        <v>4</v>
      </c>
      <c r="D113" s="281" t="str">
        <f>D77</f>
        <v xml:space="preserve">Genehmigungsplanung </v>
      </c>
      <c r="E113" s="281"/>
      <c r="F113" s="281"/>
      <c r="G113" s="282" t="s">
        <v>240</v>
      </c>
      <c r="H113" s="1427"/>
      <c r="I113" s="1428"/>
      <c r="J113" s="30"/>
      <c r="N113" s="1101" t="s">
        <v>294</v>
      </c>
      <c r="O113" s="906"/>
      <c r="P113" s="907">
        <f>SUM(P104:P112)</f>
        <v>25</v>
      </c>
      <c r="Q113" s="285"/>
      <c r="R113" s="285"/>
      <c r="S113" s="285"/>
      <c r="T113" s="996"/>
      <c r="U113" s="997"/>
    </row>
    <row r="114" spans="1:21" ht="16.5" customHeight="1">
      <c r="A114" s="1044"/>
      <c r="B114" s="1013" t="s">
        <v>414</v>
      </c>
      <c r="C114" s="105"/>
      <c r="D114" s="8"/>
      <c r="E114" s="8"/>
      <c r="F114" s="8"/>
      <c r="G114" s="279" t="s">
        <v>241</v>
      </c>
      <c r="H114" s="1429"/>
      <c r="I114" s="1430"/>
      <c r="J114" s="30"/>
    </row>
    <row r="115" spans="1:21" ht="16.5" customHeight="1">
      <c r="A115" s="1044"/>
      <c r="B115" s="1013" t="s">
        <v>415</v>
      </c>
      <c r="C115" s="280">
        <v>5</v>
      </c>
      <c r="D115" s="281" t="str">
        <f>D79</f>
        <v xml:space="preserve">Ausführungsplanung </v>
      </c>
      <c r="E115" s="281"/>
      <c r="F115" s="281"/>
      <c r="G115" s="282" t="s">
        <v>240</v>
      </c>
      <c r="H115" s="1427"/>
      <c r="I115" s="1428"/>
      <c r="J115" s="30"/>
    </row>
    <row r="116" spans="1:21" ht="16.5" customHeight="1">
      <c r="A116" s="1044"/>
      <c r="B116" s="1013" t="s">
        <v>430</v>
      </c>
      <c r="C116" s="105"/>
      <c r="D116" s="8"/>
      <c r="E116" s="8"/>
      <c r="F116" s="8"/>
      <c r="G116" s="279" t="s">
        <v>241</v>
      </c>
      <c r="H116" s="1429"/>
      <c r="I116" s="1430"/>
      <c r="J116" s="30"/>
    </row>
    <row r="117" spans="1:21" ht="16.5" customHeight="1">
      <c r="A117" s="1044"/>
      <c r="B117" s="1013" t="s">
        <v>431</v>
      </c>
      <c r="C117" s="280">
        <v>6</v>
      </c>
      <c r="D117" s="281" t="str">
        <f>D80</f>
        <v>Vorbereitung der Vergabe</v>
      </c>
      <c r="E117" s="281"/>
      <c r="F117" s="281"/>
      <c r="G117" s="282" t="s">
        <v>240</v>
      </c>
      <c r="H117" s="1427"/>
      <c r="I117" s="1428"/>
      <c r="J117" s="30"/>
    </row>
    <row r="118" spans="1:21" ht="16.5" customHeight="1">
      <c r="A118" s="1044"/>
      <c r="B118" s="1013" t="s">
        <v>432</v>
      </c>
      <c r="C118" s="105"/>
      <c r="D118" s="8"/>
      <c r="E118" s="8"/>
      <c r="F118" s="8"/>
      <c r="G118" s="279" t="s">
        <v>241</v>
      </c>
      <c r="H118" s="1429"/>
      <c r="I118" s="1430"/>
      <c r="J118" s="30"/>
    </row>
    <row r="119" spans="1:21" ht="16.5" customHeight="1">
      <c r="A119" s="1044"/>
      <c r="B119" s="1013" t="s">
        <v>433</v>
      </c>
      <c r="C119" s="280">
        <v>7</v>
      </c>
      <c r="D119" s="281" t="str">
        <f>D81</f>
        <v>Mitwirkung bei der Vergabe</v>
      </c>
      <c r="E119" s="281"/>
      <c r="F119" s="281"/>
      <c r="G119" s="282" t="s">
        <v>240</v>
      </c>
      <c r="H119" s="1427"/>
      <c r="I119" s="1428"/>
      <c r="J119" s="30"/>
    </row>
    <row r="120" spans="1:21" ht="16.5" customHeight="1">
      <c r="A120" s="1044"/>
      <c r="B120" s="1013" t="s">
        <v>434</v>
      </c>
      <c r="C120" s="105"/>
      <c r="D120" s="8"/>
      <c r="E120" s="8"/>
      <c r="F120" s="8"/>
      <c r="G120" s="279" t="s">
        <v>241</v>
      </c>
      <c r="H120" s="1429"/>
      <c r="I120" s="1430"/>
      <c r="J120" s="30"/>
    </row>
    <row r="121" spans="1:21" ht="16.5" customHeight="1">
      <c r="A121" s="1044"/>
      <c r="B121" s="1013" t="s">
        <v>435</v>
      </c>
      <c r="C121" s="280">
        <v>8</v>
      </c>
      <c r="D121" s="281" t="str">
        <f>D83</f>
        <v xml:space="preserve">Bauoberleitung </v>
      </c>
      <c r="E121" s="281"/>
      <c r="F121" s="281"/>
      <c r="G121" s="282" t="s">
        <v>240</v>
      </c>
      <c r="H121" s="1427"/>
      <c r="I121" s="1428"/>
      <c r="J121" s="30"/>
    </row>
    <row r="122" spans="1:21" ht="16.5" customHeight="1">
      <c r="A122" s="1044"/>
      <c r="B122" s="1013" t="s">
        <v>436</v>
      </c>
      <c r="C122" s="105"/>
      <c r="D122" s="8"/>
      <c r="E122" s="8"/>
      <c r="F122" s="8"/>
      <c r="G122" s="279" t="s">
        <v>241</v>
      </c>
      <c r="H122" s="1429"/>
      <c r="I122" s="1430"/>
      <c r="J122" s="30"/>
    </row>
    <row r="123" spans="1:21" ht="16.5" customHeight="1">
      <c r="A123" s="1044"/>
      <c r="B123" s="1013" t="s">
        <v>437</v>
      </c>
      <c r="C123" s="280">
        <v>9</v>
      </c>
      <c r="D123" s="281" t="str">
        <f>D84</f>
        <v>Objektbetreuung</v>
      </c>
      <c r="E123" s="281"/>
      <c r="F123" s="281"/>
      <c r="G123" s="282" t="s">
        <v>240</v>
      </c>
      <c r="H123" s="1427"/>
      <c r="I123" s="1428"/>
      <c r="J123" s="30"/>
    </row>
    <row r="124" spans="1:21" ht="16.5" customHeight="1">
      <c r="A124" s="1044"/>
      <c r="B124" s="1023" t="s">
        <v>438</v>
      </c>
      <c r="C124" s="105"/>
      <c r="D124" s="8"/>
      <c r="E124" s="8"/>
      <c r="F124" s="8"/>
      <c r="G124" s="279" t="s">
        <v>241</v>
      </c>
      <c r="H124" s="1429"/>
      <c r="I124" s="1430"/>
      <c r="J124" s="37"/>
    </row>
    <row r="125" spans="1:21">
      <c r="A125" s="1044"/>
      <c r="B125" s="1026"/>
      <c r="C125" s="7"/>
      <c r="D125" s="7"/>
      <c r="E125" s="7"/>
      <c r="F125" s="7"/>
      <c r="G125" s="7"/>
      <c r="H125" s="7"/>
      <c r="I125" s="7"/>
      <c r="J125" s="7"/>
    </row>
    <row r="126" spans="1:21" ht="18" customHeight="1">
      <c r="A126" s="1044"/>
      <c r="B126" s="1030" t="s">
        <v>451</v>
      </c>
      <c r="C126" s="959" t="s">
        <v>106</v>
      </c>
      <c r="D126" s="959"/>
      <c r="E126" s="959"/>
      <c r="F126" s="959"/>
      <c r="G126" s="959"/>
      <c r="H126" s="959"/>
      <c r="I126" s="959"/>
      <c r="J126" s="960"/>
      <c r="L126" s="184" t="b">
        <v>0</v>
      </c>
    </row>
    <row r="127" spans="1:21" ht="16.5" customHeight="1">
      <c r="A127" s="1044"/>
      <c r="B127" s="1031"/>
      <c r="C127" s="106"/>
      <c r="D127" s="7" t="s">
        <v>87</v>
      </c>
      <c r="E127" s="7"/>
      <c r="F127" s="7"/>
      <c r="G127" s="7"/>
      <c r="H127" s="7"/>
      <c r="I127" s="7"/>
      <c r="J127" s="752"/>
    </row>
    <row r="128" spans="1:21" ht="16.5" customHeight="1">
      <c r="A128" s="1044"/>
      <c r="B128" s="1006" t="s">
        <v>448</v>
      </c>
      <c r="C128" s="275" t="s">
        <v>88</v>
      </c>
      <c r="D128" s="284"/>
      <c r="E128" s="284"/>
      <c r="F128" s="650"/>
      <c r="G128" s="650"/>
      <c r="H128" s="650"/>
      <c r="I128" s="751"/>
      <c r="J128" s="95"/>
    </row>
    <row r="129" spans="1:15" ht="16.5" customHeight="1">
      <c r="A129" s="1044"/>
      <c r="B129" s="1017" t="s">
        <v>280</v>
      </c>
      <c r="C129" s="945"/>
      <c r="D129" s="276" t="str">
        <f>D99</f>
        <v>Ingenieur nach Ing.-Gesetz</v>
      </c>
      <c r="E129" s="284"/>
      <c r="F129" s="284"/>
      <c r="G129" s="276"/>
      <c r="H129" s="277" t="s">
        <v>38</v>
      </c>
      <c r="I129" s="1116"/>
      <c r="J129" s="74" t="str">
        <f>IF(AND(L126,L99,J95&gt;0,I129&gt;0),I99*I129,"")</f>
        <v/>
      </c>
    </row>
    <row r="130" spans="1:15" ht="16.5" customHeight="1">
      <c r="A130" s="1044"/>
      <c r="B130" s="1017" t="s">
        <v>281</v>
      </c>
      <c r="C130" s="945"/>
      <c r="D130" s="276" t="str">
        <f>D100</f>
        <v>Techniker</v>
      </c>
      <c r="E130" s="284"/>
      <c r="F130" s="284"/>
      <c r="G130" s="276"/>
      <c r="H130" s="277" t="s">
        <v>38</v>
      </c>
      <c r="I130" s="1116"/>
      <c r="J130" s="74" t="str">
        <f>IF(AND(L126,L100,J95&gt;0,I130&gt;0),I100*I130,"")</f>
        <v/>
      </c>
    </row>
    <row r="131" spans="1:15" ht="16.5" customHeight="1">
      <c r="A131" s="1044"/>
      <c r="B131" s="1012" t="s">
        <v>416</v>
      </c>
      <c r="C131" s="961"/>
      <c r="D131" s="917" t="str">
        <f>D101</f>
        <v xml:space="preserve">Technische Zeichner, sonst. Mitarbeiter </v>
      </c>
      <c r="E131" s="650"/>
      <c r="F131" s="650"/>
      <c r="G131" s="902"/>
      <c r="H131" s="918" t="s">
        <v>38</v>
      </c>
      <c r="I131" s="1116"/>
      <c r="J131" s="74" t="str">
        <f>IF(AND(L126,L101,J95&gt;0,I131&gt;0),I101*I131,"")</f>
        <v/>
      </c>
    </row>
    <row r="132" spans="1:15" ht="16.5" customHeight="1">
      <c r="A132" s="1044"/>
      <c r="B132" s="1022">
        <v>18</v>
      </c>
      <c r="C132" s="1105" t="s">
        <v>86</v>
      </c>
      <c r="D132" s="281"/>
      <c r="E132" s="281"/>
      <c r="F132" s="281"/>
      <c r="G132" s="919"/>
      <c r="H132" s="920" t="s">
        <v>43</v>
      </c>
      <c r="I132" s="903" t="s">
        <v>380</v>
      </c>
      <c r="J132" s="901"/>
    </row>
    <row r="133" spans="1:15" ht="16.5" customHeight="1">
      <c r="A133" s="1044"/>
      <c r="B133" s="1012" t="s">
        <v>449</v>
      </c>
      <c r="C133" s="947"/>
      <c r="D133" s="1423" t="str">
        <f>IF(AND(L85,L89),IF(E89="","",E89),"Inhalt aus Z 11.3")</f>
        <v>Inhalt aus Z 11.3</v>
      </c>
      <c r="E133" s="1423"/>
      <c r="F133" s="1423"/>
      <c r="G133" s="1424"/>
      <c r="H133" s="1116"/>
      <c r="I133" s="1117"/>
      <c r="J133" s="904" t="str">
        <f>IF(AND(L126,L85,L89,J95&gt;0,H133&gt;0),H133*I133,"")</f>
        <v/>
      </c>
      <c r="M133" s="147" t="s">
        <v>116</v>
      </c>
    </row>
    <row r="134" spans="1:15" ht="16.5" customHeight="1">
      <c r="A134" s="1044"/>
      <c r="B134" s="1012" t="s">
        <v>450</v>
      </c>
      <c r="C134" s="948"/>
      <c r="D134" s="1425"/>
      <c r="E134" s="1425"/>
      <c r="F134" s="1425"/>
      <c r="G134" s="1426"/>
      <c r="H134" s="49"/>
      <c r="I134" s="137"/>
      <c r="J134" s="74" t="str">
        <f>IF(AND(L126,J95&gt;0,H134&gt;0),H134*I134,"")</f>
        <v/>
      </c>
    </row>
    <row r="135" spans="1:15" ht="16.5" customHeight="1">
      <c r="A135" s="1044"/>
      <c r="B135" s="1022">
        <v>19</v>
      </c>
      <c r="C135" s="628" t="s">
        <v>89</v>
      </c>
      <c r="D135" s="628"/>
      <c r="E135" s="628"/>
      <c r="F135" s="628"/>
      <c r="G135" s="628"/>
      <c r="H135" s="628"/>
      <c r="I135" s="652"/>
      <c r="J135" s="479" t="str">
        <f>IF(L126,SUM(J129:J134),"")</f>
        <v/>
      </c>
    </row>
    <row r="136" spans="1:15" ht="7.5" customHeight="1">
      <c r="A136" s="1044"/>
      <c r="B136" s="1032"/>
      <c r="C136" s="67"/>
      <c r="D136" s="66"/>
      <c r="E136" s="66"/>
      <c r="F136" s="66"/>
      <c r="G136" s="66"/>
      <c r="H136" s="66"/>
      <c r="I136" s="66"/>
      <c r="J136" s="160"/>
    </row>
    <row r="137" spans="1:15" s="18" customFormat="1" ht="19.5" customHeight="1">
      <c r="A137" s="1045"/>
      <c r="B137" s="1004"/>
      <c r="C137" s="779" t="s">
        <v>260</v>
      </c>
      <c r="D137" s="780"/>
      <c r="E137" s="780"/>
      <c r="F137" s="780"/>
      <c r="G137" s="780"/>
      <c r="H137" s="780"/>
      <c r="I137" s="781"/>
      <c r="J137" s="783"/>
      <c r="L137" s="1096"/>
      <c r="M137" s="143"/>
      <c r="N137" s="143"/>
      <c r="O137" s="143"/>
    </row>
    <row r="138" spans="1:15" ht="16.5" customHeight="1">
      <c r="A138" s="1044"/>
      <c r="B138" s="1024">
        <v>20</v>
      </c>
      <c r="C138" s="66"/>
      <c r="D138" s="67" t="s">
        <v>453</v>
      </c>
      <c r="E138" s="66"/>
      <c r="F138" s="66"/>
      <c r="G138" s="1033"/>
      <c r="H138" s="66"/>
      <c r="I138" s="20"/>
      <c r="J138" s="55">
        <f>SUM(J92,J135)</f>
        <v>36273.3125</v>
      </c>
    </row>
    <row r="139" spans="1:15" ht="16.5" customHeight="1">
      <c r="A139" s="1044"/>
      <c r="B139" s="1025">
        <v>21</v>
      </c>
      <c r="C139" s="247"/>
      <c r="D139" s="247" t="s">
        <v>124</v>
      </c>
      <c r="E139" s="247"/>
      <c r="F139" s="247"/>
      <c r="G139" s="247"/>
      <c r="H139" s="247"/>
      <c r="I139" s="979">
        <f>I93</f>
        <v>0.19</v>
      </c>
      <c r="J139" s="899">
        <f>J138*I139</f>
        <v>6891.9293749999997</v>
      </c>
    </row>
    <row r="140" spans="1:15" ht="17.25" thickBot="1">
      <c r="B140" s="1026"/>
      <c r="C140" s="606"/>
      <c r="D140" s="7"/>
      <c r="E140" s="7"/>
      <c r="F140" s="7"/>
      <c r="G140" s="7"/>
      <c r="H140" s="7"/>
      <c r="I140" s="7"/>
      <c r="J140" s="604"/>
    </row>
    <row r="141" spans="1:15" ht="30" customHeight="1" thickBot="1">
      <c r="B141" s="1027">
        <v>22</v>
      </c>
      <c r="C141" s="605" t="str">
        <f>IF(I139&lt;=0,"Angebotssumme netto","Angebotssumme brutto")</f>
        <v>Angebotssumme brutto</v>
      </c>
      <c r="D141" s="605"/>
      <c r="E141" s="605"/>
      <c r="F141" s="605"/>
      <c r="G141" s="605"/>
      <c r="H141" s="605"/>
      <c r="I141" s="980"/>
      <c r="J141" s="597">
        <f>J139+J138</f>
        <v>43165.241875</v>
      </c>
    </row>
    <row r="142" spans="1:15">
      <c r="C142" s="181"/>
      <c r="D142" s="181" t="s">
        <v>455</v>
      </c>
      <c r="E142" s="181"/>
    </row>
    <row r="143" spans="1:15"/>
    <row r="144" spans="1:15"/>
    <row r="145" hidden="1"/>
    <row r="146" hidden="1"/>
    <row r="187" hidden="1"/>
    <row r="188" hidden="1"/>
    <row r="189"/>
    <row r="190"/>
    <row r="191"/>
    <row r="192" hidden="1"/>
    <row r="193" hidden="1"/>
  </sheetData>
  <sheetProtection algorithmName="SHA-512" hashValue="LlaMME/XRNVYxSrJBYzhGLWZLT1geg+VskdHuRIZf8Bd1GOcTtinWuC2HN5QkZTmIlCploDdXym4Q4p9DmYjkw==" saltValue="bAzCCqfaPvyh6HrahTY01w==" spinCount="100000" sheet="1" formatRows="0"/>
  <dataConsolidate/>
  <mergeCells count="54">
    <mergeCell ref="E39:I39"/>
    <mergeCell ref="E89:I89"/>
    <mergeCell ref="H115:I115"/>
    <mergeCell ref="H117:I117"/>
    <mergeCell ref="D40:G40"/>
    <mergeCell ref="D41:G41"/>
    <mergeCell ref="H108:I108"/>
    <mergeCell ref="D50:I50"/>
    <mergeCell ref="D51:I51"/>
    <mergeCell ref="D53:H53"/>
    <mergeCell ref="D52:I52"/>
    <mergeCell ref="D99:G99"/>
    <mergeCell ref="D100:G100"/>
    <mergeCell ref="D101:G101"/>
    <mergeCell ref="H118:I118"/>
    <mergeCell ref="D58:I58"/>
    <mergeCell ref="H110:I110"/>
    <mergeCell ref="H112:I112"/>
    <mergeCell ref="H114:I114"/>
    <mergeCell ref="H116:I116"/>
    <mergeCell ref="H107:I107"/>
    <mergeCell ref="H109:I109"/>
    <mergeCell ref="H111:I111"/>
    <mergeCell ref="H113:I113"/>
    <mergeCell ref="D59:I59"/>
    <mergeCell ref="D60:H60"/>
    <mergeCell ref="E88:H88"/>
    <mergeCell ref="D133:G133"/>
    <mergeCell ref="D134:G134"/>
    <mergeCell ref="H119:I119"/>
    <mergeCell ref="H121:I121"/>
    <mergeCell ref="H120:I120"/>
    <mergeCell ref="H124:I124"/>
    <mergeCell ref="H123:I123"/>
    <mergeCell ref="H122:I122"/>
    <mergeCell ref="K2:K8"/>
    <mergeCell ref="F5:H5"/>
    <mergeCell ref="D17:H17"/>
    <mergeCell ref="E25:I25"/>
    <mergeCell ref="D18:H18"/>
    <mergeCell ref="F7:J7"/>
    <mergeCell ref="F8:J8"/>
    <mergeCell ref="B8:E8"/>
    <mergeCell ref="B2:H2"/>
    <mergeCell ref="B3:H3"/>
    <mergeCell ref="E31:I31"/>
    <mergeCell ref="E35:I35"/>
    <mergeCell ref="E26:I26"/>
    <mergeCell ref="B5:E5"/>
    <mergeCell ref="B6:E6"/>
    <mergeCell ref="B7:E7"/>
    <mergeCell ref="B10:F10"/>
    <mergeCell ref="G10:H10"/>
    <mergeCell ref="F6:J6"/>
  </mergeCells>
  <conditionalFormatting sqref="C17:C18">
    <cfRule type="expression" dxfId="1219" priority="2028">
      <formula>OR(AND($L$15,$M$17),AND($L$15,$N$17))</formula>
    </cfRule>
  </conditionalFormatting>
  <conditionalFormatting sqref="C27">
    <cfRule type="expression" dxfId="1218" priority="52">
      <formula>AND(L27,L32)</formula>
    </cfRule>
  </conditionalFormatting>
  <conditionalFormatting sqref="C32">
    <cfRule type="expression" dxfId="1217" priority="51">
      <formula>AND(L27,L32)</formula>
    </cfRule>
  </conditionalFormatting>
  <conditionalFormatting sqref="C50">
    <cfRule type="expression" dxfId="1216" priority="1495">
      <formula>NOT(O50)</formula>
    </cfRule>
  </conditionalFormatting>
  <conditionalFormatting sqref="C52">
    <cfRule type="expression" dxfId="1215" priority="1497">
      <formula>NOT(O50)</formula>
    </cfRule>
  </conditionalFormatting>
  <conditionalFormatting sqref="C70:C73">
    <cfRule type="expression" dxfId="1214" priority="214">
      <formula>OR($M$70,$N$70)</formula>
    </cfRule>
  </conditionalFormatting>
  <conditionalFormatting sqref="C133">
    <cfRule type="expression" dxfId="1213" priority="1910">
      <formula>AND(NOT(M85),NOT(M89))</formula>
    </cfRule>
  </conditionalFormatting>
  <conditionalFormatting sqref="C134">
    <cfRule type="expression" dxfId="1212" priority="1829">
      <formula>NOT(M126)</formula>
    </cfRule>
  </conditionalFormatting>
  <conditionalFormatting sqref="C135 C128 C132">
    <cfRule type="expression" dxfId="1211" priority="33">
      <formula>$L$126</formula>
    </cfRule>
  </conditionalFormatting>
  <conditionalFormatting sqref="C22:D22">
    <cfRule type="expression" dxfId="1210" priority="43">
      <formula>$L$14</formula>
    </cfRule>
  </conditionalFormatting>
  <conditionalFormatting sqref="C23:D23">
    <cfRule type="expression" dxfId="1209" priority="42">
      <formula>$M$14</formula>
    </cfRule>
  </conditionalFormatting>
  <conditionalFormatting sqref="C126:J126">
    <cfRule type="expression" dxfId="1208" priority="34">
      <formula>$L$126</formula>
    </cfRule>
  </conditionalFormatting>
  <conditionalFormatting sqref="D30">
    <cfRule type="expression" dxfId="1207" priority="2049">
      <formula>N27=FALSE</formula>
    </cfRule>
  </conditionalFormatting>
  <conditionalFormatting sqref="D31 J31">
    <cfRule type="expression" dxfId="1206" priority="66">
      <formula>OR($M$17,$N$17)</formula>
    </cfRule>
  </conditionalFormatting>
  <conditionalFormatting sqref="D31">
    <cfRule type="expression" dxfId="1205" priority="69">
      <formula>N29=FALSE</formula>
    </cfRule>
  </conditionalFormatting>
  <conditionalFormatting sqref="D34:D35">
    <cfRule type="expression" dxfId="1204" priority="150">
      <formula>N32=FALSE</formula>
    </cfRule>
  </conditionalFormatting>
  <conditionalFormatting sqref="D86">
    <cfRule type="expression" dxfId="1203" priority="38">
      <formula>NOT(L85)</formula>
    </cfRule>
    <cfRule type="expression" dxfId="1202" priority="40">
      <formula>OR($L$71,$L$72,$L$73)</formula>
    </cfRule>
  </conditionalFormatting>
  <conditionalFormatting sqref="D88">
    <cfRule type="expression" dxfId="1201" priority="110">
      <formula>NOT(L85)</formula>
    </cfRule>
  </conditionalFormatting>
  <conditionalFormatting sqref="D89">
    <cfRule type="expression" dxfId="1200" priority="111">
      <formula>NOT(L85)</formula>
    </cfRule>
  </conditionalFormatting>
  <conditionalFormatting sqref="D105">
    <cfRule type="expression" dxfId="1199" priority="224">
      <formula>OR(AND(L105,L106),AND(L105=FALSE,L106=FALSE))</formula>
    </cfRule>
  </conditionalFormatting>
  <conditionalFormatting sqref="D106">
    <cfRule type="expression" dxfId="1198" priority="225">
      <formula>OR(AND(L105,L106),AND(L105=FALSE,L106=FALSE))</formula>
    </cfRule>
  </conditionalFormatting>
  <conditionalFormatting sqref="D133">
    <cfRule type="expression" dxfId="1197" priority="1909">
      <formula>AND(NOT(L85),NOT(L89))</formula>
    </cfRule>
  </conditionalFormatting>
  <conditionalFormatting sqref="D134">
    <cfRule type="expression" dxfId="1196" priority="1839">
      <formula>NOT(L126)</formula>
    </cfRule>
  </conditionalFormatting>
  <conditionalFormatting sqref="D17:H17">
    <cfRule type="expression" dxfId="1195" priority="117">
      <formula>AND(L17,NOT(L18))</formula>
    </cfRule>
  </conditionalFormatting>
  <conditionalFormatting sqref="D18:H18">
    <cfRule type="expression" dxfId="1194" priority="116">
      <formula>AND(L18,NOT(L17))</formula>
    </cfRule>
  </conditionalFormatting>
  <conditionalFormatting sqref="D28:H29 E30:I31">
    <cfRule type="expression" dxfId="1193" priority="73">
      <formula>OR($M$17,$N$17)</formula>
    </cfRule>
  </conditionalFormatting>
  <conditionalFormatting sqref="D33:J35">
    <cfRule type="expression" dxfId="1192" priority="60">
      <formula>OR($M$17,$N$17)</formula>
    </cfRule>
  </conditionalFormatting>
  <conditionalFormatting sqref="E26">
    <cfRule type="expression" dxfId="1191" priority="118">
      <formula>NOT(O19)</formula>
    </cfRule>
  </conditionalFormatting>
  <conditionalFormatting sqref="E31">
    <cfRule type="expression" dxfId="1190" priority="2044">
      <formula>OR(NOT(L27),AND(L27,L32))</formula>
    </cfRule>
  </conditionalFormatting>
  <conditionalFormatting sqref="E35">
    <cfRule type="expression" dxfId="1189" priority="121">
      <formula>OR(NOT(L32),AND(L27,L32))</formula>
    </cfRule>
  </conditionalFormatting>
  <conditionalFormatting sqref="E86">
    <cfRule type="expression" dxfId="1188" priority="39">
      <formula>NOT(L85)</formula>
    </cfRule>
  </conditionalFormatting>
  <conditionalFormatting sqref="E88">
    <cfRule type="expression" dxfId="1187" priority="148">
      <formula>L85=FALSE</formula>
    </cfRule>
  </conditionalFormatting>
  <conditionalFormatting sqref="E89">
    <cfRule type="expression" dxfId="1186" priority="147">
      <formula>L85=FALSE</formula>
    </cfRule>
  </conditionalFormatting>
  <conditionalFormatting sqref="E86:G86 I86">
    <cfRule type="expression" dxfId="1185" priority="41">
      <formula>OR($L$71,$L$72,$L$73)</formula>
    </cfRule>
  </conditionalFormatting>
  <conditionalFormatting sqref="E31:I31">
    <cfRule type="expression" dxfId="1184" priority="2045">
      <formula>AND(L27,NOT(L32),E31="")</formula>
    </cfRule>
  </conditionalFormatting>
  <conditionalFormatting sqref="E35:I35">
    <cfRule type="expression" dxfId="1183" priority="122">
      <formula>AND(L32,E35="")</formula>
    </cfRule>
  </conditionalFormatting>
  <conditionalFormatting sqref="G105">
    <cfRule type="expression" dxfId="1182" priority="1986">
      <formula>OR(AND(M107,M108),AND(M107=FALSE,M108=FALSE))</formula>
    </cfRule>
  </conditionalFormatting>
  <conditionalFormatting sqref="G106">
    <cfRule type="expression" dxfId="1181" priority="1984">
      <formula>OR(AND(M107,M108),AND(M107=FALSE,M108=FALSE))</formula>
    </cfRule>
  </conditionalFormatting>
  <conditionalFormatting sqref="H133">
    <cfRule type="expression" dxfId="1180" priority="1907">
      <formula>AND($L$126,L84,L89)</formula>
    </cfRule>
    <cfRule type="expression" dxfId="1179" priority="1908">
      <formula>AND($L$126,L85,L89,H133="")</formula>
    </cfRule>
  </conditionalFormatting>
  <conditionalFormatting sqref="H134">
    <cfRule type="expression" dxfId="1178" priority="1835">
      <formula>NOT(L126)</formula>
    </cfRule>
    <cfRule type="expression" dxfId="1177" priority="1836">
      <formula>AND($L$126,D134&lt;&gt;"",H134="")</formula>
    </cfRule>
  </conditionalFormatting>
  <conditionalFormatting sqref="H30:I30">
    <cfRule type="expression" dxfId="1176" priority="151">
      <formula>L27=FALSE</formula>
    </cfRule>
  </conditionalFormatting>
  <conditionalFormatting sqref="H34:I34">
    <cfRule type="expression" dxfId="1175" priority="2052">
      <formula>L32=FALSE</formula>
    </cfRule>
  </conditionalFormatting>
  <conditionalFormatting sqref="H109:I109">
    <cfRule type="expression" dxfId="1174" priority="222">
      <formula>$O105=FALSE</formula>
    </cfRule>
    <cfRule type="expression" dxfId="1173" priority="2114">
      <formula>IF(AND($H109="",$O105),1,0)</formula>
    </cfRule>
  </conditionalFormatting>
  <conditionalFormatting sqref="H124:I124">
    <cfRule type="expression" dxfId="1172" priority="127">
      <formula>$O112=FALSE</formula>
    </cfRule>
    <cfRule type="expression" dxfId="1171" priority="215">
      <formula>IF(AND($H124="",$O112),1,0)</formula>
    </cfRule>
  </conditionalFormatting>
  <conditionalFormatting sqref="I23">
    <cfRule type="expression" dxfId="1170" priority="2029">
      <formula>AND(M14,I23="")</formula>
    </cfRule>
    <cfRule type="expression" dxfId="1169" priority="2030">
      <formula>NOT(O19)</formula>
    </cfRule>
  </conditionalFormatting>
  <conditionalFormatting sqref="I24">
    <cfRule type="expression" dxfId="1168" priority="2031">
      <formula>NOT(O19)</formula>
    </cfRule>
    <cfRule type="expression" dxfId="1167" priority="2032">
      <formula>AND(M14,L27,I24="")</formula>
    </cfRule>
    <cfRule type="expression" dxfId="1166" priority="2033">
      <formula>AND(O19,I24&lt;&gt;"",$I$24&lt;=$I$23)</formula>
    </cfRule>
  </conditionalFormatting>
  <conditionalFormatting sqref="I28">
    <cfRule type="expression" dxfId="1165" priority="1801">
      <formula>OR(NOT(L27),AND(L27,L32))</formula>
    </cfRule>
    <cfRule type="expression" dxfId="1164" priority="1802">
      <formula>OR(I28&lt;0,I28&gt;100)</formula>
    </cfRule>
    <cfRule type="expression" dxfId="1163" priority="1803">
      <formula>AND($L$27,NOT(L32),$I$28="")</formula>
    </cfRule>
  </conditionalFormatting>
  <conditionalFormatting sqref="I28:I29">
    <cfRule type="expression" dxfId="1162" priority="31">
      <formula>OR($M$17,$N$17)</formula>
    </cfRule>
  </conditionalFormatting>
  <conditionalFormatting sqref="I33">
    <cfRule type="expression" dxfId="1161" priority="1804">
      <formula>OR(NOT(L32),AND(L27,L32))</formula>
    </cfRule>
    <cfRule type="expression" dxfId="1160" priority="1805">
      <formula>OR(I33&lt;0,I33&gt;100)</formula>
    </cfRule>
    <cfRule type="expression" dxfId="1159" priority="1806">
      <formula>AND($L$32,NOT(L27),I33="")</formula>
    </cfRule>
  </conditionalFormatting>
  <conditionalFormatting sqref="I40">
    <cfRule type="expression" dxfId="1158" priority="237">
      <formula>AND($I$40&lt;&gt;0,NOT($O$39))</formula>
    </cfRule>
  </conditionalFormatting>
  <conditionalFormatting sqref="I40:I41">
    <cfRule type="expression" dxfId="1157" priority="234">
      <formula>OR(AND($M$39,I40&lt;&gt;0),AND($N$39,I40&lt;&gt;0))</formula>
    </cfRule>
  </conditionalFormatting>
  <conditionalFormatting sqref="I41">
    <cfRule type="expression" dxfId="1156" priority="235">
      <formula>AND($I$41&lt;&gt;0,NOT($O$39))</formula>
    </cfRule>
  </conditionalFormatting>
  <conditionalFormatting sqref="I53">
    <cfRule type="expression" dxfId="1155" priority="1807">
      <formula>OR(NOT(L52),NOT(O50))</formula>
    </cfRule>
    <cfRule type="expression" dxfId="1154" priority="1808">
      <formula>OR(NOT(O50),I53&gt;50)</formula>
    </cfRule>
    <cfRule type="expression" dxfId="1153" priority="1809">
      <formula>AND($O$50,$L$52,NOT($O$52))</formula>
    </cfRule>
  </conditionalFormatting>
  <conditionalFormatting sqref="I60">
    <cfRule type="expression" dxfId="1152" priority="2093">
      <formula>L58=FALSE</formula>
    </cfRule>
    <cfRule type="expression" dxfId="1151" priority="2094">
      <formula>AND(O17,L58,I60="")</formula>
    </cfRule>
  </conditionalFormatting>
  <conditionalFormatting sqref="I71">
    <cfRule type="expression" dxfId="1150" priority="240">
      <formula>I71&gt;100%</formula>
    </cfRule>
    <cfRule type="expression" dxfId="1149" priority="241">
      <formula>AND(NOT($M$70),NOT($N$70),L71,NOT(O71))</formula>
    </cfRule>
  </conditionalFormatting>
  <conditionalFormatting sqref="I71:I72">
    <cfRule type="expression" dxfId="1148" priority="179">
      <formula>OR(($M$70),($N$70),NOT(L71))</formula>
    </cfRule>
  </conditionalFormatting>
  <conditionalFormatting sqref="I72">
    <cfRule type="expression" dxfId="1147" priority="238">
      <formula>AND(NOT($M$70),NOT($N$70),L72,NOT(O72))</formula>
    </cfRule>
    <cfRule type="expression" dxfId="1146" priority="239">
      <formula>$I$71&lt;0</formula>
    </cfRule>
  </conditionalFormatting>
  <conditionalFormatting sqref="I74:I77">
    <cfRule type="expression" dxfId="1145" priority="2036">
      <formula>OR(NOT($L$73),NOT(O104),$M$70,$N$70)</formula>
    </cfRule>
    <cfRule type="expression" dxfId="1144" priority="2037">
      <formula>I74&gt;100%</formula>
    </cfRule>
    <cfRule type="expression" dxfId="1143" priority="2038">
      <formula>AND(NOT($M$70),NOT($N$70),$L$73,NOT(O74))</formula>
    </cfRule>
  </conditionalFormatting>
  <conditionalFormatting sqref="I78">
    <cfRule type="expression" dxfId="1142" priority="2014">
      <formula>OR(NOT($L$73),NOT(T107),$M$70,$N$70)</formula>
    </cfRule>
    <cfRule type="expression" dxfId="1141" priority="2015">
      <formula>I78&gt;100%</formula>
    </cfRule>
    <cfRule type="expression" dxfId="1140" priority="2016">
      <formula>AND(NOT($M$70),NOT($N$70),$L$73,NOT(O78))</formula>
    </cfRule>
  </conditionalFormatting>
  <conditionalFormatting sqref="I79:I81">
    <cfRule type="expression" dxfId="1139" priority="176">
      <formula>OR(NOT($L$73),NOT(O108),$M$70,$N$70)</formula>
    </cfRule>
    <cfRule type="expression" dxfId="1138" priority="177">
      <formula>I79&gt;100%</formula>
    </cfRule>
    <cfRule type="expression" dxfId="1137" priority="178">
      <formula>AND(NOT($M$70),NOT($N$70),$L$73,NOT(O79))</formula>
    </cfRule>
  </conditionalFormatting>
  <conditionalFormatting sqref="I82">
    <cfRule type="expression" dxfId="1136" priority="80">
      <formula>OR(NOT($L$73),NOT(T110),$M$70,$N$70)</formula>
    </cfRule>
    <cfRule type="expression" dxfId="1135" priority="81">
      <formula>I82&gt;100%</formula>
    </cfRule>
    <cfRule type="expression" dxfId="1134" priority="82">
      <formula>AND(NOT($M$70),NOT($N$70),$L$73,NOT(O82))</formula>
    </cfRule>
  </conditionalFormatting>
  <conditionalFormatting sqref="I83:I84">
    <cfRule type="expression" dxfId="1133" priority="89">
      <formula>OR(NOT($L$73),NOT(O111),$M$70,$N$70)</formula>
    </cfRule>
    <cfRule type="expression" dxfId="1132" priority="90">
      <formula>I83&gt;100%</formula>
    </cfRule>
    <cfRule type="expression" dxfId="1131" priority="91">
      <formula>AND(NOT($M$70),NOT($N$70),$L$73,NOT(O83))</formula>
    </cfRule>
  </conditionalFormatting>
  <conditionalFormatting sqref="I88">
    <cfRule type="expression" dxfId="1130" priority="1916">
      <formula>O85=FALSE</formula>
    </cfRule>
  </conditionalFormatting>
  <conditionalFormatting sqref="I99:I101">
    <cfRule type="expression" dxfId="1129" priority="144">
      <formula>L99=FALSE</formula>
    </cfRule>
    <cfRule type="expression" dxfId="1128" priority="258">
      <formula>AND(L99,I99="")</formula>
    </cfRule>
  </conditionalFormatting>
  <conditionalFormatting sqref="I129">
    <cfRule type="expression" dxfId="1127" priority="269">
      <formula>AND($L$126,$L$99)</formula>
    </cfRule>
    <cfRule type="expression" dxfId="1126" priority="286">
      <formula>AND($L$126,$L$99,$I$129="")</formula>
    </cfRule>
  </conditionalFormatting>
  <conditionalFormatting sqref="I130">
    <cfRule type="expression" dxfId="1125" priority="268">
      <formula>AND($L$126,$L$100)</formula>
    </cfRule>
  </conditionalFormatting>
  <conditionalFormatting sqref="I130:I131">
    <cfRule type="expression" dxfId="1124" priority="284">
      <formula>AND($L$126,L100,I130="")</formula>
    </cfRule>
  </conditionalFormatting>
  <conditionalFormatting sqref="I131">
    <cfRule type="expression" dxfId="1123" priority="267">
      <formula>AND($L$126,$L$101)</formula>
    </cfRule>
  </conditionalFormatting>
  <conditionalFormatting sqref="I133">
    <cfRule type="expression" dxfId="1122" priority="1905">
      <formula>AND($L$126,$L$85,$L$89,$H$133&gt;0,$I$133="")</formula>
    </cfRule>
    <cfRule type="expression" dxfId="1121" priority="1906">
      <formula>AND($L$126,L85,L89)</formula>
    </cfRule>
  </conditionalFormatting>
  <conditionalFormatting sqref="I134">
    <cfRule type="expression" dxfId="1120" priority="1837">
      <formula>AND($L$126,$D$134&lt;&gt;"",$H$134&gt;0,$I$134="")</formula>
    </cfRule>
    <cfRule type="expression" dxfId="1119" priority="1838">
      <formula>AND($L$126,$D$134&lt;&gt;"",H134&gt;0,I134&gt;=0)</formula>
    </cfRule>
  </conditionalFormatting>
  <conditionalFormatting sqref="J43">
    <cfRule type="expression" dxfId="1118" priority="109">
      <formula>AND(NOT(L40),NOT(L41))</formula>
    </cfRule>
  </conditionalFormatting>
  <conditionalFormatting sqref="B109:I124">
    <cfRule type="expression" dxfId="1117" priority="1">
      <formula>AND($L$105,$L$106=FALSE)</formula>
    </cfRule>
  </conditionalFormatting>
  <conditionalFormatting sqref="C99">
    <cfRule type="expression" dxfId="1116" priority="2132">
      <formula>AND(L126,L85,L88,NOT(L99))</formula>
    </cfRule>
  </conditionalFormatting>
  <conditionalFormatting sqref="H107:I107">
    <cfRule type="expression" dxfId="1115" priority="2122">
      <formula>OR(AND($O104,$H107=""),AND($L105,$H107=""))</formula>
    </cfRule>
    <cfRule type="expression" dxfId="1114" priority="2123">
      <formula>AND(NOT($O104),NOT($L105))</formula>
    </cfRule>
  </conditionalFormatting>
  <conditionalFormatting sqref="H108:I108">
    <cfRule type="expression" dxfId="1113" priority="2124">
      <formula>OR(AND($O104,$H108=""),AND($L105,$H108=""))</formula>
    </cfRule>
    <cfRule type="expression" dxfId="1112" priority="2125">
      <formula>AND(NOT($O104),NOT($L105))</formula>
    </cfRule>
  </conditionalFormatting>
  <conditionalFormatting sqref="H110:I110">
    <cfRule type="expression" dxfId="1111" priority="142">
      <formula>$O105=FALSE</formula>
    </cfRule>
    <cfRule type="expression" dxfId="1110" priority="637">
      <formula>IF(AND($H110="",$O105),1,0)</formula>
    </cfRule>
  </conditionalFormatting>
  <conditionalFormatting sqref="H123:I123">
    <cfRule type="expression" dxfId="1109" priority="128">
      <formula>$O112=FALSE</formula>
    </cfRule>
    <cfRule type="expression" dxfId="1108" priority="216">
      <formula>IF(AND($H123="",$O112),1,0)</formula>
    </cfRule>
  </conditionalFormatting>
  <conditionalFormatting sqref="H122:I122">
    <cfRule type="expression" dxfId="1107" priority="22">
      <formula>$O111=FALSE</formula>
    </cfRule>
    <cfRule type="expression" dxfId="1106" priority="24">
      <formula>IF(AND($H122="",$O111),1,0)</formula>
    </cfRule>
  </conditionalFormatting>
  <conditionalFormatting sqref="H121:I121">
    <cfRule type="expression" dxfId="1105" priority="23">
      <formula>$O111=FALSE</formula>
    </cfRule>
    <cfRule type="expression" dxfId="1104" priority="29">
      <formula>IF(AND($H121="",$O111),1,0)</formula>
    </cfRule>
  </conditionalFormatting>
  <conditionalFormatting sqref="H120:I120">
    <cfRule type="expression" dxfId="1103" priority="18">
      <formula>$O110=FALSE</formula>
    </cfRule>
    <cfRule type="expression" dxfId="1102" priority="20">
      <formula>IF(AND($H120="",$O110),1,0)</formula>
    </cfRule>
  </conditionalFormatting>
  <conditionalFormatting sqref="H119:I119">
    <cfRule type="expression" dxfId="1101" priority="19">
      <formula>$O110=FALSE</formula>
    </cfRule>
    <cfRule type="expression" dxfId="1100" priority="21">
      <formula>IF(AND($H119="",$O110),1,0)</formula>
    </cfRule>
  </conditionalFormatting>
  <conditionalFormatting sqref="H118:I118">
    <cfRule type="expression" dxfId="1099" priority="14">
      <formula>$O109=FALSE</formula>
    </cfRule>
    <cfRule type="expression" dxfId="1098" priority="16">
      <formula>IF(AND($H118="",$O109),1,0)</formula>
    </cfRule>
  </conditionalFormatting>
  <conditionalFormatting sqref="H117:I117">
    <cfRule type="expression" dxfId="1097" priority="15">
      <formula>$O109=FALSE</formula>
    </cfRule>
    <cfRule type="expression" dxfId="1096" priority="17">
      <formula>IF(AND($H117="",$O109),1,0)</formula>
    </cfRule>
  </conditionalFormatting>
  <conditionalFormatting sqref="H116:I116">
    <cfRule type="expression" dxfId="1095" priority="10">
      <formula>$O108=FALSE</formula>
    </cfRule>
    <cfRule type="expression" dxfId="1094" priority="12">
      <formula>IF(AND($H116="",$O108),1,0)</formula>
    </cfRule>
  </conditionalFormatting>
  <conditionalFormatting sqref="H115:I115">
    <cfRule type="expression" dxfId="1093" priority="11">
      <formula>$O108=FALSE</formula>
    </cfRule>
    <cfRule type="expression" dxfId="1092" priority="13">
      <formula>IF(AND($H115="",$O108),1,0)</formula>
    </cfRule>
  </conditionalFormatting>
  <conditionalFormatting sqref="H114:I114">
    <cfRule type="expression" dxfId="1091" priority="6">
      <formula>$O107=FALSE</formula>
    </cfRule>
    <cfRule type="expression" dxfId="1090" priority="8">
      <formula>IF(AND($H114="",$O107),1,0)</formula>
    </cfRule>
  </conditionalFormatting>
  <conditionalFormatting sqref="H113:I113">
    <cfRule type="expression" dxfId="1089" priority="7">
      <formula>$O107=FALSE</formula>
    </cfRule>
    <cfRule type="expression" dxfId="1088" priority="9">
      <formula>IF(AND($H113="",$O107),1,0)</formula>
    </cfRule>
  </conditionalFormatting>
  <conditionalFormatting sqref="H112:I112">
    <cfRule type="expression" dxfId="1087" priority="2">
      <formula>$O106=FALSE</formula>
    </cfRule>
    <cfRule type="expression" dxfId="1086" priority="4">
      <formula>IF(AND($H112="",$O106),1,0)</formula>
    </cfRule>
  </conditionalFormatting>
  <conditionalFormatting sqref="H111:I111">
    <cfRule type="expression" dxfId="1085" priority="3">
      <formula>$O106=FALSE</formula>
    </cfRule>
    <cfRule type="expression" dxfId="1084" priority="5">
      <formula>IF(AND($H111="",$O106),1,0)</formula>
    </cfRule>
  </conditionalFormatting>
  <dataValidations xWindow="775" yWindow="806" count="9">
    <dataValidation operator="greaterThan" allowBlank="1" showInputMessage="1" showErrorMessage="1" errorTitle="Falsche Eingabe" promptTitle="Wiederholungen" prompt="Positive ganze Zahlen eingeben." sqref="I60 I68"/>
    <dataValidation allowBlank="1" showInputMessage="1" showErrorMessage="1" error="keine Eingabe zulässig" promptTitle="Nebenkosten in Prozent" prompt="Positive Prozentzahl" sqref="I71 I74:I84"/>
    <dataValidation operator="lessThanOrEqual" allowBlank="1" showInputMessage="1" showErrorMessage="1" promptTitle="Umbauzuschlag" prompt="Positive Zahl eingeben._x000a_Zuschlag von max. 50 v.H möglich!" sqref="I53"/>
    <dataValidation showInputMessage="1" showErrorMessage="1" errorTitle="Achtung!" error="Bitte Eingabe überprüfen!" promptTitle="Abweichung vom Mindestsatz" prompt="Positive Prozentzahl zwischen 0 und 100" sqref="I28"/>
    <dataValidation showInputMessage="1" showErrorMessage="1" errorTitle="Achtung!" error="Eingabe bitte überprüfen" promptTitle="Abweichung vom Mindestsatz" prompt="Positive Zahl zwischen 0 und 100" sqref="I33"/>
    <dataValidation allowBlank="1" showInputMessage="1" showErrorMessage="1" promptTitle="Abweichung vom Honorar nach HOAI" prompt="Positive Zahl zwischen 0 und 100" sqref="I40"/>
    <dataValidation allowBlank="1" showInputMessage="1" showErrorMessage="1" promptTitle="Abweichung vom Honorar nach HOAI" prompt="Positive Zahl zwischen 0 und 100_x000a_" sqref="I41"/>
    <dataValidation allowBlank="1" showInputMessage="1" showErrorMessage="1" promptTitle="Nebenkosten in EURO" prompt="Positive Zahl in EURO" sqref="I72"/>
    <dataValidation allowBlank="1" showErrorMessage="1" promptTitle="Nebenkosten in EURO" prompt="Positive Zahl in EURO" sqref="I73"/>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4" manualBreakCount="4">
    <brk id="44" max="10" man="1"/>
    <brk id="68" max="10" man="1"/>
    <brk id="96" max="10" man="1"/>
    <brk id="125" max="10" man="1"/>
  </rowBreaks>
  <ignoredErrors>
    <ignoredError sqref="B38 B128" numberStoredAsText="1"/>
    <ignoredError sqref="B82:B84"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8678" r:id="rId4" name="Check Box 6">
              <controlPr defaultSize="0" autoFill="0" autoLine="0" autoPict="0" altText="3 Fahrstreifen">
                <anchor moveWithCells="1">
                  <from>
                    <xdr:col>2</xdr:col>
                    <xdr:colOff>0</xdr:colOff>
                    <xdr:row>71</xdr:row>
                    <xdr:rowOff>0</xdr:rowOff>
                  </from>
                  <to>
                    <xdr:col>3</xdr:col>
                    <xdr:colOff>0</xdr:colOff>
                    <xdr:row>72</xdr:row>
                    <xdr:rowOff>9525</xdr:rowOff>
                  </to>
                </anchor>
              </controlPr>
            </control>
          </mc:Choice>
        </mc:AlternateContent>
        <mc:AlternateContent xmlns:mc="http://schemas.openxmlformats.org/markup-compatibility/2006">
          <mc:Choice Requires="x14">
            <control shapeId="28679" r:id="rId5" name="Check Box 7">
              <controlPr defaultSize="0" autoFill="0" autoLine="0" autoPict="0" altText="3 Fahrstreifen">
                <anchor moveWithCells="1">
                  <from>
                    <xdr:col>2</xdr:col>
                    <xdr:colOff>0</xdr:colOff>
                    <xdr:row>70</xdr:row>
                    <xdr:rowOff>0</xdr:rowOff>
                  </from>
                  <to>
                    <xdr:col>3</xdr:col>
                    <xdr:colOff>0</xdr:colOff>
                    <xdr:row>71</xdr:row>
                    <xdr:rowOff>9525</xdr:rowOff>
                  </to>
                </anchor>
              </controlPr>
            </control>
          </mc:Choice>
        </mc:AlternateContent>
        <mc:AlternateContent xmlns:mc="http://schemas.openxmlformats.org/markup-compatibility/2006">
          <mc:Choice Requires="x14">
            <control shapeId="28681" r:id="rId6" name="Check Box 9">
              <controlPr defaultSize="0" autoFill="0" autoLine="0" autoPict="0" altText="">
                <anchor moveWithCells="1">
                  <from>
                    <xdr:col>2</xdr:col>
                    <xdr:colOff>0</xdr:colOff>
                    <xdr:row>26</xdr:row>
                    <xdr:rowOff>0</xdr:rowOff>
                  </from>
                  <to>
                    <xdr:col>3</xdr:col>
                    <xdr:colOff>0</xdr:colOff>
                    <xdr:row>27</xdr:row>
                    <xdr:rowOff>9525</xdr:rowOff>
                  </to>
                </anchor>
              </controlPr>
            </control>
          </mc:Choice>
        </mc:AlternateContent>
        <mc:AlternateContent xmlns:mc="http://schemas.openxmlformats.org/markup-compatibility/2006">
          <mc:Choice Requires="x14">
            <control shapeId="28682" r:id="rId7" name="Check Box 10">
              <controlPr defaultSize="0" autoFill="0" autoLine="0" autoPict="0" altText="">
                <anchor moveWithCells="1">
                  <from>
                    <xdr:col>2</xdr:col>
                    <xdr:colOff>0</xdr:colOff>
                    <xdr:row>57</xdr:row>
                    <xdr:rowOff>0</xdr:rowOff>
                  </from>
                  <to>
                    <xdr:col>3</xdr:col>
                    <xdr:colOff>0</xdr:colOff>
                    <xdr:row>57</xdr:row>
                    <xdr:rowOff>190500</xdr:rowOff>
                  </to>
                </anchor>
              </controlPr>
            </control>
          </mc:Choice>
        </mc:AlternateContent>
        <mc:AlternateContent xmlns:mc="http://schemas.openxmlformats.org/markup-compatibility/2006">
          <mc:Choice Requires="x14">
            <control shapeId="28689" r:id="rId8" name="Check Box 17">
              <controlPr defaultSize="0" autoFill="0" autoLine="0" autoPict="0" altText="">
                <anchor moveWithCells="1">
                  <from>
                    <xdr:col>2</xdr:col>
                    <xdr:colOff>0</xdr:colOff>
                    <xdr:row>51</xdr:row>
                    <xdr:rowOff>0</xdr:rowOff>
                  </from>
                  <to>
                    <xdr:col>3</xdr:col>
                    <xdr:colOff>0</xdr:colOff>
                    <xdr:row>51</xdr:row>
                    <xdr:rowOff>190500</xdr:rowOff>
                  </to>
                </anchor>
              </controlPr>
            </control>
          </mc:Choice>
        </mc:AlternateContent>
        <mc:AlternateContent xmlns:mc="http://schemas.openxmlformats.org/markup-compatibility/2006">
          <mc:Choice Requires="x14">
            <control shapeId="28690" r:id="rId9" name="Check Box 18">
              <controlPr defaultSize="0" autoFill="0" autoLine="0" autoPict="0" altText="">
                <anchor moveWithCells="1">
                  <from>
                    <xdr:col>2</xdr:col>
                    <xdr:colOff>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28696" r:id="rId10" name="Check Box 24">
              <controlPr defaultSize="0" autoFill="0" autoLine="0" autoPict="0">
                <anchor moveWithCells="1">
                  <from>
                    <xdr:col>2</xdr:col>
                    <xdr:colOff>0</xdr:colOff>
                    <xdr:row>98</xdr:row>
                    <xdr:rowOff>0</xdr:rowOff>
                  </from>
                  <to>
                    <xdr:col>3</xdr:col>
                    <xdr:colOff>0</xdr:colOff>
                    <xdr:row>99</xdr:row>
                    <xdr:rowOff>9525</xdr:rowOff>
                  </to>
                </anchor>
              </controlPr>
            </control>
          </mc:Choice>
        </mc:AlternateContent>
        <mc:AlternateContent xmlns:mc="http://schemas.openxmlformats.org/markup-compatibility/2006">
          <mc:Choice Requires="x14">
            <control shapeId="28697" r:id="rId11" name="Check Box 25">
              <controlPr defaultSize="0" autoFill="0" autoLine="0" autoPict="0">
                <anchor moveWithCells="1">
                  <from>
                    <xdr:col>2</xdr:col>
                    <xdr:colOff>0</xdr:colOff>
                    <xdr:row>99</xdr:row>
                    <xdr:rowOff>0</xdr:rowOff>
                  </from>
                  <to>
                    <xdr:col>3</xdr:col>
                    <xdr:colOff>0</xdr:colOff>
                    <xdr:row>100</xdr:row>
                    <xdr:rowOff>19050</xdr:rowOff>
                  </to>
                </anchor>
              </controlPr>
            </control>
          </mc:Choice>
        </mc:AlternateContent>
        <mc:AlternateContent xmlns:mc="http://schemas.openxmlformats.org/markup-compatibility/2006">
          <mc:Choice Requires="x14">
            <control shapeId="28698" r:id="rId12" name="Check Box 26">
              <controlPr defaultSize="0" autoFill="0" autoLine="0" autoPict="0">
                <anchor moveWithCells="1">
                  <from>
                    <xdr:col>2</xdr:col>
                    <xdr:colOff>0</xdr:colOff>
                    <xdr:row>100</xdr:row>
                    <xdr:rowOff>0</xdr:rowOff>
                  </from>
                  <to>
                    <xdr:col>3</xdr:col>
                    <xdr:colOff>0</xdr:colOff>
                    <xdr:row>101</xdr:row>
                    <xdr:rowOff>19050</xdr:rowOff>
                  </to>
                </anchor>
              </controlPr>
            </control>
          </mc:Choice>
        </mc:AlternateContent>
        <mc:AlternateContent xmlns:mc="http://schemas.openxmlformats.org/markup-compatibility/2006">
          <mc:Choice Requires="x14">
            <control shapeId="28699" r:id="rId13" name="Check Box 27">
              <controlPr defaultSize="0" autoFill="0" autoLine="0" autoPict="0" altText="3 Fahrstreifen">
                <anchor moveWithCells="1">
                  <from>
                    <xdr:col>3</xdr:col>
                    <xdr:colOff>0</xdr:colOff>
                    <xdr:row>87</xdr:row>
                    <xdr:rowOff>0</xdr:rowOff>
                  </from>
                  <to>
                    <xdr:col>4</xdr:col>
                    <xdr:colOff>0</xdr:colOff>
                    <xdr:row>88</xdr:row>
                    <xdr:rowOff>0</xdr:rowOff>
                  </to>
                </anchor>
              </controlPr>
            </control>
          </mc:Choice>
        </mc:AlternateContent>
        <mc:AlternateContent xmlns:mc="http://schemas.openxmlformats.org/markup-compatibility/2006">
          <mc:Choice Requires="x14">
            <control shapeId="28700" r:id="rId14" name="Check Box 28">
              <controlPr defaultSize="0" autoFill="0" autoLine="0" autoPict="0" altText="3 Fahrstreifen">
                <anchor moveWithCells="1">
                  <from>
                    <xdr:col>3</xdr:col>
                    <xdr:colOff>0</xdr:colOff>
                    <xdr:row>88</xdr:row>
                    <xdr:rowOff>0</xdr:rowOff>
                  </from>
                  <to>
                    <xdr:col>4</xdr:col>
                    <xdr:colOff>0</xdr:colOff>
                    <xdr:row>89</xdr:row>
                    <xdr:rowOff>0</xdr:rowOff>
                  </to>
                </anchor>
              </controlPr>
            </control>
          </mc:Choice>
        </mc:AlternateContent>
        <mc:AlternateContent xmlns:mc="http://schemas.openxmlformats.org/markup-compatibility/2006">
          <mc:Choice Requires="x14">
            <control shapeId="28701" r:id="rId15" name="Check Box 29">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28702" r:id="rId16" name="Check Box 30">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28703" r:id="rId17" name="Check Box 31">
              <controlPr defaultSize="0" autoFill="0" autoLine="0" autoPict="0">
                <anchor moveWithCells="1">
                  <from>
                    <xdr:col>1</xdr:col>
                    <xdr:colOff>0</xdr:colOff>
                    <xdr:row>125</xdr:row>
                    <xdr:rowOff>0</xdr:rowOff>
                  </from>
                  <to>
                    <xdr:col>2</xdr:col>
                    <xdr:colOff>0</xdr:colOff>
                    <xdr:row>126</xdr:row>
                    <xdr:rowOff>0</xdr:rowOff>
                  </to>
                </anchor>
              </controlPr>
            </control>
          </mc:Choice>
        </mc:AlternateContent>
        <mc:AlternateContent xmlns:mc="http://schemas.openxmlformats.org/markup-compatibility/2006">
          <mc:Choice Requires="x14">
            <control shapeId="28704" r:id="rId18" name="Check Box 32">
              <controlPr defaultSize="0" autoFill="0" autoLine="0" autoPict="0" altText="">
                <anchor moveWithCells="1">
                  <from>
                    <xdr:col>2</xdr:col>
                    <xdr:colOff>0</xdr:colOff>
                    <xdr:row>17</xdr:row>
                    <xdr:rowOff>0</xdr:rowOff>
                  </from>
                  <to>
                    <xdr:col>3</xdr:col>
                    <xdr:colOff>0</xdr:colOff>
                    <xdr:row>17</xdr:row>
                    <xdr:rowOff>190500</xdr:rowOff>
                  </to>
                </anchor>
              </controlPr>
            </control>
          </mc:Choice>
        </mc:AlternateContent>
        <mc:AlternateContent xmlns:mc="http://schemas.openxmlformats.org/markup-compatibility/2006">
          <mc:Choice Requires="x14">
            <control shapeId="28706" r:id="rId19" name="Check Box 34">
              <controlPr defaultSize="0" autoFill="0" autoLine="0" autoPict="0" altText="">
                <anchor moveWithCells="1">
                  <from>
                    <xdr:col>2</xdr:col>
                    <xdr:colOff>0</xdr:colOff>
                    <xdr:row>49</xdr:row>
                    <xdr:rowOff>0</xdr:rowOff>
                  </from>
                  <to>
                    <xdr:col>3</xdr:col>
                    <xdr:colOff>0</xdr:colOff>
                    <xdr:row>49</xdr:row>
                    <xdr:rowOff>190500</xdr:rowOff>
                  </to>
                </anchor>
              </controlPr>
            </control>
          </mc:Choice>
        </mc:AlternateContent>
        <mc:AlternateContent xmlns:mc="http://schemas.openxmlformats.org/markup-compatibility/2006">
          <mc:Choice Requires="x14">
            <control shapeId="28707" r:id="rId20" name="Check Box 35">
              <controlPr defaultSize="0" autoFill="0" autoLine="0" autoPict="0" altText="3 Fahrstreifen">
                <anchor moveWithCells="1">
                  <from>
                    <xdr:col>2</xdr:col>
                    <xdr:colOff>0</xdr:colOff>
                    <xdr:row>69</xdr:row>
                    <xdr:rowOff>0</xdr:rowOff>
                  </from>
                  <to>
                    <xdr:col>3</xdr:col>
                    <xdr:colOff>0</xdr:colOff>
                    <xdr:row>70</xdr:row>
                    <xdr:rowOff>9525</xdr:rowOff>
                  </to>
                </anchor>
              </controlPr>
            </control>
          </mc:Choice>
        </mc:AlternateContent>
        <mc:AlternateContent xmlns:mc="http://schemas.openxmlformats.org/markup-compatibility/2006">
          <mc:Choice Requires="x14">
            <control shapeId="28708" r:id="rId21" name="Check Box 36">
              <controlPr defaultSize="0" autoFill="0" autoLine="0" autoPict="0">
                <anchor moveWithCells="1">
                  <from>
                    <xdr:col>3</xdr:col>
                    <xdr:colOff>0</xdr:colOff>
                    <xdr:row>105</xdr:row>
                    <xdr:rowOff>0</xdr:rowOff>
                  </from>
                  <to>
                    <xdr:col>4</xdr:col>
                    <xdr:colOff>0</xdr:colOff>
                    <xdr:row>106</xdr:row>
                    <xdr:rowOff>19050</xdr:rowOff>
                  </to>
                </anchor>
              </controlPr>
            </control>
          </mc:Choice>
        </mc:AlternateContent>
        <mc:AlternateContent xmlns:mc="http://schemas.openxmlformats.org/markup-compatibility/2006">
          <mc:Choice Requires="x14">
            <control shapeId="28712" r:id="rId22" name="Check Box 40">
              <controlPr defaultSize="0" autoFill="0" autoLine="0" autoPict="0">
                <anchor moveWithCells="1">
                  <from>
                    <xdr:col>3</xdr:col>
                    <xdr:colOff>0</xdr:colOff>
                    <xdr:row>104</xdr:row>
                    <xdr:rowOff>0</xdr:rowOff>
                  </from>
                  <to>
                    <xdr:col>4</xdr:col>
                    <xdr:colOff>0</xdr:colOff>
                    <xdr:row>105</xdr:row>
                    <xdr:rowOff>19050</xdr:rowOff>
                  </to>
                </anchor>
              </controlPr>
            </control>
          </mc:Choice>
        </mc:AlternateContent>
        <mc:AlternateContent xmlns:mc="http://schemas.openxmlformats.org/markup-compatibility/2006">
          <mc:Choice Requires="x14">
            <control shapeId="28713" r:id="rId23" name="Check Box 41">
              <controlPr defaultSize="0" autoFill="0" autoLine="0" autoPict="0" altText="3 Fahrstreifen">
                <anchor moveWithCells="1">
                  <from>
                    <xdr:col>2</xdr:col>
                    <xdr:colOff>0</xdr:colOff>
                    <xdr:row>72</xdr:row>
                    <xdr:rowOff>0</xdr:rowOff>
                  </from>
                  <to>
                    <xdr:col>3</xdr:col>
                    <xdr:colOff>0</xdr:colOff>
                    <xdr:row>73</xdr:row>
                    <xdr:rowOff>9525</xdr:rowOff>
                  </to>
                </anchor>
              </controlPr>
            </control>
          </mc:Choice>
        </mc:AlternateContent>
        <mc:AlternateContent xmlns:mc="http://schemas.openxmlformats.org/markup-compatibility/2006">
          <mc:Choice Requires="x14">
            <control shapeId="28719" r:id="rId24" name="Check Box 47">
              <controlPr defaultSize="0" autoFill="0" autoLine="0" autoPict="0" altText="3 Fahrstreifen">
                <anchor moveWithCells="1">
                  <from>
                    <xdr:col>3</xdr:col>
                    <xdr:colOff>0</xdr:colOff>
                    <xdr:row>85</xdr:row>
                    <xdr:rowOff>0</xdr:rowOff>
                  </from>
                  <to>
                    <xdr:col>4</xdr:col>
                    <xdr:colOff>0</xdr:colOff>
                    <xdr:row>86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14999847407452621"/>
    <pageSetUpPr fitToPage="1"/>
  </sheetPr>
  <dimension ref="A1:U31"/>
  <sheetViews>
    <sheetView showGridLines="0" zoomScaleNormal="100" zoomScaleSheetLayoutView="100" zoomScalePageLayoutView="50" workbookViewId="0">
      <selection activeCell="D5" sqref="D5:I5"/>
    </sheetView>
  </sheetViews>
  <sheetFormatPr baseColWidth="10" defaultColWidth="0" defaultRowHeight="16.5" zeroHeight="1"/>
  <cols>
    <col min="1" max="1" width="2.7109375" style="460" customWidth="1"/>
    <col min="2" max="2" width="9.140625" customWidth="1"/>
    <col min="3" max="3" width="22.28515625" customWidth="1"/>
    <col min="4" max="4" width="10.42578125" customWidth="1"/>
    <col min="5" max="5" width="10.5703125" customWidth="1"/>
    <col min="6" max="6" width="13.28515625" customWidth="1"/>
    <col min="7" max="15" width="15.140625" customWidth="1"/>
    <col min="16" max="16" width="2.7109375" customWidth="1"/>
    <col min="17" max="16384" width="11.42578125" hidden="1"/>
  </cols>
  <sheetData>
    <row r="1" spans="1:21"/>
    <row r="2" spans="1:21" s="1" customFormat="1" ht="18" customHeight="1">
      <c r="A2" s="457"/>
      <c r="B2" s="1327" t="str">
        <f>IF(Projektgrundlagen!B2="","",Projektgrundlagen!B2)</f>
        <v>Fachplanung Tragwerksplanung</v>
      </c>
      <c r="C2" s="1327"/>
      <c r="D2" s="1327"/>
      <c r="E2" s="1327"/>
      <c r="F2" s="1327"/>
      <c r="G2" s="1327"/>
      <c r="H2" s="1327"/>
      <c r="I2" s="1328"/>
      <c r="J2" s="371" t="str">
        <f>IF(Projektgrundlagen!F2="","",Projektgrundlagen!F2)</f>
        <v>VII.12.4</v>
      </c>
      <c r="K2" s="297" t="s">
        <v>167</v>
      </c>
      <c r="L2" s="297"/>
      <c r="M2" s="297"/>
      <c r="N2" s="462"/>
      <c r="O2" s="391"/>
      <c r="P2" s="1234" t="s">
        <v>315</v>
      </c>
      <c r="S2" s="195" t="s">
        <v>153</v>
      </c>
    </row>
    <row r="3" spans="1:21" s="1" customFormat="1" ht="18">
      <c r="A3" s="457"/>
      <c r="B3" s="1421" t="s">
        <v>315</v>
      </c>
      <c r="C3" s="1421"/>
      <c r="D3" s="1421"/>
      <c r="E3" s="1421"/>
      <c r="F3" s="1421"/>
      <c r="G3" s="1421"/>
      <c r="H3" s="1421"/>
      <c r="I3" s="1422"/>
      <c r="J3" s="379" t="str">
        <f>IF(Projektgrundlagen!F3="","",Projektgrundlagen!F3)</f>
        <v>Vertragsnr.:</v>
      </c>
      <c r="K3" s="389" t="str">
        <f>IF(Projektgrundlagen!G3="","",Projektgrundlagen!G3)</f>
        <v>000.411.425</v>
      </c>
      <c r="L3" s="378"/>
      <c r="M3" s="378"/>
      <c r="N3" s="392"/>
      <c r="O3" s="390"/>
      <c r="P3" s="1234"/>
      <c r="S3" s="1" t="str">
        <f ca="1">MID(CELL("dateiname",A2),FIND("]",CELL("dateiname",A2))+1,255)</f>
        <v>F Honorarübersicht</v>
      </c>
    </row>
    <row r="4" spans="1:21" s="1" customFormat="1" ht="7.5" customHeight="1">
      <c r="A4" s="457"/>
      <c r="B4" s="366"/>
      <c r="C4" s="366"/>
      <c r="D4" s="366"/>
      <c r="E4" s="366"/>
      <c r="F4" s="366"/>
      <c r="G4" s="366"/>
      <c r="H4" s="365"/>
      <c r="I4" s="365"/>
      <c r="J4" s="365"/>
      <c r="K4" s="377"/>
      <c r="L4" s="377"/>
      <c r="M4" s="367"/>
      <c r="N4" s="367"/>
      <c r="O4" s="373"/>
      <c r="P4" s="1234"/>
    </row>
    <row r="5" spans="1:21" s="1" customFormat="1">
      <c r="A5" s="457"/>
      <c r="B5" s="1238" t="str">
        <f>IF(Projektgrundlagen!B5="","",Projektgrundlagen!B5)</f>
        <v>Maßnahmennr:</v>
      </c>
      <c r="C5" s="1239"/>
      <c r="D5" s="1338" t="str">
        <f>IF(Projektgrundlagen!E5="","",Projektgrundlagen!E5)</f>
        <v>B63SABBD000300</v>
      </c>
      <c r="E5" s="1338"/>
      <c r="F5" s="1338"/>
      <c r="G5" s="1338"/>
      <c r="H5" s="1338"/>
      <c r="I5" s="1338"/>
      <c r="J5" s="374" t="str">
        <f>IF(Projektgrundlagen!F5="","",Projektgrundlagen!F5)</f>
        <v>Vergabenr.:</v>
      </c>
      <c r="K5" s="297" t="str">
        <f>IF(Projektgrundlagen!G5="","",Projektgrundlagen!G5)</f>
        <v>24-080603 D</v>
      </c>
      <c r="L5" s="393"/>
      <c r="M5" s="343"/>
      <c r="N5" s="342"/>
      <c r="O5" s="344"/>
      <c r="P5" s="1234"/>
    </row>
    <row r="6" spans="1:21" s="1" customFormat="1">
      <c r="A6" s="457"/>
      <c r="B6" s="1240" t="str">
        <f>IF(Projektgrundlagen!B6="","",Projektgrundlagen!B6)</f>
        <v>Maßnahme:</v>
      </c>
      <c r="C6" s="1241"/>
      <c r="D6" s="1452" t="str">
        <f>IF(Projektgrundlagen!E6="","",Projektgrundlagen!E6)</f>
        <v>B 26, Erneuerung der Brücke über die Bahn bei Wernfeld</v>
      </c>
      <c r="E6" s="1452"/>
      <c r="F6" s="1452"/>
      <c r="G6" s="1452"/>
      <c r="H6" s="1452"/>
      <c r="I6" s="1452"/>
      <c r="J6" s="1452"/>
      <c r="K6" s="1452"/>
      <c r="L6" s="1452"/>
      <c r="M6" s="1452"/>
      <c r="N6" s="1452"/>
      <c r="O6" s="1453"/>
      <c r="P6" s="1234"/>
    </row>
    <row r="7" spans="1:21" s="1" customFormat="1">
      <c r="A7" s="457"/>
      <c r="B7" s="1242"/>
      <c r="C7" s="1243"/>
      <c r="D7" s="1419" t="str">
        <f>IF(Projektgrundlagen!E7="","",Projektgrundlagen!E7)</f>
        <v>Behelfsbrücke über die Bahn</v>
      </c>
      <c r="E7" s="1419"/>
      <c r="F7" s="1419"/>
      <c r="G7" s="1419"/>
      <c r="H7" s="1419"/>
      <c r="I7" s="1419"/>
      <c r="J7" s="1419"/>
      <c r="K7" s="1419"/>
      <c r="L7" s="1419"/>
      <c r="M7" s="1419"/>
      <c r="N7" s="1419"/>
      <c r="O7" s="1420"/>
      <c r="P7" s="1234"/>
      <c r="S7" s="1456" t="s">
        <v>104</v>
      </c>
      <c r="T7" s="1457"/>
      <c r="U7" s="1458"/>
    </row>
    <row r="8" spans="1:21" s="1" customFormat="1">
      <c r="A8" s="457"/>
      <c r="B8" s="1254" t="s">
        <v>109</v>
      </c>
      <c r="C8" s="1255"/>
      <c r="D8" s="1468" t="str">
        <f>IF(Projektgrundlagen!E8="","",Projektgrundlagen!E8)</f>
        <v/>
      </c>
      <c r="E8" s="1468"/>
      <c r="F8" s="1468"/>
      <c r="G8" s="1468"/>
      <c r="H8" s="1468"/>
      <c r="I8" s="1468"/>
      <c r="J8" s="1468"/>
      <c r="K8" s="1468"/>
      <c r="L8" s="1468"/>
      <c r="M8" s="1468"/>
      <c r="N8" s="1468"/>
      <c r="O8" s="1469"/>
      <c r="P8" s="1234"/>
    </row>
    <row r="9" spans="1:21" s="1" customFormat="1" ht="16.5" customHeight="1">
      <c r="A9" s="457"/>
      <c r="B9" s="346"/>
      <c r="C9" s="369"/>
      <c r="D9" s="369"/>
      <c r="E9" s="369"/>
      <c r="F9" s="369"/>
      <c r="G9" s="369"/>
      <c r="H9" s="369"/>
      <c r="I9" s="342"/>
      <c r="J9" s="342"/>
      <c r="K9" s="342"/>
      <c r="L9" s="342"/>
      <c r="M9" s="343"/>
      <c r="N9" s="342"/>
      <c r="O9" s="343"/>
      <c r="S9" s="148" t="s">
        <v>91</v>
      </c>
      <c r="T9" s="148"/>
      <c r="U9" s="148" t="s">
        <v>117</v>
      </c>
    </row>
    <row r="10" spans="1:21" s="1" customFormat="1" ht="30" customHeight="1">
      <c r="A10" s="460"/>
      <c r="B10" s="657" t="str">
        <f>"Honorarübersicht   "&amp;IF(Projektgrundlagen!I21,"Straßenbau",("Hochbau - "&amp;IF(Projektgrundlagen!I22,"Land","Bund")))</f>
        <v>Honorarübersicht   Straßenbau</v>
      </c>
      <c r="C10" s="658"/>
      <c r="D10" s="658"/>
      <c r="E10" s="658"/>
      <c r="F10" s="658"/>
      <c r="G10" s="658"/>
      <c r="H10" s="658"/>
      <c r="I10" s="658"/>
      <c r="J10" s="658"/>
      <c r="K10" s="658"/>
      <c r="L10" s="658"/>
      <c r="M10" s="658"/>
      <c r="N10" s="658"/>
      <c r="O10" s="658"/>
      <c r="P10"/>
      <c r="R10" s="911"/>
      <c r="S10" s="149">
        <f>IF('E Honorarberechnung'!I62&gt;0,'E Honorarberechnung'!I61,0)</f>
        <v>0</v>
      </c>
      <c r="T10" s="150"/>
      <c r="U10" s="151">
        <f>IF(AND('E Honorarberechnung'!O39,'E Honorarberechnung'!O40),"Minderung",IF(AND('E Honorarberechnung'!O39,'E Honorarberechnung'!O41),"Erhöhung",0))</f>
        <v>0</v>
      </c>
    </row>
    <row r="11" spans="1:21" s="1" customFormat="1" ht="9.6" customHeight="1">
      <c r="A11" s="460"/>
      <c r="B11" s="656"/>
      <c r="C11" s="484"/>
      <c r="D11" s="484"/>
      <c r="E11" s="484"/>
      <c r="F11" s="484"/>
      <c r="G11" s="484"/>
      <c r="H11" s="484"/>
      <c r="I11" s="484"/>
      <c r="J11" s="484"/>
      <c r="K11" s="484"/>
      <c r="L11" s="484"/>
      <c r="M11" s="484"/>
      <c r="N11" s="484"/>
      <c r="O11" s="484"/>
      <c r="P11"/>
      <c r="S11" s="653"/>
      <c r="T11" s="654"/>
      <c r="U11" s="655"/>
    </row>
    <row r="12" spans="1:21" s="1" customFormat="1" ht="16.149999999999999" customHeight="1">
      <c r="A12" s="457"/>
      <c r="B12" s="182" t="s">
        <v>83</v>
      </c>
      <c r="C12" s="99"/>
      <c r="D12" s="1233" t="str">
        <f>IF('A anrechb Kosten'!I11,"nach Kostenrahmen",IF('A anrechb Kosten'!I12,'A anrechb Kosten'!D12,IF('A anrechb Kosten'!I13,'A anrechb Kosten'!D13,"")))</f>
        <v>nach Kostenschätzung</v>
      </c>
      <c r="E12" s="183"/>
      <c r="F12" s="43" t="s">
        <v>84</v>
      </c>
      <c r="G12" s="1459" t="s">
        <v>323</v>
      </c>
      <c r="H12" s="1460"/>
      <c r="I12" s="914">
        <f>'E Honorarberechnung'!I15</f>
        <v>3</v>
      </c>
      <c r="J12" s="48" t="str">
        <f>IF('E Honorarberechnung'!M14,"Basishonorar außerhalb der Honorartafel","Basishonorar der Honorartafel")</f>
        <v>Basishonorar der Honorartafel</v>
      </c>
      <c r="K12" s="99"/>
      <c r="L12" s="99"/>
      <c r="M12" s="47"/>
      <c r="N12" s="910" t="str">
        <f>IF(OR('E Honorarberechnung'!L27,'E Honorarberechnung'!L32),"mit Abweichung","ohne Abweichung")</f>
        <v>ohne Abweichung</v>
      </c>
      <c r="O12" s="43" t="s">
        <v>84</v>
      </c>
    </row>
    <row r="13" spans="1:21" s="1" customFormat="1" ht="15" customHeight="1">
      <c r="A13" s="457"/>
      <c r="B13" s="44" t="s">
        <v>843</v>
      </c>
      <c r="C13" s="100"/>
      <c r="D13" s="134" t="str">
        <f>IF('E Honorarberechnung'!M11,"Außerhalb Honorartafel!","")</f>
        <v/>
      </c>
      <c r="E13" s="1454">
        <f>'E Honorarberechnung'!I14</f>
        <v>2250000</v>
      </c>
      <c r="F13" s="1455"/>
      <c r="G13" s="1461"/>
      <c r="H13" s="1462"/>
      <c r="I13" s="913"/>
      <c r="J13" s="44" t="s">
        <v>844</v>
      </c>
      <c r="K13" s="100"/>
      <c r="L13" s="100"/>
      <c r="M13" s="101"/>
      <c r="N13" s="100"/>
      <c r="O13" s="45">
        <f>'E Honorarberechnung'!J36</f>
        <v>145093.25</v>
      </c>
    </row>
    <row r="14" spans="1:21" s="1" customFormat="1" ht="29.25" customHeight="1">
      <c r="A14" s="457"/>
      <c r="B14" s="1466" t="str">
        <f>IF('E Honorarberechnung'!L58,"Wiederholung Nr.:        "&amp;'E Honorarberechnung'!I60,"")</f>
        <v/>
      </c>
      <c r="C14" s="1467"/>
      <c r="D14" s="1463" t="s">
        <v>61</v>
      </c>
      <c r="E14" s="1464"/>
      <c r="F14" s="1464"/>
      <c r="G14" s="1464"/>
      <c r="H14" s="1464"/>
      <c r="I14" s="1465"/>
      <c r="J14" s="38" t="s">
        <v>62</v>
      </c>
      <c r="K14" s="38" t="s">
        <v>93</v>
      </c>
      <c r="L14" s="686" t="s">
        <v>63</v>
      </c>
      <c r="M14" s="1470" t="str">
        <f>'E Honorarberechnung'!D92</f>
        <v>Honorar Fachplanung Tragwerksplanung netto</v>
      </c>
      <c r="N14" s="46" t="s">
        <v>64</v>
      </c>
      <c r="O14" s="1470" t="str">
        <f>'E Honorarberechnung'!C95</f>
        <v>Honorar Fachplanung Tragwerksplanung brutto</v>
      </c>
    </row>
    <row r="15" spans="1:21" s="1" customFormat="1" ht="38.25" customHeight="1">
      <c r="A15" s="457"/>
      <c r="B15" s="1450" t="s">
        <v>322</v>
      </c>
      <c r="C15" s="1451"/>
      <c r="D15" s="2" t="s">
        <v>39</v>
      </c>
      <c r="E15" s="33" t="s">
        <v>65</v>
      </c>
      <c r="F15" s="33" t="str">
        <f>IF(S10&gt;0%,"Wiederholung - Minderung Lph 1 bis 6 auf","Keine Wiederholung")</f>
        <v>Keine Wiederholung</v>
      </c>
      <c r="G15" s="33" t="str">
        <f>IF(S10&gt;0%,"Honorar für Wiederholung","Honorar")</f>
        <v>Honorar</v>
      </c>
      <c r="H15" s="33" t="str">
        <f>IF(U10=0,"Keine Minderung bzw. Erhöhung",IF(U10="Minderung","Honorar gemindert (§ 7 HOAI)","Honorar erhöht (§ 7 HOAI)"))</f>
        <v>Keine Minderung bzw. Erhöhung</v>
      </c>
      <c r="I15" s="33" t="str">
        <f>IF(AND('E Honorarberechnung'!O50,'E Honorarberechnung'!O52),"Honorar mit Umbauzuschlag","Honorar - kein Umbauzuschlag")</f>
        <v>Honorar - kein Umbauzuschlag</v>
      </c>
      <c r="J15" s="102" t="s">
        <v>68</v>
      </c>
      <c r="K15" s="986" t="s">
        <v>92</v>
      </c>
      <c r="L15" s="103"/>
      <c r="M15" s="1471"/>
      <c r="N15" s="71"/>
      <c r="O15" s="1471"/>
    </row>
    <row r="16" spans="1:21" s="1" customFormat="1" ht="12.75" customHeight="1">
      <c r="A16" s="457"/>
      <c r="B16" s="75"/>
      <c r="C16" s="35"/>
      <c r="D16" s="2" t="s">
        <v>222</v>
      </c>
      <c r="E16" s="2" t="s">
        <v>222</v>
      </c>
      <c r="F16" s="33" t="s">
        <v>321</v>
      </c>
      <c r="G16" s="33" t="s">
        <v>84</v>
      </c>
      <c r="H16" s="33" t="s">
        <v>84</v>
      </c>
      <c r="I16" s="33" t="s">
        <v>84</v>
      </c>
      <c r="J16" s="33" t="s">
        <v>84</v>
      </c>
      <c r="K16" s="33" t="s">
        <v>84</v>
      </c>
      <c r="L16" s="70" t="s">
        <v>84</v>
      </c>
      <c r="M16" s="33" t="s">
        <v>84</v>
      </c>
      <c r="N16" s="33" t="s">
        <v>84</v>
      </c>
      <c r="O16" s="33" t="s">
        <v>84</v>
      </c>
    </row>
    <row r="17" spans="1:21" s="1" customFormat="1">
      <c r="A17" s="457"/>
      <c r="B17" s="301" t="str">
        <f>IF(Projektgrundlagen!$I$21,"Lph 1",IF(Projektgrundlagen!$I$22,"Lst 1A",IF(Projektgrundlagen!$I$23,"Lph 1","")))</f>
        <v>Lph 1</v>
      </c>
      <c r="C17" s="302" t="str">
        <f>'E Honorarberechnung'!D74</f>
        <v>Grundlagenermittlung</v>
      </c>
      <c r="D17" s="303">
        <f>'StB-C1 Grundlstg'!I37+'HB-C1 Grundlstg Land'!I27+'HB-C2 Grundlstg Bund'!I27</f>
        <v>3</v>
      </c>
      <c r="E17" s="303">
        <f>'StB-C1 Grundlstg'!J37+'HB-C1 Grundlstg Land'!J27+'HB-C2 Grundlstg Bund'!J27</f>
        <v>0</v>
      </c>
      <c r="F17" s="680">
        <f>IF($S$10=0,0,E17/100*(1-$S$10))</f>
        <v>0</v>
      </c>
      <c r="G17" s="303">
        <f>IF('E Honorarberechnung'!$J$92=0,0,IF(F17=0,'E Honorarberechnung'!$J$36*E17/100,'E Honorarberechnung'!$J$36*F17))</f>
        <v>0</v>
      </c>
      <c r="H17" s="303">
        <f>IF($U$10=0,0,IF($U$10="Minderung",G17*(1-'E Honorarberechnung'!$I$40/100),G17*(1+'E Honorarberechnung'!$I$41/100)))</f>
        <v>0</v>
      </c>
      <c r="I17" s="303">
        <f>IF(H17=0,IF('E Honorarberechnung'!$J$54&gt;0,(1+('E Honorarberechnung'!$I$53/100))*G17,G17),IF('E Honorarberechnung'!$J$54&gt;0,(1+'E Honorarberechnung'!$I$53/100)*H17,H17))</f>
        <v>0</v>
      </c>
      <c r="J17" s="303">
        <f>SUM('E Honorarberechnung'!Q104:R104)</f>
        <v>0</v>
      </c>
      <c r="K17" s="303">
        <f>IF('E Honorarberechnung'!$O$70,I17+J17,0)</f>
        <v>0</v>
      </c>
      <c r="L17" s="681">
        <f>IF($K$29=0,0,IF(AND('E Honorarberechnung'!$O$70,'E Honorarberechnung'!$L$71,'E Honorarberechnung'!$O$71),'E Honorarberechnung'!$I$71*K17,IF(AND('E Honorarberechnung'!$O$70,'E Honorarberechnung'!$L$72,'E Honorarberechnung'!$O$72),'E Honorarberechnung'!$I$72/$K$29*K17,IF(AND('E Honorarberechnung'!$O$70,'E Honorarberechnung'!$L$73,'E Honorarberechnung'!O74),'E Honorarberechnung'!J74,0))))</f>
        <v>0</v>
      </c>
      <c r="M17" s="303">
        <f>SUM(K17:L17)</f>
        <v>0</v>
      </c>
      <c r="N17" s="303">
        <f>+M17*'E Honorarberechnung'!$I$93</f>
        <v>0</v>
      </c>
      <c r="O17" s="304">
        <f>+M17+N17</f>
        <v>0</v>
      </c>
    </row>
    <row r="18" spans="1:21" s="1" customFormat="1">
      <c r="A18" s="457"/>
      <c r="B18" s="305" t="str">
        <f>IF(Projektgrundlagen!$I$21,"Lph 2",IF(Projektgrundlagen!$I$22,"Lst 1B",IF(Projektgrundlagen!$I$23,"Lph 2","")))</f>
        <v>Lph 2</v>
      </c>
      <c r="C18" s="306" t="str">
        <f>'E Honorarberechnung'!D75</f>
        <v xml:space="preserve">Vorplanung </v>
      </c>
      <c r="D18" s="307">
        <f>'StB-C1 Grundlstg'!I66+'HB-C1 Grundlstg Land'!I42+'HB-C2 Grundlstg Bund'!I42</f>
        <v>10</v>
      </c>
      <c r="E18" s="307">
        <f>'StB-C1 Grundlstg'!J66+'HB-C1 Grundlstg Land'!J42+'HB-C2 Grundlstg Bund'!J42</f>
        <v>10</v>
      </c>
      <c r="F18" s="682">
        <f>IF($S$10=0,0,E18/100*(1-$S$10))</f>
        <v>0</v>
      </c>
      <c r="G18" s="307">
        <f>IF('E Honorarberechnung'!$J$92=0,0,IF(F18=0,'E Honorarberechnung'!$J$36*E18/100,'E Honorarberechnung'!$J$36*F18))</f>
        <v>14509.325000000001</v>
      </c>
      <c r="H18" s="307">
        <f>IF($U$10=0,0,IF($U$10="Minderung",G18*(1-'E Honorarberechnung'!$I$40/100),G18*(1+'E Honorarberechnung'!$I$41/100)))</f>
        <v>0</v>
      </c>
      <c r="I18" s="307">
        <f>IF(H18=0,IF('E Honorarberechnung'!$J$54&gt;0,(1+('E Honorarberechnung'!$I$53/100))*G18,G18),IF('E Honorarberechnung'!$J$54&gt;0,(1+'E Honorarberechnung'!$I$53/100)*H18,H18))</f>
        <v>14509.325000000001</v>
      </c>
      <c r="J18" s="307">
        <f>SUM('E Honorarberechnung'!Q105:R105)</f>
        <v>0</v>
      </c>
      <c r="K18" s="307">
        <f>IF('E Honorarberechnung'!$O$70,I18+J18,0)</f>
        <v>14509.325000000001</v>
      </c>
      <c r="L18" s="683">
        <f>IF($K$29=0,0,IF(AND('E Honorarberechnung'!$O$70,'E Honorarberechnung'!$L$71,'E Honorarberechnung'!$O$71),'E Honorarberechnung'!$I$71*K18,IF(AND('E Honorarberechnung'!$O$70,'E Honorarberechnung'!$L$72,'E Honorarberechnung'!$O$72),'E Honorarberechnung'!$I$72/$K$29*K18,IF(AND('E Honorarberechnung'!$O$70,'E Honorarberechnung'!$L$73,'E Honorarberechnung'!O75),'E Honorarberechnung'!J75,0))))</f>
        <v>0</v>
      </c>
      <c r="M18" s="307">
        <f t="shared" ref="M18:M27" si="0">SUM(K18:L18)</f>
        <v>14509.325000000001</v>
      </c>
      <c r="N18" s="307">
        <f>+M18*'E Honorarberechnung'!$I$93</f>
        <v>2756.7717500000003</v>
      </c>
      <c r="O18" s="308">
        <f t="shared" ref="O18:O27" si="1">+M18+N18</f>
        <v>17266.096750000001</v>
      </c>
    </row>
    <row r="19" spans="1:21" s="1" customFormat="1">
      <c r="A19" s="457"/>
      <c r="B19" s="305" t="str">
        <f>IF(Projektgrundlagen!$I$21,"Lph 3",IF(Projektgrundlagen!$I$22,"Lst 1C",IF(Projektgrundlagen!$I$23,"Lph 3","")))</f>
        <v>Lph 3</v>
      </c>
      <c r="C19" s="306" t="str">
        <f>'E Honorarberechnung'!D76</f>
        <v xml:space="preserve">Entwurfsplanung </v>
      </c>
      <c r="D19" s="307">
        <f>'StB-C1 Grundlstg'!I120+'HB-C1 Grundlstg Land'!I63+'HB-C2 Grundlstg Bund'!I65</f>
        <v>15</v>
      </c>
      <c r="E19" s="307">
        <f>'StB-C1 Grundlstg'!J120+'HB-C1 Grundlstg Land'!J63+'HB-C2 Grundlstg Bund'!J65</f>
        <v>15</v>
      </c>
      <c r="F19" s="682">
        <f>IF($S$10=0,0,E19/100*(1-$S$10))</f>
        <v>0</v>
      </c>
      <c r="G19" s="307">
        <f>IF('E Honorarberechnung'!$J$92=0,0,IF(F19=0,'E Honorarberechnung'!$J$36*E19/100,'E Honorarberechnung'!$J$36*F19))</f>
        <v>21763.987499999999</v>
      </c>
      <c r="H19" s="307">
        <f>IF($U$10=0,0,IF($U$10="Minderung",G19*(1-'E Honorarberechnung'!$I$40/100),G19*(1+'E Honorarberechnung'!$I$41/100)))</f>
        <v>0</v>
      </c>
      <c r="I19" s="307">
        <f>IF(H19=0,IF('E Honorarberechnung'!$J$54&gt;0,(1+('E Honorarberechnung'!$I$53/100))*G19,G19),IF('E Honorarberechnung'!$J$54&gt;0,(1+'E Honorarberechnung'!$I$53/100)*H19,H19))</f>
        <v>21763.987499999999</v>
      </c>
      <c r="J19" s="307">
        <f>SUM('E Honorarberechnung'!Q106:R106)</f>
        <v>0</v>
      </c>
      <c r="K19" s="307">
        <f>IF('E Honorarberechnung'!$O$70,I19+J19,0)</f>
        <v>21763.987499999999</v>
      </c>
      <c r="L19" s="683">
        <f>IF($K$29=0,0,IF(AND('E Honorarberechnung'!$O$70,'E Honorarberechnung'!$L$71,'E Honorarberechnung'!$O$71),'E Honorarberechnung'!$I$71*K19,IF(AND('E Honorarberechnung'!$O$70,'E Honorarberechnung'!$L$72,'E Honorarberechnung'!$O$72),'E Honorarberechnung'!$I$72/$K$29*K19,IF(AND('E Honorarberechnung'!$O$70,'E Honorarberechnung'!$L$73,'E Honorarberechnung'!O76),'E Honorarberechnung'!J76,0))))</f>
        <v>0</v>
      </c>
      <c r="M19" s="307">
        <f t="shared" si="0"/>
        <v>21763.987499999999</v>
      </c>
      <c r="N19" s="307">
        <f>+M19*'E Honorarberechnung'!$I$93</f>
        <v>4135.1576249999998</v>
      </c>
      <c r="O19" s="308">
        <f t="shared" si="1"/>
        <v>25899.145124999999</v>
      </c>
    </row>
    <row r="20" spans="1:21" s="1" customFormat="1">
      <c r="A20" s="457"/>
      <c r="B20" s="305" t="str">
        <f>IF(Projektgrundlagen!$I$21,"Lph 4",IF(Projektgrundlagen!$I$22,"Lst 1D",IF(Projektgrundlagen!$I$23,"Lph 4","")))</f>
        <v>Lph 4</v>
      </c>
      <c r="C20" s="306" t="str">
        <f>'E Honorarberechnung'!D77</f>
        <v xml:space="preserve">Genehmigungsplanung </v>
      </c>
      <c r="D20" s="307">
        <f>'StB-C1 Grundlstg'!I172+'HB-C1 Grundlstg Land'!I79+'HB-C2 Grundlstg Bund'!I81</f>
        <v>50</v>
      </c>
      <c r="E20" s="307">
        <f>'StB-C1 Grundlstg'!J172+'HB-C1 Grundlstg Land'!J79+'HB-C2 Grundlstg Bund'!J81</f>
        <v>0</v>
      </c>
      <c r="F20" s="682">
        <f>IF($S$10=0,0,E20/100*(1-$S$10))</f>
        <v>0</v>
      </c>
      <c r="G20" s="307">
        <f>IF('E Honorarberechnung'!$J$92=0,0,IF(F20=0,'E Honorarberechnung'!$J$36*E20/100,'E Honorarberechnung'!$J$36*F20))</f>
        <v>0</v>
      </c>
      <c r="H20" s="307">
        <f>IF($U$10=0,0,IF($U$10="Minderung",G20*(1-'E Honorarberechnung'!$I$40/100),G20*(1+'E Honorarberechnung'!$I$41/100)))</f>
        <v>0</v>
      </c>
      <c r="I20" s="307">
        <f>IF(H20=0,IF('E Honorarberechnung'!$J$54&gt;0,(1+('E Honorarberechnung'!$I$53/100))*G20,G20),IF('E Honorarberechnung'!$J$54&gt;0,(1+'E Honorarberechnung'!$I$53/100)*H20,H20))</f>
        <v>0</v>
      </c>
      <c r="J20" s="307">
        <f>SUM('E Honorarberechnung'!Q107:R107)</f>
        <v>0</v>
      </c>
      <c r="K20" s="307">
        <f>IF('E Honorarberechnung'!$O$70,I20+J20,0)</f>
        <v>0</v>
      </c>
      <c r="L20" s="683">
        <f>IF($K$29=0,0,IF(AND('E Honorarberechnung'!$O$70,'E Honorarberechnung'!$L$71,'E Honorarberechnung'!$O$71),'E Honorarberechnung'!$I$71*K20,IF(AND('E Honorarberechnung'!$O$70,'E Honorarberechnung'!$L$72,'E Honorarberechnung'!$O$72),'E Honorarberechnung'!$I$72/$K$29*K20,IF(AND('E Honorarberechnung'!$O$70,'E Honorarberechnung'!$L$73,'E Honorarberechnung'!O77),'E Honorarberechnung'!J77,0))))</f>
        <v>0</v>
      </c>
      <c r="M20" s="307">
        <f t="shared" si="0"/>
        <v>0</v>
      </c>
      <c r="N20" s="307">
        <f>+M20*'E Honorarberechnung'!$I$93</f>
        <v>0</v>
      </c>
      <c r="O20" s="308">
        <f t="shared" si="1"/>
        <v>0</v>
      </c>
    </row>
    <row r="21" spans="1:21" s="1" customFormat="1">
      <c r="A21" s="457"/>
      <c r="B21" s="305" t="str">
        <f>IF(Projektgrundlagen!$I$21,"",IF(Projektgrundlagen!$I$22,"",IF(Projektgrundlagen!$I$23,"Lst 1","")))</f>
        <v/>
      </c>
      <c r="C21" s="306" t="str">
        <f>IF(Projektgrundlagen!$I$21,"",IF(Projektgrundlagen!$I$22,"",IF(Projektgrundlagen!$I$23,"Besondere Leistungen","")))</f>
        <v/>
      </c>
      <c r="D21" s="307"/>
      <c r="E21" s="307"/>
      <c r="F21" s="682"/>
      <c r="G21" s="307">
        <f>IF('E Honorarberechnung'!$J$92=0,0,IF(F21=0,'E Honorarberechnung'!$J$36*E21/100,'E Honorarberechnung'!$J$36*F21))</f>
        <v>0</v>
      </c>
      <c r="H21" s="307">
        <f>IF($U$10=0,0,IF($U$10="Minderung",G21*(1-'E Honorarberechnung'!$I$40/100),G21*(1+'E Honorarberechnung'!$I$41/100)))</f>
        <v>0</v>
      </c>
      <c r="I21" s="307">
        <f>IF(H21=0,IF('E Honorarberechnung'!$J$54&gt;0,(1+('E Honorarberechnung'!$I$53/100))*G21,G21),IF('E Honorarberechnung'!$J$54&gt;0,(1+'E Honorarberechnung'!$I$53/100)*H21,H21))</f>
        <v>0</v>
      </c>
      <c r="J21" s="307">
        <f>SUM('E Honorarberechnung'!S107)</f>
        <v>0</v>
      </c>
      <c r="K21" s="307">
        <f>IF('E Honorarberechnung'!$O$70,I21+J21,0)</f>
        <v>0</v>
      </c>
      <c r="L21" s="683">
        <f>IF($K$29=0,0,IF(AND('E Honorarberechnung'!$O$70,'E Honorarberechnung'!$L$71,'E Honorarberechnung'!$O$71),'E Honorarberechnung'!$I$71*K21,IF(AND('E Honorarberechnung'!$O$70,'E Honorarberechnung'!$L$72,'E Honorarberechnung'!$O$72),'E Honorarberechnung'!$I$72/$K$29*K21,IF(AND('E Honorarberechnung'!$O$70,'E Honorarberechnung'!$L$73,'E Honorarberechnung'!O78),'E Honorarberechnung'!J78,0))))</f>
        <v>0</v>
      </c>
      <c r="M21" s="307">
        <f t="shared" si="0"/>
        <v>0</v>
      </c>
      <c r="N21" s="307">
        <f>+M21*'E Honorarberechnung'!$I$93</f>
        <v>0</v>
      </c>
      <c r="O21" s="308">
        <f t="shared" si="1"/>
        <v>0</v>
      </c>
    </row>
    <row r="22" spans="1:21" s="1" customFormat="1">
      <c r="A22" s="457"/>
      <c r="B22" s="305" t="str">
        <f>IF(Projektgrundlagen!$I$21,"Lph 5",IF(Projektgrundlagen!$I$22,"Lst 2",IF(Projektgrundlagen!$I$23,"Lst 2","")))</f>
        <v>Lph 5</v>
      </c>
      <c r="C22" s="306" t="str">
        <f>'E Honorarberechnung'!D79</f>
        <v xml:space="preserve">Ausführungsplanung </v>
      </c>
      <c r="D22" s="307">
        <f>'StB-C1 Grundlstg'!I203+'HB-C1 Grundlstg Land'!I97+'HB-C2 Grundlstg Bund'!I101</f>
        <v>40</v>
      </c>
      <c r="E22" s="307">
        <f>'StB-C1 Grundlstg'!J203+'HB-C1 Grundlstg Land'!J97+'HB-C2 Grundlstg Bund'!J101</f>
        <v>0</v>
      </c>
      <c r="F22" s="682">
        <f>IF($S$10=0,0,E22/100*(1-$S$10))</f>
        <v>0</v>
      </c>
      <c r="G22" s="307">
        <f>IF('E Honorarberechnung'!$J$92=0,0,IF(F22=0,'E Honorarberechnung'!$J$36*E22/100,'E Honorarberechnung'!$J$36*F22))</f>
        <v>0</v>
      </c>
      <c r="H22" s="307">
        <f>IF($U$10=0,0,IF($U$10="Minderung",G22*(1-'E Honorarberechnung'!$I$40/100),G22*(1+'E Honorarberechnung'!$I$41/100)))</f>
        <v>0</v>
      </c>
      <c r="I22" s="307">
        <f>IF(H22=0,IF('E Honorarberechnung'!$J$54&gt;0,(1+('E Honorarberechnung'!$I$53/100))*G22,G22),IF('E Honorarberechnung'!$J$54&gt;0,(1+'E Honorarberechnung'!$I$53/100)*H22,H22))</f>
        <v>0</v>
      </c>
      <c r="J22" s="307">
        <f>SUM('E Honorarberechnung'!Q108:S108)</f>
        <v>0</v>
      </c>
      <c r="K22" s="307">
        <f>IF('E Honorarberechnung'!$O$70,I22+J22,0)</f>
        <v>0</v>
      </c>
      <c r="L22" s="683">
        <f>IF($K$29=0,0,IF(AND('E Honorarberechnung'!$O$70,'E Honorarberechnung'!$L$71,'E Honorarberechnung'!$O$71),'E Honorarberechnung'!$I$71*K22,IF(AND('E Honorarberechnung'!$O$70,'E Honorarberechnung'!$L$72,'E Honorarberechnung'!$O$72),'E Honorarberechnung'!$I$72/$K$29*K22,IF(AND('E Honorarberechnung'!$O$70,'E Honorarberechnung'!$L$73,'E Honorarberechnung'!O79),'E Honorarberechnung'!J79,0))))</f>
        <v>0</v>
      </c>
      <c r="M22" s="307">
        <f t="shared" si="0"/>
        <v>0</v>
      </c>
      <c r="N22" s="307">
        <f>+M22*'E Honorarberechnung'!$I$93</f>
        <v>0</v>
      </c>
      <c r="O22" s="308">
        <f t="shared" si="1"/>
        <v>0</v>
      </c>
    </row>
    <row r="23" spans="1:21" s="1" customFormat="1">
      <c r="A23" s="457"/>
      <c r="B23" s="305" t="str">
        <f>IF(Projektgrundlagen!$I$21,"Lph 6",IF(Projektgrundlagen!$I$22,"Lst 3A",IF(Projektgrundlagen!$I$23,"Lph 6","")))</f>
        <v>Lph 6</v>
      </c>
      <c r="C23" s="306" t="str">
        <f>'E Honorarberechnung'!D80</f>
        <v>Vorbereitung der Vergabe</v>
      </c>
      <c r="D23" s="307">
        <f>'StB-C1 Grundlstg'!I221+'HB-C1 Grundlstg Land'!I106+'HB-C2 Grundlstg Bund'!I110</f>
        <v>2</v>
      </c>
      <c r="E23" s="307">
        <f>'StB-C1 Grundlstg'!J221+'HB-C1 Grundlstg Land'!J106+'HB-C2 Grundlstg Bund'!J110</f>
        <v>0</v>
      </c>
      <c r="F23" s="682">
        <f>IF($S$10=0,0,E23/100*(1-$S$10))</f>
        <v>0</v>
      </c>
      <c r="G23" s="307">
        <f>IF('E Honorarberechnung'!$J$92=0,0,IF(F23=0,'E Honorarberechnung'!$J$36*E23/100,'E Honorarberechnung'!$J$36*F23))</f>
        <v>0</v>
      </c>
      <c r="H23" s="307">
        <f>IF($U$10=0,0,IF($U$10="Minderung",G23*(1-'E Honorarberechnung'!$I$40/100),G23*(1+'E Honorarberechnung'!$I$41/100)))</f>
        <v>0</v>
      </c>
      <c r="I23" s="307">
        <f>IF(H23=0,IF('E Honorarberechnung'!$J$54&gt;0,(1+('E Honorarberechnung'!$I$53/100))*G23,G23),IF('E Honorarberechnung'!$J$54&gt;0,(1+'E Honorarberechnung'!$I$53/100)*H23,H23))</f>
        <v>0</v>
      </c>
      <c r="J23" s="307">
        <f>SUM('E Honorarberechnung'!Q109:R109)</f>
        <v>0</v>
      </c>
      <c r="K23" s="307">
        <f>IF('E Honorarberechnung'!$O$70,I23+J23,0)</f>
        <v>0</v>
      </c>
      <c r="L23" s="683">
        <f>IF($K$29=0,0,IF(AND('E Honorarberechnung'!$O$70,'E Honorarberechnung'!$L$71,'E Honorarberechnung'!$O$71),'E Honorarberechnung'!$I$71*K23,IF(AND('E Honorarberechnung'!$O$70,'E Honorarberechnung'!$L$72,'E Honorarberechnung'!$O$72),'E Honorarberechnung'!$I$72/$K$29*K23,IF(AND('E Honorarberechnung'!$O$70,'E Honorarberechnung'!$L$73,'E Honorarberechnung'!O80),'E Honorarberechnung'!J80,0))))</f>
        <v>0</v>
      </c>
      <c r="M23" s="307">
        <f t="shared" si="0"/>
        <v>0</v>
      </c>
      <c r="N23" s="307">
        <f>+M23*'E Honorarberechnung'!$I$93</f>
        <v>0</v>
      </c>
      <c r="O23" s="308">
        <f t="shared" si="1"/>
        <v>0</v>
      </c>
    </row>
    <row r="24" spans="1:21" s="1" customFormat="1">
      <c r="A24" s="457"/>
      <c r="B24" s="305" t="str">
        <f>IF(Projektgrundlagen!$I$21,"Lph 7",IF(Projektgrundlagen!$I$22,"Lst 3B",IF(Projektgrundlagen!$I$23,"Lph 7","")))</f>
        <v>Lph 7</v>
      </c>
      <c r="C24" s="306" t="str">
        <f>'E Honorarberechnung'!D81</f>
        <v>Mitwirkung bei der Vergabe</v>
      </c>
      <c r="D24" s="307">
        <f>'StB-C1 Grundlstg'!I226+'HB-C1 Grundlstg Land'!I111+'HB-C2 Grundlstg Bund'!I115</f>
        <v>0</v>
      </c>
      <c r="E24" s="307">
        <f>'StB-C1 Grundlstg'!J226+'HB-C1 Grundlstg Land'!J111+'HB-C2 Grundlstg Bund'!J115</f>
        <v>0</v>
      </c>
      <c r="F24" s="682">
        <f>IF($S$10=0,0,E24/100)</f>
        <v>0</v>
      </c>
      <c r="G24" s="307">
        <f>IF('E Honorarberechnung'!$J$92=0,0,IF(F24=0,'E Honorarberechnung'!$J$36*E24/100,'E Honorarberechnung'!$J$36*F24))</f>
        <v>0</v>
      </c>
      <c r="H24" s="307">
        <f>IF($U$10=0,0,IF($U$10="Minderung",G24*(1-'E Honorarberechnung'!$I$40/100),G24*(1+'E Honorarberechnung'!$I$41/100)))</f>
        <v>0</v>
      </c>
      <c r="I24" s="307">
        <f>IF(H24=0,IF('E Honorarberechnung'!$J$54&gt;0,(1+('E Honorarberechnung'!$I$53/100))*G24,G24),IF('E Honorarberechnung'!$J$54&gt;0,(1+'E Honorarberechnung'!$I$53/100)*H24,H24))</f>
        <v>0</v>
      </c>
      <c r="J24" s="307">
        <f>SUM('E Honorarberechnung'!Q110:R110)</f>
        <v>0</v>
      </c>
      <c r="K24" s="307">
        <f>IF('E Honorarberechnung'!$O$70,I24+J24,0)</f>
        <v>0</v>
      </c>
      <c r="L24" s="683">
        <f>IF($K$29=0,0,IF(AND('E Honorarberechnung'!$O$70,'E Honorarberechnung'!$L$71,'E Honorarberechnung'!$O$71),'E Honorarberechnung'!$I$71*K24,IF(AND('E Honorarberechnung'!$O$70,'E Honorarberechnung'!$L$72,'E Honorarberechnung'!$O$72),'E Honorarberechnung'!$I$72/$K$29*K24,IF(AND('E Honorarberechnung'!$O$70,'E Honorarberechnung'!$L$73,'E Honorarberechnung'!O81),'E Honorarberechnung'!J81,0))))</f>
        <v>0</v>
      </c>
      <c r="M24" s="307">
        <f t="shared" si="0"/>
        <v>0</v>
      </c>
      <c r="N24" s="307">
        <f>+M24*'E Honorarberechnung'!$I$93</f>
        <v>0</v>
      </c>
      <c r="O24" s="308">
        <f t="shared" si="1"/>
        <v>0</v>
      </c>
      <c r="S24"/>
      <c r="T24"/>
      <c r="U24"/>
    </row>
    <row r="25" spans="1:21" s="1" customFormat="1">
      <c r="A25" s="457"/>
      <c r="B25" s="305" t="str">
        <f>IF(Projektgrundlagen!$I$21,"",IF(Projektgrundlagen!$I$22,"",IF(Projektgrundlagen!$I$23,"Lst 3","")))</f>
        <v/>
      </c>
      <c r="C25" s="306" t="str">
        <f>IF(Projektgrundlagen!$I$21,"",IF(Projektgrundlagen!$I$22,"",IF(Projektgrundlagen!$I$23,"Besondere Leistungen","")))</f>
        <v/>
      </c>
      <c r="D25" s="307"/>
      <c r="E25" s="307"/>
      <c r="F25" s="682"/>
      <c r="G25" s="307">
        <f>IF('E Honorarberechnung'!$J$92=0,0,IF(F25=0,'E Honorarberechnung'!$J$36*E25/100,'E Honorarberechnung'!$J$36*F25))</f>
        <v>0</v>
      </c>
      <c r="H25" s="307">
        <f>IF($U$10=0,0,IF($U$10="Minderung",G25*(1-'E Honorarberechnung'!$I$40/100),G25*(1+'E Honorarberechnung'!$I$41/100)))</f>
        <v>0</v>
      </c>
      <c r="I25" s="307">
        <f>IF(H25=0,IF('E Honorarberechnung'!$J$54&gt;0,(1+('E Honorarberechnung'!$I$53/100))*G25,G25),IF('E Honorarberechnung'!$J$54&gt;0,(1+'E Honorarberechnung'!$I$53/100)*H25,H25))</f>
        <v>0</v>
      </c>
      <c r="J25" s="307">
        <f>SUM('E Honorarberechnung'!S110)</f>
        <v>0</v>
      </c>
      <c r="K25" s="307">
        <f>IF('E Honorarberechnung'!$O$70,I25+J25,0)</f>
        <v>0</v>
      </c>
      <c r="L25" s="683">
        <f>IF($K$29=0,0,IF(AND('E Honorarberechnung'!$O$70,'E Honorarberechnung'!$L$71,'E Honorarberechnung'!$O$71),'E Honorarberechnung'!$I$71*K25,IF(AND('E Honorarberechnung'!$O$70,'E Honorarberechnung'!$L$72,'E Honorarberechnung'!$O$72),'E Honorarberechnung'!$I$72/$K$29*K25,IF(AND('E Honorarberechnung'!$O$70,'E Honorarberechnung'!$L$73,'E Honorarberechnung'!O82),'E Honorarberechnung'!J82,0))))</f>
        <v>0</v>
      </c>
      <c r="M25" s="307">
        <f t="shared" si="0"/>
        <v>0</v>
      </c>
      <c r="N25" s="307">
        <f>+M25*'E Honorarberechnung'!$I$93</f>
        <v>0</v>
      </c>
      <c r="O25" s="308">
        <f t="shared" si="1"/>
        <v>0</v>
      </c>
    </row>
    <row r="26" spans="1:21" s="1" customFormat="1">
      <c r="A26" s="457"/>
      <c r="B26" s="305" t="str">
        <f>IF(Projektgrundlagen!$I$21,"Lph 8",IF(Projektgrundlagen!$I$22,"Lst 4",IF(Projektgrundlagen!$I$23,"Lst 4","")))</f>
        <v>Lph 8</v>
      </c>
      <c r="C26" s="306" t="str">
        <f>'E Honorarberechnung'!D83</f>
        <v xml:space="preserve">Bauoberleitung </v>
      </c>
      <c r="D26" s="307">
        <f>'StB-C1 Grundlstg'!I231+'HB-C1 Grundlstg Land'!I116+'HB-C2 Grundlstg Bund'!I122</f>
        <v>0</v>
      </c>
      <c r="E26" s="307">
        <f>'StB-C1 Grundlstg'!J231+'HB-C1 Grundlstg Land'!J116+'HB-C2 Grundlstg Bund'!J122</f>
        <v>0</v>
      </c>
      <c r="F26" s="682">
        <f>IF($S$10=0,0,E26/100)</f>
        <v>0</v>
      </c>
      <c r="G26" s="307">
        <f>IF('E Honorarberechnung'!$J$92=0,0,IF(F26=0,'E Honorarberechnung'!$J$36*E26/100,'E Honorarberechnung'!$J$36*F26))</f>
        <v>0</v>
      </c>
      <c r="H26" s="307">
        <f>IF($U$10=0,0,IF($U$10="Minderung",G26*(1-'E Honorarberechnung'!$I$40/100),G26*(1+'E Honorarberechnung'!$I$41/100)))</f>
        <v>0</v>
      </c>
      <c r="I26" s="307">
        <f>IF(H26=0,IF('E Honorarberechnung'!$J$54&gt;0,(1+('E Honorarberechnung'!$I$53/100))*G26,G26),IF('E Honorarberechnung'!$J$54&gt;0,(1+'E Honorarberechnung'!$I$53/100)*H26,H26))</f>
        <v>0</v>
      </c>
      <c r="J26" s="307">
        <f>SUM('E Honorarberechnung'!Q111:S111)</f>
        <v>0</v>
      </c>
      <c r="K26" s="307">
        <f>IF('E Honorarberechnung'!$O$70,I26+J26,0)</f>
        <v>0</v>
      </c>
      <c r="L26" s="683">
        <f>IF($K$29=0,0,IF(AND('E Honorarberechnung'!$O$70,'E Honorarberechnung'!$L$71,'E Honorarberechnung'!$O$71),'E Honorarberechnung'!$I$71*K26,IF(AND('E Honorarberechnung'!$O$70,'E Honorarberechnung'!$L$72,'E Honorarberechnung'!$O$72),'E Honorarberechnung'!$I$72/$K$29*K26,IF(AND('E Honorarberechnung'!$O$70,'E Honorarberechnung'!$L$73,'E Honorarberechnung'!O83),'E Honorarberechnung'!J83,0))))</f>
        <v>0</v>
      </c>
      <c r="M26" s="307">
        <f t="shared" si="0"/>
        <v>0</v>
      </c>
      <c r="N26" s="307">
        <f>+M26*'E Honorarberechnung'!$I$93</f>
        <v>0</v>
      </c>
      <c r="O26" s="308">
        <f t="shared" si="1"/>
        <v>0</v>
      </c>
    </row>
    <row r="27" spans="1:21" s="1" customFormat="1">
      <c r="A27" s="457"/>
      <c r="B27" s="309" t="str">
        <f>IF(Projektgrundlagen!$I$21,"Lph 9",IF(Projektgrundlagen!$I$22,"Lst 5",IF(Projektgrundlagen!$I$23,"Lst 5","")))</f>
        <v>Lph 9</v>
      </c>
      <c r="C27" s="310" t="str">
        <f>'E Honorarberechnung'!D84</f>
        <v>Objektbetreuung</v>
      </c>
      <c r="D27" s="311">
        <f>'StB-C1 Grundlstg'!I236+'HB-C1 Grundlstg Land'!I121+'HB-C2 Grundlstg Bund'!I127</f>
        <v>0</v>
      </c>
      <c r="E27" s="311">
        <f>'StB-C1 Grundlstg'!J236+'HB-C1 Grundlstg Land'!J121+'HB-C2 Grundlstg Bund'!J127</f>
        <v>0</v>
      </c>
      <c r="F27" s="684">
        <f>IF($S$10=0,0,E27/100)</f>
        <v>0</v>
      </c>
      <c r="G27" s="311">
        <f>IF('E Honorarberechnung'!$J$92=0,0,IF(F27=0,'E Honorarberechnung'!$J$36*E27/100,'E Honorarberechnung'!$J$36*F27))</f>
        <v>0</v>
      </c>
      <c r="H27" s="311">
        <f>IF($U$10=0,0,IF($U$10="Minderung",G27*(1-'E Honorarberechnung'!$I$40/100),G27*(1+'E Honorarberechnung'!$I$41/100)))</f>
        <v>0</v>
      </c>
      <c r="I27" s="311">
        <f>IF(H27=0,IF('E Honorarberechnung'!$J$54&gt;0,(1+('E Honorarberechnung'!$I$53/100))*G27,G27),IF('E Honorarberechnung'!$J$54&gt;0,(1+'E Honorarberechnung'!$I$53/100)*H27,H27))</f>
        <v>0</v>
      </c>
      <c r="J27" s="311">
        <f>SUM('E Honorarberechnung'!Q112:S112)</f>
        <v>0</v>
      </c>
      <c r="K27" s="311">
        <f>IF('E Honorarberechnung'!$O$70,I27+J27,0)</f>
        <v>0</v>
      </c>
      <c r="L27" s="685">
        <f>IF($K$29=0,0,IF(AND('E Honorarberechnung'!$O$70,'E Honorarberechnung'!$L$71,'E Honorarberechnung'!$O$71),'E Honorarberechnung'!$I$71*K27,IF(AND('E Honorarberechnung'!$O$70,'E Honorarberechnung'!$L$72,'E Honorarberechnung'!$O$72),'E Honorarberechnung'!$I$72/$K$29*K27,IF(AND('E Honorarberechnung'!$O$70,'E Honorarberechnung'!$L$73,'E Honorarberechnung'!O84),'E Honorarberechnung'!J84,0))))</f>
        <v>0</v>
      </c>
      <c r="M27" s="311">
        <f t="shared" si="0"/>
        <v>0</v>
      </c>
      <c r="N27" s="311">
        <f>+M27*'E Honorarberechnung'!$I$93</f>
        <v>0</v>
      </c>
      <c r="O27" s="443">
        <f t="shared" si="1"/>
        <v>0</v>
      </c>
    </row>
    <row r="28" spans="1:21" s="122" customFormat="1" ht="17.25" thickBot="1">
      <c r="A28" s="519"/>
      <c r="B28" s="79"/>
      <c r="C28" s="79"/>
      <c r="D28" s="79"/>
      <c r="E28" s="79"/>
      <c r="F28" s="79"/>
      <c r="G28" s="79"/>
      <c r="H28" s="79"/>
      <c r="I28" s="79"/>
      <c r="J28" s="79"/>
      <c r="K28" s="338"/>
      <c r="L28" s="116"/>
      <c r="M28" s="121"/>
    </row>
    <row r="29" spans="1:21" s="18" customFormat="1" ht="26.45" customHeight="1" thickBot="1">
      <c r="A29" s="459"/>
      <c r="B29" s="482" t="s">
        <v>58</v>
      </c>
      <c r="C29" s="887"/>
      <c r="D29" s="888">
        <f>SUM(D17:D27)</f>
        <v>120</v>
      </c>
      <c r="E29" s="888">
        <f>SUM(E17:E27)</f>
        <v>25</v>
      </c>
      <c r="F29" s="889">
        <f>SUM(F17:F27)</f>
        <v>0</v>
      </c>
      <c r="G29" s="890">
        <f>SUM(G17:G27)</f>
        <v>36273.3125</v>
      </c>
      <c r="H29" s="890">
        <f t="shared" ref="H29:O29" si="2">SUM(H17:H27)</f>
        <v>0</v>
      </c>
      <c r="I29" s="890">
        <f>SUM(I17:I27)</f>
        <v>36273.3125</v>
      </c>
      <c r="J29" s="891">
        <f t="shared" si="2"/>
        <v>0</v>
      </c>
      <c r="K29" s="890">
        <f>SUM(K17:K27)</f>
        <v>36273.3125</v>
      </c>
      <c r="L29" s="891">
        <f t="shared" si="2"/>
        <v>0</v>
      </c>
      <c r="M29" s="891">
        <f t="shared" si="2"/>
        <v>36273.3125</v>
      </c>
      <c r="N29" s="892">
        <f t="shared" si="2"/>
        <v>6891.9293749999997</v>
      </c>
      <c r="O29" s="799">
        <f t="shared" si="2"/>
        <v>43165.241875</v>
      </c>
    </row>
    <row r="30" spans="1:21" s="1" customFormat="1" ht="15" customHeight="1">
      <c r="A30" s="457"/>
      <c r="J30" s="10"/>
    </row>
    <row r="31" spans="1:21"/>
  </sheetData>
  <sheetProtection algorithmName="SHA-512" hashValue="NyETZ7VPDuCpNkl/a4vAT4mQKu2R/oOMZyYHf8WRw5Y7CTNNEM3KPiD6VDiABdJTS7M+KbMUOJAeLRBv6eyzPA==" saltValue="YNE17wFCBB11q/KjONroiA==" spinCount="100000" sheet="1" formatRows="0"/>
  <mergeCells count="19">
    <mergeCell ref="S7:U7"/>
    <mergeCell ref="G12:H13"/>
    <mergeCell ref="D14:I14"/>
    <mergeCell ref="B14:C14"/>
    <mergeCell ref="D8:O8"/>
    <mergeCell ref="D7:O7"/>
    <mergeCell ref="B8:C8"/>
    <mergeCell ref="M14:M15"/>
    <mergeCell ref="O14:O15"/>
    <mergeCell ref="B5:C5"/>
    <mergeCell ref="P2:P8"/>
    <mergeCell ref="B6:C6"/>
    <mergeCell ref="B7:C7"/>
    <mergeCell ref="B15:C15"/>
    <mergeCell ref="D5:I5"/>
    <mergeCell ref="D6:O6"/>
    <mergeCell ref="E13:F13"/>
    <mergeCell ref="B2:I2"/>
    <mergeCell ref="B3:I3"/>
  </mergeCells>
  <pageMargins left="0.39370078740157483" right="0.19685039370078741" top="0.39370078740157483" bottom="0.47244094488188981" header="0.31496062992125984" footer="0.31496062992125984"/>
  <pageSetup paperSize="9" scale="69" fitToHeight="0" orientation="landscape" r:id="rId1"/>
  <headerFooter scaleWithDoc="0">
    <oddFooter>&amp;L&amp;8©  VHF Bayern - Stand Januar 2024&amp;R&amp;P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tabColor theme="0" tint="-0.14999847407452621"/>
    <pageSetUpPr fitToPage="1"/>
  </sheetPr>
  <dimension ref="A1:M51"/>
  <sheetViews>
    <sheetView showGridLines="0" zoomScaleNormal="100" zoomScaleSheetLayoutView="115" zoomScalePageLayoutView="50" workbookViewId="0">
      <selection activeCell="D5" sqref="D5:F5"/>
    </sheetView>
  </sheetViews>
  <sheetFormatPr baseColWidth="10" defaultColWidth="0" defaultRowHeight="16.5" zeroHeight="1"/>
  <cols>
    <col min="1" max="1" width="5.7109375" style="460" customWidth="1"/>
    <col min="2" max="2" width="10.7109375" customWidth="1"/>
    <col min="3" max="3" width="12" customWidth="1"/>
    <col min="4" max="4" width="7.5703125" customWidth="1"/>
    <col min="5" max="5" width="19" customWidth="1"/>
    <col min="6" max="6" width="5.7109375" customWidth="1"/>
    <col min="7" max="7" width="19" customWidth="1"/>
    <col min="8" max="8" width="10.5703125" customWidth="1"/>
    <col min="9" max="9" width="19" customWidth="1"/>
    <col min="10" max="10" width="2.7109375" customWidth="1"/>
    <col min="11" max="11" width="11.42578125" style="145" hidden="1" customWidth="1"/>
    <col min="12" max="16384" width="11.42578125" hidden="1"/>
  </cols>
  <sheetData>
    <row r="1" spans="1:13"/>
    <row r="2" spans="1:13" s="1" customFormat="1" ht="18">
      <c r="A2" s="457"/>
      <c r="B2" s="1327" t="str">
        <f>IF(Projektgrundlagen!B2="","",Projektgrundlagen!B2)</f>
        <v>Fachplanung Tragwerksplanung</v>
      </c>
      <c r="C2" s="1327"/>
      <c r="D2" s="1327"/>
      <c r="E2" s="1327"/>
      <c r="F2" s="1328"/>
      <c r="G2" s="371" t="str">
        <f>IF(Projektgrundlagen!F2="","",Projektgrundlagen!F2)</f>
        <v>VII.12.4</v>
      </c>
      <c r="H2" s="1330" t="s">
        <v>189</v>
      </c>
      <c r="I2" s="1331"/>
      <c r="J2" s="1472" t="s">
        <v>163</v>
      </c>
      <c r="K2" s="359" t="s">
        <v>54</v>
      </c>
      <c r="M2" s="195" t="s">
        <v>153</v>
      </c>
    </row>
    <row r="3" spans="1:13" s="1" customFormat="1" ht="15" customHeight="1">
      <c r="A3" s="457"/>
      <c r="B3" s="1421" t="s">
        <v>163</v>
      </c>
      <c r="C3" s="1421"/>
      <c r="D3" s="1421"/>
      <c r="E3" s="1421"/>
      <c r="F3" s="1422"/>
      <c r="G3" s="379" t="str">
        <f>IF(Projektgrundlagen!F3="","",Projektgrundlagen!F3)</f>
        <v>Vertragsnr.:</v>
      </c>
      <c r="H3" s="1313" t="str">
        <f>IF(Projektgrundlagen!G3="","",Projektgrundlagen!G3)</f>
        <v>000.411.425</v>
      </c>
      <c r="I3" s="1314"/>
      <c r="J3" s="1472"/>
      <c r="K3" s="78"/>
      <c r="M3" s="1" t="str">
        <f ca="1">MID(CELL("dateiname",A2),FIND("]",CELL("dateiname",A2))+1,255)</f>
        <v>G Honorarabrechnung</v>
      </c>
    </row>
    <row r="4" spans="1:13" s="1" customFormat="1" ht="7.5" customHeight="1">
      <c r="A4" s="457"/>
      <c r="B4" s="366"/>
      <c r="C4" s="366"/>
      <c r="D4" s="366"/>
      <c r="E4" s="366"/>
      <c r="F4" s="366"/>
      <c r="G4" s="365"/>
      <c r="H4" s="365"/>
      <c r="I4" s="365"/>
      <c r="J4" s="1472"/>
      <c r="K4" s="78"/>
    </row>
    <row r="5" spans="1:13" s="1" customFormat="1" ht="15" customHeight="1">
      <c r="A5" s="457"/>
      <c r="B5" s="1336" t="str">
        <f>IF(Projektgrundlagen!B5="","",Projektgrundlagen!B5)</f>
        <v>Maßnahmennr:</v>
      </c>
      <c r="C5" s="1337"/>
      <c r="D5" s="1338" t="str">
        <f>IF(Projektgrundlagen!E5="","",Projektgrundlagen!E5)</f>
        <v>B63SABBD000300</v>
      </c>
      <c r="E5" s="1338"/>
      <c r="F5" s="1338"/>
      <c r="G5" s="374" t="str">
        <f>IF(Projektgrundlagen!F5="","",Projektgrundlagen!F5)</f>
        <v>Vergabenr.:</v>
      </c>
      <c r="H5" s="1332" t="str">
        <f>IF(Projektgrundlagen!G5="","",Projektgrundlagen!G5)</f>
        <v>24-080603 D</v>
      </c>
      <c r="I5" s="1333"/>
      <c r="J5" s="1472"/>
      <c r="K5" s="78"/>
    </row>
    <row r="6" spans="1:13" s="1" customFormat="1" ht="15" customHeight="1">
      <c r="A6" s="457"/>
      <c r="B6" s="1242" t="str">
        <f>IF(Projektgrundlagen!B6="","",Projektgrundlagen!B6)</f>
        <v>Maßnahme:</v>
      </c>
      <c r="C6" s="1243"/>
      <c r="D6" s="1334" t="str">
        <f>IF(Projektgrundlagen!E6="","",Projektgrundlagen!E6)</f>
        <v>B 26, Erneuerung der Brücke über die Bahn bei Wernfeld</v>
      </c>
      <c r="E6" s="1334"/>
      <c r="F6" s="1334"/>
      <c r="G6" s="1334"/>
      <c r="H6" s="1334"/>
      <c r="I6" s="1335"/>
      <c r="J6" s="1472"/>
      <c r="K6" s="78"/>
    </row>
    <row r="7" spans="1:13" s="1" customFormat="1" ht="15" customHeight="1">
      <c r="A7" s="457"/>
      <c r="B7" s="1242"/>
      <c r="C7" s="1243"/>
      <c r="D7" s="1317" t="str">
        <f>IF(Projektgrundlagen!E7="","",Projektgrundlagen!E7)</f>
        <v>Behelfsbrücke über die Bahn</v>
      </c>
      <c r="E7" s="1317"/>
      <c r="F7" s="1317"/>
      <c r="G7" s="1317"/>
      <c r="H7" s="1317"/>
      <c r="I7" s="1318"/>
      <c r="J7" s="1472"/>
      <c r="K7" s="78"/>
    </row>
    <row r="8" spans="1:13" s="1" customFormat="1" ht="15" customHeight="1">
      <c r="A8" s="457"/>
      <c r="B8" s="1254" t="s">
        <v>109</v>
      </c>
      <c r="C8" s="1255"/>
      <c r="D8" s="1313" t="str">
        <f>IF(Projektgrundlagen!E8="","",Projektgrundlagen!E8)</f>
        <v/>
      </c>
      <c r="E8" s="1313"/>
      <c r="F8" s="1313"/>
      <c r="G8" s="1313"/>
      <c r="H8" s="1313"/>
      <c r="I8" s="1314"/>
      <c r="J8" s="1472"/>
      <c r="K8" s="78"/>
    </row>
    <row r="9" spans="1:13" s="1" customFormat="1">
      <c r="A9" s="457"/>
      <c r="B9" s="346"/>
      <c r="C9" s="369"/>
      <c r="D9" s="369"/>
      <c r="E9" s="369"/>
      <c r="F9" s="342"/>
      <c r="G9" s="343"/>
      <c r="H9" s="342"/>
      <c r="I9" s="343"/>
      <c r="K9" s="78"/>
    </row>
    <row r="10" spans="1:13" s="1" customFormat="1" ht="22.5" customHeight="1">
      <c r="A10" s="457"/>
      <c r="B10" s="827" t="str">
        <f>"Honorarabrechnung "&amp;IF(Projektgrundlagen!I21,"Straßenbau",("Hochbau - "&amp;IF(Projektgrundlagen!I22,"Land","Bund")))</f>
        <v>Honorarabrechnung Straßenbau</v>
      </c>
      <c r="C10" s="658"/>
      <c r="D10" s="658"/>
      <c r="E10" s="658"/>
      <c r="F10" s="658"/>
      <c r="G10" s="658"/>
      <c r="H10" s="658"/>
      <c r="I10" s="658"/>
      <c r="K10" s="78"/>
    </row>
    <row r="11" spans="1:13" s="1" customFormat="1" ht="7.15" customHeight="1">
      <c r="A11" s="457"/>
      <c r="B11" s="656"/>
      <c r="C11" s="484"/>
      <c r="D11" s="484"/>
      <c r="E11" s="484"/>
      <c r="F11" s="484"/>
      <c r="G11" s="484"/>
      <c r="H11" s="484"/>
      <c r="I11" s="484"/>
      <c r="K11" s="78"/>
    </row>
    <row r="12" spans="1:13">
      <c r="B12" s="1487" t="s">
        <v>243</v>
      </c>
      <c r="C12" s="1488"/>
      <c r="D12" s="1491"/>
      <c r="E12" s="1491"/>
      <c r="F12" s="785"/>
      <c r="G12" s="785"/>
      <c r="H12" s="785"/>
      <c r="I12" s="786"/>
    </row>
    <row r="13" spans="1:13" s="1" customFormat="1" ht="15" customHeight="1">
      <c r="A13" s="457"/>
      <c r="B13" s="182" t="s">
        <v>83</v>
      </c>
      <c r="C13" s="99"/>
      <c r="D13" s="183"/>
      <c r="E13" s="43" t="s">
        <v>84</v>
      </c>
      <c r="F13" s="48" t="s">
        <v>219</v>
      </c>
      <c r="G13" s="47"/>
      <c r="H13" s="99"/>
      <c r="I13" s="43"/>
      <c r="K13" s="78"/>
    </row>
    <row r="14" spans="1:13" s="1" customFormat="1" ht="15" customHeight="1">
      <c r="A14" s="457"/>
      <c r="B14" s="44" t="s">
        <v>842</v>
      </c>
      <c r="C14" s="100"/>
      <c r="D14" s="787"/>
      <c r="E14" s="45">
        <f>'F Honorarübersicht'!E13:F13</f>
        <v>2250000</v>
      </c>
      <c r="F14" s="487" t="s">
        <v>393</v>
      </c>
      <c r="G14" s="916"/>
      <c r="H14" s="1489"/>
      <c r="I14" s="1490"/>
      <c r="K14" s="78"/>
    </row>
    <row r="15" spans="1:13" s="1" customFormat="1" ht="29.25" customHeight="1">
      <c r="A15" s="457"/>
      <c r="B15" s="1492" t="s">
        <v>382</v>
      </c>
      <c r="C15" s="1493"/>
      <c r="D15" s="1494"/>
      <c r="E15" s="841" t="s">
        <v>243</v>
      </c>
      <c r="F15" s="1483" t="s">
        <v>221</v>
      </c>
      <c r="G15" s="1484"/>
      <c r="H15" s="1483" t="s">
        <v>403</v>
      </c>
      <c r="I15" s="1484"/>
      <c r="K15" s="78"/>
    </row>
    <row r="16" spans="1:13" s="1" customFormat="1" ht="45" customHeight="1">
      <c r="A16" s="457"/>
      <c r="B16" s="788"/>
      <c r="C16" s="842"/>
      <c r="D16" s="851"/>
      <c r="E16" s="983" t="str">
        <f>'F Honorarübersicht'!O14</f>
        <v>Honorar Fachplanung Tragwerksplanung brutto</v>
      </c>
      <c r="F16" s="789" t="s">
        <v>220</v>
      </c>
      <c r="G16" s="790" t="str">
        <f>IF('E Honorarberechnung'!I93&lt;=0," anteiliges Honorar        netto"," anteiliges Honorar        brutto")</f>
        <v xml:space="preserve"> anteiliges Honorar        brutto</v>
      </c>
      <c r="H16" s="790" t="s">
        <v>326</v>
      </c>
      <c r="I16" s="790" t="str">
        <f>IF('E Honorarberechnung'!I93&lt;=0," geprüftes Honorar        netto"," geprüftes Honorar        brutto")</f>
        <v xml:space="preserve"> geprüftes Honorar        brutto</v>
      </c>
      <c r="K16" s="78"/>
    </row>
    <row r="17" spans="1:12" s="1" customFormat="1" ht="12.75" customHeight="1">
      <c r="A17" s="457"/>
      <c r="B17" s="791"/>
      <c r="C17" s="843"/>
      <c r="D17" s="850"/>
      <c r="E17" s="792" t="s">
        <v>84</v>
      </c>
      <c r="F17" s="790"/>
      <c r="G17" s="790" t="s">
        <v>84</v>
      </c>
      <c r="H17" s="790" t="s">
        <v>292</v>
      </c>
      <c r="I17" s="790" t="s">
        <v>84</v>
      </c>
      <c r="K17" s="78"/>
    </row>
    <row r="18" spans="1:12" s="1" customFormat="1" ht="15" customHeight="1">
      <c r="A18" s="457"/>
      <c r="B18" s="815" t="str">
        <f>'F Honorarübersicht'!B17</f>
        <v>Lph 1</v>
      </c>
      <c r="C18" s="844" t="str">
        <f>'F Honorarübersicht'!C17</f>
        <v>Grundlagenermittlung</v>
      </c>
      <c r="D18" s="847"/>
      <c r="E18" s="816">
        <f>'F Honorarübersicht'!O17</f>
        <v>0</v>
      </c>
      <c r="F18" s="817"/>
      <c r="G18" s="818" t="str">
        <f>IF(K18,E18,"")</f>
        <v/>
      </c>
      <c r="H18" s="804"/>
      <c r="I18" s="805" t="str">
        <f>IFERROR(IF(OR(H18="",H18&gt;100%,H18&lt;0),"",G18*H18),"")</f>
        <v/>
      </c>
      <c r="K18" s="78" t="b">
        <v>0</v>
      </c>
    </row>
    <row r="19" spans="1:12" s="1" customFormat="1" ht="15" customHeight="1">
      <c r="A19" s="457"/>
      <c r="B19" s="819" t="str">
        <f>'F Honorarübersicht'!B18</f>
        <v>Lph 2</v>
      </c>
      <c r="C19" s="845" t="str">
        <f>'F Honorarübersicht'!C18</f>
        <v xml:space="preserve">Vorplanung </v>
      </c>
      <c r="D19" s="848"/>
      <c r="E19" s="820">
        <f>'F Honorarübersicht'!O18</f>
        <v>17266.096750000001</v>
      </c>
      <c r="F19" s="821"/>
      <c r="G19" s="822" t="str">
        <f t="shared" ref="G19:G28" si="0">IF(K19,E19,"")</f>
        <v/>
      </c>
      <c r="H19" s="807"/>
      <c r="I19" s="808" t="str">
        <f t="shared" ref="I19:I28" si="1">IFERROR(IF(OR(H19="",H19&gt;100%,H19&lt;0),"",G19*H19),"")</f>
        <v/>
      </c>
      <c r="K19" s="78" t="b">
        <v>0</v>
      </c>
    </row>
    <row r="20" spans="1:12" s="1" customFormat="1" ht="15" customHeight="1">
      <c r="A20" s="457"/>
      <c r="B20" s="819" t="str">
        <f>'F Honorarübersicht'!B19</f>
        <v>Lph 3</v>
      </c>
      <c r="C20" s="845" t="str">
        <f>'F Honorarübersicht'!C19</f>
        <v xml:space="preserve">Entwurfsplanung </v>
      </c>
      <c r="D20" s="848"/>
      <c r="E20" s="820">
        <f>'F Honorarübersicht'!O19</f>
        <v>25899.145124999999</v>
      </c>
      <c r="F20" s="821"/>
      <c r="G20" s="822" t="str">
        <f t="shared" si="0"/>
        <v/>
      </c>
      <c r="H20" s="807"/>
      <c r="I20" s="808" t="str">
        <f t="shared" si="1"/>
        <v/>
      </c>
      <c r="K20" s="78" t="b">
        <v>0</v>
      </c>
    </row>
    <row r="21" spans="1:12" s="1" customFormat="1" ht="15" customHeight="1">
      <c r="A21" s="457"/>
      <c r="B21" s="819" t="str">
        <f>'F Honorarübersicht'!B20</f>
        <v>Lph 4</v>
      </c>
      <c r="C21" s="845" t="str">
        <f>'F Honorarübersicht'!C20</f>
        <v xml:space="preserve">Genehmigungsplanung </v>
      </c>
      <c r="D21" s="848"/>
      <c r="E21" s="820">
        <f>'F Honorarübersicht'!O20</f>
        <v>0</v>
      </c>
      <c r="F21" s="821"/>
      <c r="G21" s="822" t="str">
        <f t="shared" si="0"/>
        <v/>
      </c>
      <c r="H21" s="807"/>
      <c r="I21" s="808" t="str">
        <f t="shared" si="1"/>
        <v/>
      </c>
      <c r="K21" s="78" t="b">
        <v>0</v>
      </c>
    </row>
    <row r="22" spans="1:12" s="1" customFormat="1" ht="15" customHeight="1">
      <c r="A22" s="457"/>
      <c r="B22" s="819" t="str">
        <f>'F Honorarübersicht'!B21</f>
        <v/>
      </c>
      <c r="C22" s="845" t="str">
        <f>'F Honorarübersicht'!C21</f>
        <v/>
      </c>
      <c r="D22" s="848"/>
      <c r="E22" s="820">
        <f>'F Honorarübersicht'!O21</f>
        <v>0</v>
      </c>
      <c r="F22" s="821"/>
      <c r="G22" s="822" t="str">
        <f t="shared" si="0"/>
        <v/>
      </c>
      <c r="H22" s="807"/>
      <c r="I22" s="808" t="str">
        <f t="shared" si="1"/>
        <v/>
      </c>
      <c r="K22" s="78" t="b">
        <v>0</v>
      </c>
    </row>
    <row r="23" spans="1:12" s="1" customFormat="1" ht="15" customHeight="1">
      <c r="A23" s="457"/>
      <c r="B23" s="819" t="str">
        <f>'F Honorarübersicht'!B22</f>
        <v>Lph 5</v>
      </c>
      <c r="C23" s="845" t="str">
        <f>'F Honorarübersicht'!C22</f>
        <v xml:space="preserve">Ausführungsplanung </v>
      </c>
      <c r="D23" s="848"/>
      <c r="E23" s="820">
        <f>'F Honorarübersicht'!O22</f>
        <v>0</v>
      </c>
      <c r="F23" s="821"/>
      <c r="G23" s="822" t="str">
        <f t="shared" si="0"/>
        <v/>
      </c>
      <c r="H23" s="807"/>
      <c r="I23" s="808" t="str">
        <f t="shared" si="1"/>
        <v/>
      </c>
      <c r="K23" s="78" t="b">
        <v>0</v>
      </c>
    </row>
    <row r="24" spans="1:12" s="1" customFormat="1" ht="15" customHeight="1">
      <c r="A24" s="457"/>
      <c r="B24" s="819" t="str">
        <f>'F Honorarübersicht'!B23</f>
        <v>Lph 6</v>
      </c>
      <c r="C24" s="845" t="str">
        <f>'F Honorarübersicht'!C23</f>
        <v>Vorbereitung der Vergabe</v>
      </c>
      <c r="D24" s="848"/>
      <c r="E24" s="820">
        <f>'F Honorarübersicht'!O23</f>
        <v>0</v>
      </c>
      <c r="F24" s="821"/>
      <c r="G24" s="822" t="str">
        <f t="shared" si="0"/>
        <v/>
      </c>
      <c r="H24" s="807"/>
      <c r="I24" s="808" t="str">
        <f t="shared" si="1"/>
        <v/>
      </c>
      <c r="K24" s="78" t="b">
        <v>0</v>
      </c>
    </row>
    <row r="25" spans="1:12" s="1" customFormat="1" ht="15" customHeight="1">
      <c r="A25" s="457"/>
      <c r="B25" s="819" t="str">
        <f>'F Honorarübersicht'!B24</f>
        <v>Lph 7</v>
      </c>
      <c r="C25" s="845" t="str">
        <f>'F Honorarübersicht'!C24</f>
        <v>Mitwirkung bei der Vergabe</v>
      </c>
      <c r="D25" s="848"/>
      <c r="E25" s="820">
        <f>'F Honorarübersicht'!O24</f>
        <v>0</v>
      </c>
      <c r="F25" s="821"/>
      <c r="G25" s="822" t="str">
        <f t="shared" si="0"/>
        <v/>
      </c>
      <c r="H25" s="807"/>
      <c r="I25" s="808" t="str">
        <f t="shared" si="1"/>
        <v/>
      </c>
      <c r="K25" s="78" t="b">
        <v>0</v>
      </c>
    </row>
    <row r="26" spans="1:12" s="1" customFormat="1" ht="15" customHeight="1">
      <c r="A26" s="457"/>
      <c r="B26" s="819" t="str">
        <f>'F Honorarübersicht'!B25</f>
        <v/>
      </c>
      <c r="C26" s="845" t="str">
        <f>'F Honorarübersicht'!C25</f>
        <v/>
      </c>
      <c r="D26" s="848"/>
      <c r="E26" s="820">
        <f>'F Honorarübersicht'!O25</f>
        <v>0</v>
      </c>
      <c r="F26" s="821"/>
      <c r="G26" s="822" t="str">
        <f t="shared" si="0"/>
        <v/>
      </c>
      <c r="H26" s="807"/>
      <c r="I26" s="808" t="str">
        <f t="shared" si="1"/>
        <v/>
      </c>
      <c r="K26" s="78" t="b">
        <v>0</v>
      </c>
    </row>
    <row r="27" spans="1:12" s="1" customFormat="1" ht="15" customHeight="1">
      <c r="A27" s="457"/>
      <c r="B27" s="819" t="str">
        <f>'F Honorarübersicht'!B26</f>
        <v>Lph 8</v>
      </c>
      <c r="C27" s="845" t="str">
        <f>'F Honorarübersicht'!C26</f>
        <v xml:space="preserve">Bauoberleitung </v>
      </c>
      <c r="D27" s="848"/>
      <c r="E27" s="820">
        <f>'F Honorarübersicht'!O26</f>
        <v>0</v>
      </c>
      <c r="F27" s="821"/>
      <c r="G27" s="822" t="str">
        <f t="shared" si="0"/>
        <v/>
      </c>
      <c r="H27" s="807"/>
      <c r="I27" s="808" t="str">
        <f t="shared" si="1"/>
        <v/>
      </c>
      <c r="K27" s="78" t="b">
        <v>0</v>
      </c>
      <c r="L27" s="185" t="s">
        <v>118</v>
      </c>
    </row>
    <row r="28" spans="1:12" s="1" customFormat="1" ht="15" customHeight="1">
      <c r="A28" s="457"/>
      <c r="B28" s="823" t="str">
        <f>'F Honorarübersicht'!B27</f>
        <v>Lph 9</v>
      </c>
      <c r="C28" s="846" t="str">
        <f>'F Honorarübersicht'!C27</f>
        <v>Objektbetreuung</v>
      </c>
      <c r="D28" s="849"/>
      <c r="E28" s="824">
        <f>'F Honorarübersicht'!O27</f>
        <v>0</v>
      </c>
      <c r="F28" s="825"/>
      <c r="G28" s="826" t="str">
        <f t="shared" si="0"/>
        <v/>
      </c>
      <c r="H28" s="810"/>
      <c r="I28" s="811" t="str">
        <f t="shared" si="1"/>
        <v/>
      </c>
      <c r="K28" s="78" t="b">
        <v>0</v>
      </c>
    </row>
    <row r="29" spans="1:12" ht="17.25" thickBot="1"/>
    <row r="30" spans="1:12" s="1" customFormat="1" ht="24.6" customHeight="1" thickBot="1">
      <c r="A30" s="457"/>
      <c r="B30" s="795" t="s">
        <v>335</v>
      </c>
      <c r="C30" s="796"/>
      <c r="D30" s="797"/>
      <c r="E30" s="798">
        <f>SUM(E18:E28)</f>
        <v>43165.241875</v>
      </c>
      <c r="F30" s="893"/>
      <c r="G30" s="894">
        <f>SUM(G18:G28)</f>
        <v>0</v>
      </c>
      <c r="H30" s="895"/>
      <c r="I30" s="896">
        <f>SUM(I18:I28)</f>
        <v>0</v>
      </c>
      <c r="K30" s="78"/>
    </row>
    <row r="31" spans="1:12"/>
    <row r="32" spans="1:12">
      <c r="B32" s="1487" t="s">
        <v>383</v>
      </c>
      <c r="C32" s="1488"/>
      <c r="D32" s="1491"/>
      <c r="E32" s="1491"/>
      <c r="F32" s="785"/>
      <c r="G32" s="785"/>
      <c r="H32" s="785"/>
      <c r="I32" s="786"/>
    </row>
    <row r="33" spans="1:11" s="1" customFormat="1" ht="12.75" customHeight="1">
      <c r="A33" s="457"/>
      <c r="B33" s="791" t="s">
        <v>392</v>
      </c>
      <c r="C33" s="793" t="s">
        <v>244</v>
      </c>
      <c r="D33" s="794"/>
      <c r="E33" s="794"/>
      <c r="F33" s="792"/>
      <c r="G33" s="790" t="s">
        <v>84</v>
      </c>
      <c r="H33" s="790" t="s">
        <v>292</v>
      </c>
      <c r="I33" s="790" t="s">
        <v>84</v>
      </c>
      <c r="K33" s="78"/>
    </row>
    <row r="34" spans="1:11">
      <c r="B34" s="812" t="s">
        <v>385</v>
      </c>
      <c r="C34" s="1486" t="s">
        <v>363</v>
      </c>
      <c r="D34" s="1486"/>
      <c r="E34" s="1486"/>
      <c r="F34" s="1486"/>
      <c r="G34" s="803"/>
      <c r="H34" s="804"/>
      <c r="I34" s="805">
        <f t="shared" ref="I34:I39" si="2">IFERROR(G34*H34,"")</f>
        <v>0</v>
      </c>
    </row>
    <row r="35" spans="1:11">
      <c r="B35" s="813" t="s">
        <v>386</v>
      </c>
      <c r="C35" s="1473"/>
      <c r="D35" s="1473"/>
      <c r="E35" s="1473"/>
      <c r="F35" s="1473"/>
      <c r="G35" s="806"/>
      <c r="H35" s="807"/>
      <c r="I35" s="808">
        <f t="shared" si="2"/>
        <v>0</v>
      </c>
    </row>
    <row r="36" spans="1:11">
      <c r="B36" s="813" t="s">
        <v>387</v>
      </c>
      <c r="C36" s="1473"/>
      <c r="D36" s="1473"/>
      <c r="E36" s="1473"/>
      <c r="F36" s="1473"/>
      <c r="G36" s="806"/>
      <c r="H36" s="807"/>
      <c r="I36" s="808">
        <f t="shared" si="2"/>
        <v>0</v>
      </c>
    </row>
    <row r="37" spans="1:11">
      <c r="B37" s="813" t="s">
        <v>388</v>
      </c>
      <c r="C37" s="1473"/>
      <c r="D37" s="1473"/>
      <c r="E37" s="1473"/>
      <c r="F37" s="1473"/>
      <c r="G37" s="806"/>
      <c r="H37" s="807"/>
      <c r="I37" s="808">
        <f t="shared" si="2"/>
        <v>0</v>
      </c>
    </row>
    <row r="38" spans="1:11">
      <c r="B38" s="813" t="s">
        <v>389</v>
      </c>
      <c r="C38" s="1473"/>
      <c r="D38" s="1473"/>
      <c r="E38" s="1473"/>
      <c r="F38" s="1473"/>
      <c r="G38" s="806"/>
      <c r="H38" s="807"/>
      <c r="I38" s="808">
        <f t="shared" si="2"/>
        <v>0</v>
      </c>
    </row>
    <row r="39" spans="1:11">
      <c r="B39" s="814" t="s">
        <v>390</v>
      </c>
      <c r="C39" s="1485"/>
      <c r="D39" s="1485"/>
      <c r="E39" s="1485"/>
      <c r="F39" s="1485"/>
      <c r="G39" s="809"/>
      <c r="H39" s="810"/>
      <c r="I39" s="811">
        <f t="shared" si="2"/>
        <v>0</v>
      </c>
    </row>
    <row r="40" spans="1:11" ht="17.25" thickBot="1"/>
    <row r="41" spans="1:11" s="1" customFormat="1" ht="24" customHeight="1" thickBot="1">
      <c r="A41" s="457"/>
      <c r="B41" s="795" t="s">
        <v>384</v>
      </c>
      <c r="C41" s="1106"/>
      <c r="D41" s="800"/>
      <c r="E41" s="801"/>
      <c r="F41" s="802">
        <f>SUM(F28:F39)</f>
        <v>0</v>
      </c>
      <c r="G41" s="798">
        <f>SUM(G34:G39)+G30</f>
        <v>0</v>
      </c>
      <c r="H41" s="897"/>
      <c r="I41" s="896">
        <f>SUM(I34:I39)+I30</f>
        <v>0</v>
      </c>
      <c r="K41" s="78"/>
    </row>
    <row r="42" spans="1:11">
      <c r="B42" s="312"/>
      <c r="C42" s="312"/>
      <c r="D42" s="312"/>
      <c r="E42" s="312"/>
      <c r="F42" s="312"/>
      <c r="G42" s="312"/>
      <c r="H42" s="312"/>
      <c r="I42" s="312"/>
    </row>
    <row r="43" spans="1:11">
      <c r="B43" s="1107" t="s">
        <v>245</v>
      </c>
      <c r="C43" s="785"/>
      <c r="D43" s="785"/>
      <c r="E43" s="785"/>
      <c r="F43" s="785"/>
      <c r="G43" s="785"/>
      <c r="H43" s="785"/>
      <c r="I43" s="786"/>
    </row>
    <row r="44" spans="1:11">
      <c r="B44" s="1108" t="s">
        <v>246</v>
      </c>
      <c r="C44" s="1109"/>
      <c r="D44" s="1480"/>
      <c r="E44" s="1481"/>
      <c r="F44" s="1481"/>
      <c r="G44" s="1481"/>
      <c r="H44" s="1482"/>
      <c r="I44" s="444">
        <f>I41</f>
        <v>0</v>
      </c>
    </row>
    <row r="45" spans="1:11">
      <c r="B45" s="445" t="str">
        <f>IF(Projektgrundlagen!I21,"","Einbehalt:")</f>
        <v/>
      </c>
      <c r="C45" s="446"/>
      <c r="D45" s="1473" t="s">
        <v>248</v>
      </c>
      <c r="E45" s="1473"/>
      <c r="F45" s="1473"/>
      <c r="G45" s="1473"/>
      <c r="H45" s="447">
        <v>0.05</v>
      </c>
      <c r="I45" s="767" t="str">
        <f>IF(Projektgrundlagen!I21,"",I44*-1*H45)</f>
        <v/>
      </c>
    </row>
    <row r="46" spans="1:11">
      <c r="B46" s="1110" t="s">
        <v>247</v>
      </c>
      <c r="C46" s="1111"/>
      <c r="D46" s="1477" t="s">
        <v>828</v>
      </c>
      <c r="E46" s="1478"/>
      <c r="F46" s="1478"/>
      <c r="G46" s="1478"/>
      <c r="H46" s="1479"/>
      <c r="I46" s="912"/>
    </row>
    <row r="47" spans="1:11" ht="17.25" thickBot="1"/>
    <row r="48" spans="1:11" ht="26.45" customHeight="1" thickBot="1">
      <c r="B48" s="1112" t="s">
        <v>336</v>
      </c>
      <c r="C48" s="1113"/>
      <c r="D48" s="1474"/>
      <c r="E48" s="1475"/>
      <c r="F48" s="1475"/>
      <c r="G48" s="1476"/>
      <c r="H48" s="898"/>
      <c r="I48" s="659">
        <f>IF(Projektgrundlagen!I21,I44-I46,SUM(I44:I45)-I46)</f>
        <v>0</v>
      </c>
    </row>
    <row r="49"/>
    <row r="50"/>
    <row r="51"/>
  </sheetData>
  <sheetProtection algorithmName="SHA-512" hashValue="pkTPxqr4WHciqNymh3iZO/sLVwW+Sy76liN5RpTMqA4XsbrOmBq/j3PvglQpakNBq/wYVWRD96S1MVv3iEXHBw==" saltValue="fZvPC78dYGc4FanJ28OlMA==" spinCount="100000" sheet="1" formatRows="0"/>
  <mergeCells count="32">
    <mergeCell ref="D32:E32"/>
    <mergeCell ref="D12:E12"/>
    <mergeCell ref="B6:C6"/>
    <mergeCell ref="D6:I6"/>
    <mergeCell ref="B7:C7"/>
    <mergeCell ref="D7:I7"/>
    <mergeCell ref="B15:D15"/>
    <mergeCell ref="H2:I2"/>
    <mergeCell ref="H3:I3"/>
    <mergeCell ref="B8:C8"/>
    <mergeCell ref="D8:I8"/>
    <mergeCell ref="B5:C5"/>
    <mergeCell ref="D5:F5"/>
    <mergeCell ref="H5:I5"/>
    <mergeCell ref="B2:F2"/>
    <mergeCell ref="B3:F3"/>
    <mergeCell ref="J2:J8"/>
    <mergeCell ref="D45:G45"/>
    <mergeCell ref="D48:G48"/>
    <mergeCell ref="D46:H46"/>
    <mergeCell ref="D44:H44"/>
    <mergeCell ref="H15:I15"/>
    <mergeCell ref="C35:F35"/>
    <mergeCell ref="C36:F36"/>
    <mergeCell ref="C37:F37"/>
    <mergeCell ref="C38:F38"/>
    <mergeCell ref="C39:F39"/>
    <mergeCell ref="F15:G15"/>
    <mergeCell ref="C34:F34"/>
    <mergeCell ref="B12:C12"/>
    <mergeCell ref="B32:C32"/>
    <mergeCell ref="H14:I14"/>
  </mergeCells>
  <conditionalFormatting sqref="H18:H28">
    <cfRule type="expression" dxfId="1083" priority="4">
      <formula>OR(H18&gt;100%,H18&lt;0)</formula>
    </cfRule>
  </conditionalFormatting>
  <pageMargins left="0.39370078740157483" right="0.19685039370078741" top="0.39370078740157483" bottom="0.47244094488188981" header="0.31496062992125984" footer="0.31496062992125984"/>
  <pageSetup paperSize="9" scale="89" fitToHeight="0" orientation="portrait" r:id="rId1"/>
  <headerFooter scaleWithDoc="0">
    <oddFooter>&amp;L&amp;8©  VHF Bayern - Stand Oktober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3 Fahrstreifen">
                <anchor moveWithCells="1">
                  <from>
                    <xdr:col>5</xdr:col>
                    <xdr:colOff>95250</xdr:colOff>
                    <xdr:row>17</xdr:row>
                    <xdr:rowOff>0</xdr:rowOff>
                  </from>
                  <to>
                    <xdr:col>5</xdr:col>
                    <xdr:colOff>304800</xdr:colOff>
                    <xdr:row>18</xdr:row>
                    <xdr:rowOff>0</xdr:rowOff>
                  </to>
                </anchor>
              </controlPr>
            </control>
          </mc:Choice>
        </mc:AlternateContent>
        <mc:AlternateContent xmlns:mc="http://schemas.openxmlformats.org/markup-compatibility/2006">
          <mc:Choice Requires="x14">
            <control shapeId="66562" r:id="rId5" name="Check Box 2">
              <controlPr defaultSize="0" autoFill="0" autoLine="0" autoPict="0" altText="3 Fahrstreifen">
                <anchor moveWithCells="1">
                  <from>
                    <xdr:col>5</xdr:col>
                    <xdr:colOff>95250</xdr:colOff>
                    <xdr:row>18</xdr:row>
                    <xdr:rowOff>0</xdr:rowOff>
                  </from>
                  <to>
                    <xdr:col>5</xdr:col>
                    <xdr:colOff>304800</xdr:colOff>
                    <xdr:row>19</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3 Fahrstreifen">
                <anchor moveWithCells="1">
                  <from>
                    <xdr:col>5</xdr:col>
                    <xdr:colOff>95250</xdr:colOff>
                    <xdr:row>19</xdr:row>
                    <xdr:rowOff>0</xdr:rowOff>
                  </from>
                  <to>
                    <xdr:col>5</xdr:col>
                    <xdr:colOff>304800</xdr:colOff>
                    <xdr:row>20</xdr:row>
                    <xdr:rowOff>0</xdr:rowOff>
                  </to>
                </anchor>
              </controlPr>
            </control>
          </mc:Choice>
        </mc:AlternateContent>
        <mc:AlternateContent xmlns:mc="http://schemas.openxmlformats.org/markup-compatibility/2006">
          <mc:Choice Requires="x14">
            <control shapeId="66564" r:id="rId7" name="Check Box 4">
              <controlPr defaultSize="0" autoFill="0" autoLine="0" autoPict="0" altText="3 Fahrstreifen">
                <anchor moveWithCells="1">
                  <from>
                    <xdr:col>5</xdr:col>
                    <xdr:colOff>95250</xdr:colOff>
                    <xdr:row>20</xdr:row>
                    <xdr:rowOff>0</xdr:rowOff>
                  </from>
                  <to>
                    <xdr:col>5</xdr:col>
                    <xdr:colOff>304800</xdr:colOff>
                    <xdr:row>21</xdr:row>
                    <xdr:rowOff>0</xdr:rowOff>
                  </to>
                </anchor>
              </controlPr>
            </control>
          </mc:Choice>
        </mc:AlternateContent>
        <mc:AlternateContent xmlns:mc="http://schemas.openxmlformats.org/markup-compatibility/2006">
          <mc:Choice Requires="x14">
            <control shapeId="66565" r:id="rId8" name="Check Box 5">
              <controlPr defaultSize="0" autoFill="0" autoLine="0" autoPict="0" altText="3 Fahrstreifen">
                <anchor moveWithCells="1">
                  <from>
                    <xdr:col>5</xdr:col>
                    <xdr:colOff>95250</xdr:colOff>
                    <xdr:row>21</xdr:row>
                    <xdr:rowOff>0</xdr:rowOff>
                  </from>
                  <to>
                    <xdr:col>5</xdr:col>
                    <xdr:colOff>304800</xdr:colOff>
                    <xdr:row>22</xdr:row>
                    <xdr:rowOff>0</xdr:rowOff>
                  </to>
                </anchor>
              </controlPr>
            </control>
          </mc:Choice>
        </mc:AlternateContent>
        <mc:AlternateContent xmlns:mc="http://schemas.openxmlformats.org/markup-compatibility/2006">
          <mc:Choice Requires="x14">
            <control shapeId="66566" r:id="rId9" name="Check Box 6">
              <controlPr defaultSize="0" autoFill="0" autoLine="0" autoPict="0" altText="3 Fahrstreifen">
                <anchor moveWithCells="1">
                  <from>
                    <xdr:col>5</xdr:col>
                    <xdr:colOff>95250</xdr:colOff>
                    <xdr:row>22</xdr:row>
                    <xdr:rowOff>0</xdr:rowOff>
                  </from>
                  <to>
                    <xdr:col>5</xdr:col>
                    <xdr:colOff>304800</xdr:colOff>
                    <xdr:row>23</xdr:row>
                    <xdr:rowOff>0</xdr:rowOff>
                  </to>
                </anchor>
              </controlPr>
            </control>
          </mc:Choice>
        </mc:AlternateContent>
        <mc:AlternateContent xmlns:mc="http://schemas.openxmlformats.org/markup-compatibility/2006">
          <mc:Choice Requires="x14">
            <control shapeId="66567" r:id="rId10" name="Check Box 7">
              <controlPr defaultSize="0" autoFill="0" autoLine="0" autoPict="0" altText="3 Fahrstreifen">
                <anchor moveWithCells="1">
                  <from>
                    <xdr:col>5</xdr:col>
                    <xdr:colOff>95250</xdr:colOff>
                    <xdr:row>23</xdr:row>
                    <xdr:rowOff>0</xdr:rowOff>
                  </from>
                  <to>
                    <xdr:col>5</xdr:col>
                    <xdr:colOff>304800</xdr:colOff>
                    <xdr:row>24</xdr:row>
                    <xdr:rowOff>0</xdr:rowOff>
                  </to>
                </anchor>
              </controlPr>
            </control>
          </mc:Choice>
        </mc:AlternateContent>
        <mc:AlternateContent xmlns:mc="http://schemas.openxmlformats.org/markup-compatibility/2006">
          <mc:Choice Requires="x14">
            <control shapeId="66568" r:id="rId11" name="Check Box 8">
              <controlPr defaultSize="0" autoFill="0" autoLine="0" autoPict="0" altText="3 Fahrstreifen">
                <anchor moveWithCells="1">
                  <from>
                    <xdr:col>5</xdr:col>
                    <xdr:colOff>95250</xdr:colOff>
                    <xdr:row>24</xdr:row>
                    <xdr:rowOff>0</xdr:rowOff>
                  </from>
                  <to>
                    <xdr:col>5</xdr:col>
                    <xdr:colOff>304800</xdr:colOff>
                    <xdr:row>25</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ltText="3 Fahrstreifen">
                <anchor moveWithCells="1">
                  <from>
                    <xdr:col>5</xdr:col>
                    <xdr:colOff>95250</xdr:colOff>
                    <xdr:row>25</xdr:row>
                    <xdr:rowOff>0</xdr:rowOff>
                  </from>
                  <to>
                    <xdr:col>5</xdr:col>
                    <xdr:colOff>304800</xdr:colOff>
                    <xdr:row>26</xdr:row>
                    <xdr:rowOff>0</xdr:rowOff>
                  </to>
                </anchor>
              </controlPr>
            </control>
          </mc:Choice>
        </mc:AlternateContent>
        <mc:AlternateContent xmlns:mc="http://schemas.openxmlformats.org/markup-compatibility/2006">
          <mc:Choice Requires="x14">
            <control shapeId="66570" r:id="rId13" name="Check Box 10">
              <controlPr defaultSize="0" autoFill="0" autoLine="0" autoPict="0" altText="3 Fahrstreifen">
                <anchor moveWithCells="1">
                  <from>
                    <xdr:col>5</xdr:col>
                    <xdr:colOff>95250</xdr:colOff>
                    <xdr:row>26</xdr:row>
                    <xdr:rowOff>0</xdr:rowOff>
                  </from>
                  <to>
                    <xdr:col>5</xdr:col>
                    <xdr:colOff>304800</xdr:colOff>
                    <xdr:row>27</xdr:row>
                    <xdr:rowOff>0</xdr:rowOff>
                  </to>
                </anchor>
              </controlPr>
            </control>
          </mc:Choice>
        </mc:AlternateContent>
        <mc:AlternateContent xmlns:mc="http://schemas.openxmlformats.org/markup-compatibility/2006">
          <mc:Choice Requires="x14">
            <control shapeId="66571" r:id="rId14" name="Check Box 11">
              <controlPr defaultSize="0" autoFill="0" autoLine="0" autoPict="0" altText="3 Fahrstreifen">
                <anchor moveWithCells="1">
                  <from>
                    <xdr:col>5</xdr:col>
                    <xdr:colOff>95250</xdr:colOff>
                    <xdr:row>27</xdr:row>
                    <xdr:rowOff>0</xdr:rowOff>
                  </from>
                  <to>
                    <xdr:col>5</xdr:col>
                    <xdr:colOff>304800</xdr:colOff>
                    <xdr:row>28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450562C-20B8-4BFE-B9FC-EC0970179BBD}">
            <xm:f>Projektgrundlagen!I21</xm:f>
            <x14:dxf>
              <font>
                <strike/>
                <color rgb="FFC00000"/>
              </font>
              <fill>
                <patternFill>
                  <bgColor theme="0"/>
                </patternFill>
              </fill>
            </x14:dxf>
          </x14:cfRule>
          <xm:sqref>D45:G45</xm:sqref>
        </x14:conditionalFormatting>
        <x14:conditionalFormatting xmlns:xm="http://schemas.microsoft.com/office/excel/2006/main">
          <x14:cfRule type="expression" priority="2" id="{88FE88C3-3101-40C9-A1D6-449DEE7A87B4}">
            <xm:f>Projektgrundlagen!I21</xm:f>
            <x14:dxf>
              <font>
                <strike/>
                <color rgb="FFC00000"/>
              </font>
              <fill>
                <patternFill>
                  <bgColor theme="0"/>
                </patternFill>
              </fill>
            </x14:dxf>
          </x14:cfRule>
          <xm:sqref>H45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4.9989318521683403E-2"/>
    <pageSetUpPr fitToPage="1"/>
  </sheetPr>
  <dimension ref="A1:L37"/>
  <sheetViews>
    <sheetView showGridLines="0" zoomScaleNormal="100" zoomScaleSheetLayoutView="100" workbookViewId="0">
      <selection activeCell="B2" sqref="B2:H2"/>
    </sheetView>
  </sheetViews>
  <sheetFormatPr baseColWidth="10" defaultColWidth="0" defaultRowHeight="12.75" zeroHeight="1"/>
  <cols>
    <col min="1" max="1" width="5.7109375" style="1" customWidth="1"/>
    <col min="2" max="3" width="15.28515625" style="1" customWidth="1"/>
    <col min="4" max="8" width="15.140625" style="1" customWidth="1"/>
    <col min="9" max="9" width="2.7109375" style="1" customWidth="1"/>
    <col min="10" max="16384" width="11.42578125" style="1" hidden="1"/>
  </cols>
  <sheetData>
    <row r="1" spans="2:12" ht="18.75" customHeight="1"/>
    <row r="2" spans="2:12" s="104" customFormat="1" ht="25.5" customHeight="1">
      <c r="B2" s="1498" t="s">
        <v>266</v>
      </c>
      <c r="C2" s="1499"/>
      <c r="D2" s="1499"/>
      <c r="E2" s="1499"/>
      <c r="F2" s="1499"/>
      <c r="G2" s="1499"/>
      <c r="H2" s="1500"/>
      <c r="I2" s="1"/>
      <c r="J2" s="1"/>
      <c r="K2" s="1"/>
      <c r="L2" s="195" t="s">
        <v>153</v>
      </c>
    </row>
    <row r="3" spans="2:12" ht="12.75" customHeight="1">
      <c r="L3" s="1" t="str">
        <f ca="1">MID(CELL("dateiname",B4),FIND("]",CELL("dateiname",B4))+1,255)</f>
        <v>H §52 HOAI</v>
      </c>
    </row>
    <row r="4" spans="2:12" ht="15" customHeight="1">
      <c r="B4" s="24" t="s">
        <v>394</v>
      </c>
      <c r="C4" s="25"/>
      <c r="D4" s="25"/>
      <c r="E4" s="364" t="s">
        <v>467</v>
      </c>
      <c r="F4" s="25"/>
      <c r="G4" s="25"/>
      <c r="H4" s="26"/>
      <c r="I4" s="104"/>
      <c r="J4" s="104"/>
      <c r="K4" s="104"/>
    </row>
    <row r="5" spans="2:12" ht="15" customHeight="1"/>
    <row r="6" spans="2:12" ht="12.75" customHeight="1">
      <c r="B6" s="6" t="s">
        <v>83</v>
      </c>
      <c r="C6" s="7"/>
      <c r="D6" s="7"/>
      <c r="E6" s="23">
        <f>'A anrechb Kosten'!G49</f>
        <v>2250000</v>
      </c>
      <c r="F6" s="7" t="s">
        <v>55</v>
      </c>
      <c r="G6" s="7"/>
      <c r="H6" s="21"/>
    </row>
    <row r="7" spans="2:12">
      <c r="B7" s="105" t="s">
        <v>12</v>
      </c>
      <c r="C7" s="8"/>
      <c r="D7" s="8"/>
      <c r="E7" s="54">
        <f>IF(NOT('B HZone'!K12),0,IF(AND('B HZone'!K12,'B HZone'!I13&gt;=1,'B HZone'!I13&lt;=5),'B HZone'!I13,0))</f>
        <v>3</v>
      </c>
      <c r="F7" s="40"/>
      <c r="G7" s="8"/>
      <c r="H7" s="22"/>
    </row>
    <row r="8" spans="2:12" ht="15" customHeight="1"/>
    <row r="9" spans="2:12" ht="26.25" thickBot="1">
      <c r="C9" s="125" t="s">
        <v>94</v>
      </c>
      <c r="D9" s="125" t="s">
        <v>95</v>
      </c>
      <c r="E9" s="126" t="s">
        <v>96</v>
      </c>
      <c r="F9" s="51" t="s">
        <v>97</v>
      </c>
    </row>
    <row r="10" spans="2:12" ht="12.75" customHeight="1" thickBot="1">
      <c r="B10" s="106" t="s">
        <v>303</v>
      </c>
      <c r="C10" s="107">
        <f>IF(OR(E7&lt;1,E7&gt;5),0,IF(OR(E6&lt;B16,E6&gt;B35),0,VLOOKUP(E6,B16:B35,1)))</f>
        <v>2000000</v>
      </c>
      <c r="D10" s="108">
        <f>IF(OR(E7&lt;1,E7&gt;5),0,IF(OR(E6&lt;B16,E6&gt;B35),0,VLOOKUP(C10,B16:H35,(E7+1))))</f>
        <v>132684</v>
      </c>
      <c r="E10" s="109">
        <f>IF(OR(E7&lt;1,E7&gt;5),0,IF(OR(E6&lt;B16,E6&gt;B35),0,VLOOKUP(C10,B16:H35,(E7+2))))</f>
        <v>165483</v>
      </c>
      <c r="F10" s="62">
        <f>IF(OR(E7&lt;1,E7&gt;5),0,IF(OR(E6&lt;B16,E6&gt;B35),0,IF(E6=B35,D10,D10+((E6-C10)*(D11-D10))/(C11-C10))))</f>
        <v>145093.25</v>
      </c>
    </row>
    <row r="11" spans="2:12" ht="12.75" customHeight="1">
      <c r="B11" s="105" t="s">
        <v>13</v>
      </c>
      <c r="C11" s="110">
        <f>IF(OR(E7&lt;1,E7&gt;5),0,IF(OR(E6&lt;B16,E6&gt;=B35),0,INDEX($B$16:$B$35,(MATCH(C10,$B$16:$B$35)+1),1)))</f>
        <v>3000000</v>
      </c>
      <c r="D11" s="111">
        <f>IF(OR(E7&lt;1,E7&gt;5),0,IF(OR(E6&lt;B16,E6&gt;=B35),0,VLOOKUP(C11,B16:H35,(E7+1))))</f>
        <v>182321</v>
      </c>
      <c r="E11" s="112">
        <f>IF(OR(E7&lt;1,E7&gt;5),0,IF(OR(E6&lt;B16,E6&gt;=B35),0,VLOOKUP(C11,B16:H35,(E7+2))))</f>
        <v>227389</v>
      </c>
      <c r="F11" s="113">
        <f>IF(OR(E7&lt;1,E7&gt;5),0,IF(OR(E6&lt;B16,E6&gt;B35),0,IF(E6=B35,E10,E10+((E6-C10)*(E11-E10))/(C11-C10))))</f>
        <v>180959.5</v>
      </c>
    </row>
    <row r="12" spans="2:12" ht="15" customHeight="1"/>
    <row r="13" spans="2:12" ht="23.25" customHeight="1"/>
    <row r="14" spans="2:12">
      <c r="B14" s="1495" t="s">
        <v>468</v>
      </c>
      <c r="C14" s="1496"/>
      <c r="D14" s="1496"/>
      <c r="E14" s="1496"/>
      <c r="F14" s="1496"/>
      <c r="G14" s="1496"/>
      <c r="H14" s="1497"/>
    </row>
    <row r="15" spans="2:12" ht="38.25">
      <c r="B15" s="114" t="s">
        <v>71</v>
      </c>
      <c r="C15" s="127" t="s">
        <v>98</v>
      </c>
      <c r="D15" s="127" t="s">
        <v>99</v>
      </c>
      <c r="E15" s="127" t="s">
        <v>100</v>
      </c>
      <c r="F15" s="127" t="s">
        <v>101</v>
      </c>
      <c r="G15" s="127" t="s">
        <v>102</v>
      </c>
      <c r="H15" s="127" t="s">
        <v>103</v>
      </c>
    </row>
    <row r="16" spans="2:12">
      <c r="B16" s="1055">
        <v>10000</v>
      </c>
      <c r="C16" s="1055">
        <v>1461</v>
      </c>
      <c r="D16" s="1055">
        <v>1624</v>
      </c>
      <c r="E16" s="1055">
        <v>2064</v>
      </c>
      <c r="F16" s="1055">
        <v>2575</v>
      </c>
      <c r="G16" s="1055">
        <v>3015</v>
      </c>
      <c r="H16" s="1055">
        <v>3178</v>
      </c>
    </row>
    <row r="17" spans="2:8">
      <c r="B17" s="1055">
        <v>15000</v>
      </c>
      <c r="C17" s="1055">
        <v>2011</v>
      </c>
      <c r="D17" s="1055">
        <v>2234</v>
      </c>
      <c r="E17" s="1055">
        <v>2841</v>
      </c>
      <c r="F17" s="1055">
        <v>3543</v>
      </c>
      <c r="G17" s="1055">
        <v>4149</v>
      </c>
      <c r="H17" s="1055">
        <v>4373</v>
      </c>
    </row>
    <row r="18" spans="2:8">
      <c r="B18" s="1055">
        <v>25000</v>
      </c>
      <c r="C18" s="1055">
        <v>3006</v>
      </c>
      <c r="D18" s="1055">
        <v>3340</v>
      </c>
      <c r="E18" s="1055">
        <v>4247</v>
      </c>
      <c r="F18" s="1055">
        <v>5296</v>
      </c>
      <c r="G18" s="1055">
        <v>6203</v>
      </c>
      <c r="H18" s="1055">
        <v>6537</v>
      </c>
    </row>
    <row r="19" spans="2:8">
      <c r="B19" s="1055">
        <v>50000</v>
      </c>
      <c r="C19" s="1055">
        <v>5187</v>
      </c>
      <c r="D19" s="1055">
        <v>5763</v>
      </c>
      <c r="E19" s="1055">
        <v>7327</v>
      </c>
      <c r="F19" s="1055">
        <v>9139</v>
      </c>
      <c r="G19" s="1055">
        <v>10703</v>
      </c>
      <c r="H19" s="1055">
        <v>11279</v>
      </c>
    </row>
    <row r="20" spans="2:8" ht="13.5" thickBot="1">
      <c r="B20" s="1056">
        <v>75000</v>
      </c>
      <c r="C20" s="1056">
        <v>7135</v>
      </c>
      <c r="D20" s="1056">
        <v>7928</v>
      </c>
      <c r="E20" s="1056">
        <v>10080</v>
      </c>
      <c r="F20" s="1056">
        <v>12572</v>
      </c>
      <c r="G20" s="1056">
        <v>14724</v>
      </c>
      <c r="H20" s="1056">
        <v>15517</v>
      </c>
    </row>
    <row r="21" spans="2:8">
      <c r="B21" s="1057">
        <v>100000</v>
      </c>
      <c r="C21" s="1057">
        <v>8946</v>
      </c>
      <c r="D21" s="1057">
        <v>9940</v>
      </c>
      <c r="E21" s="1057">
        <v>12639</v>
      </c>
      <c r="F21" s="1057">
        <v>15763</v>
      </c>
      <c r="G21" s="1057">
        <v>18461</v>
      </c>
      <c r="H21" s="1057">
        <v>19455</v>
      </c>
    </row>
    <row r="22" spans="2:8">
      <c r="B22" s="1055">
        <v>150000</v>
      </c>
      <c r="C22" s="1055">
        <v>12303</v>
      </c>
      <c r="D22" s="1055">
        <v>13670</v>
      </c>
      <c r="E22" s="1055">
        <v>17380</v>
      </c>
      <c r="F22" s="1055">
        <v>21677</v>
      </c>
      <c r="G22" s="1055">
        <v>25387</v>
      </c>
      <c r="H22" s="1055">
        <v>26754</v>
      </c>
    </row>
    <row r="23" spans="2:8">
      <c r="B23" s="1055">
        <v>250000</v>
      </c>
      <c r="C23" s="1055">
        <v>18370</v>
      </c>
      <c r="D23" s="1055">
        <v>20411</v>
      </c>
      <c r="E23" s="1055">
        <v>25951</v>
      </c>
      <c r="F23" s="1055">
        <v>32365</v>
      </c>
      <c r="G23" s="1055">
        <v>37906</v>
      </c>
      <c r="H23" s="1055">
        <v>39947</v>
      </c>
    </row>
    <row r="24" spans="2:8">
      <c r="B24" s="1055">
        <v>350000</v>
      </c>
      <c r="C24" s="1055">
        <v>23909</v>
      </c>
      <c r="D24" s="1055">
        <v>26565</v>
      </c>
      <c r="E24" s="1055">
        <v>33776</v>
      </c>
      <c r="F24" s="1055">
        <v>42125</v>
      </c>
      <c r="G24" s="1055">
        <v>49335</v>
      </c>
      <c r="H24" s="1055">
        <v>51992</v>
      </c>
    </row>
    <row r="25" spans="2:8" ht="13.5" thickBot="1">
      <c r="B25" s="1056">
        <v>500000</v>
      </c>
      <c r="C25" s="1056">
        <v>31594</v>
      </c>
      <c r="D25" s="1056">
        <v>35105</v>
      </c>
      <c r="E25" s="1056">
        <v>44633</v>
      </c>
      <c r="F25" s="1056">
        <v>55666</v>
      </c>
      <c r="G25" s="1056">
        <v>65194</v>
      </c>
      <c r="H25" s="1056">
        <v>68705</v>
      </c>
    </row>
    <row r="26" spans="2:8">
      <c r="B26" s="1057">
        <v>750000</v>
      </c>
      <c r="C26" s="1057">
        <v>43463</v>
      </c>
      <c r="D26" s="1057">
        <v>48293</v>
      </c>
      <c r="E26" s="1057">
        <v>61401</v>
      </c>
      <c r="F26" s="1057">
        <v>76578</v>
      </c>
      <c r="G26" s="1057">
        <v>89686</v>
      </c>
      <c r="H26" s="1057">
        <v>94515</v>
      </c>
    </row>
    <row r="27" spans="2:8">
      <c r="B27" s="1055">
        <v>1000000</v>
      </c>
      <c r="C27" s="1055">
        <v>54495</v>
      </c>
      <c r="D27" s="1055">
        <v>60550</v>
      </c>
      <c r="E27" s="1055">
        <v>76984</v>
      </c>
      <c r="F27" s="1055">
        <v>96014</v>
      </c>
      <c r="G27" s="1055">
        <v>112449</v>
      </c>
      <c r="H27" s="1055">
        <v>118504</v>
      </c>
    </row>
    <row r="28" spans="2:8">
      <c r="B28" s="1055">
        <v>1250000</v>
      </c>
      <c r="C28" s="1055">
        <v>64940</v>
      </c>
      <c r="D28" s="1055">
        <v>72155</v>
      </c>
      <c r="E28" s="1055">
        <v>91740</v>
      </c>
      <c r="F28" s="1055">
        <v>114418</v>
      </c>
      <c r="G28" s="1055">
        <v>134003</v>
      </c>
      <c r="H28" s="1055">
        <v>141218</v>
      </c>
    </row>
    <row r="29" spans="2:8">
      <c r="B29" s="1055">
        <v>1500000</v>
      </c>
      <c r="C29" s="1055">
        <v>74938</v>
      </c>
      <c r="D29" s="1055">
        <v>83265</v>
      </c>
      <c r="E29" s="1055">
        <v>105865</v>
      </c>
      <c r="F29" s="1055">
        <v>132034</v>
      </c>
      <c r="G29" s="1055">
        <v>154635</v>
      </c>
      <c r="H29" s="1055">
        <v>162961</v>
      </c>
    </row>
    <row r="30" spans="2:8" ht="13.5" thickBot="1">
      <c r="B30" s="1056">
        <v>2000000</v>
      </c>
      <c r="C30" s="1056">
        <v>93923</v>
      </c>
      <c r="D30" s="1056">
        <v>104358</v>
      </c>
      <c r="E30" s="1056">
        <v>132684</v>
      </c>
      <c r="F30" s="1056">
        <v>165483</v>
      </c>
      <c r="G30" s="1056">
        <v>193808</v>
      </c>
      <c r="H30" s="1056">
        <v>204244</v>
      </c>
    </row>
    <row r="31" spans="2:8">
      <c r="B31" s="1057">
        <v>3000000</v>
      </c>
      <c r="C31" s="1057">
        <v>129059</v>
      </c>
      <c r="D31" s="1057">
        <v>143398</v>
      </c>
      <c r="E31" s="1057">
        <v>182321</v>
      </c>
      <c r="F31" s="1057">
        <v>227389</v>
      </c>
      <c r="G31" s="1057">
        <v>266311</v>
      </c>
      <c r="H31" s="1057">
        <v>280651</v>
      </c>
    </row>
    <row r="32" spans="2:8">
      <c r="B32" s="1055">
        <v>5000000</v>
      </c>
      <c r="C32" s="1055">
        <v>192384</v>
      </c>
      <c r="D32" s="1055">
        <v>213760</v>
      </c>
      <c r="E32" s="1055">
        <v>271781</v>
      </c>
      <c r="F32" s="1055">
        <v>338962</v>
      </c>
      <c r="G32" s="1055">
        <v>396983</v>
      </c>
      <c r="H32" s="1055">
        <v>418359</v>
      </c>
    </row>
    <row r="33" spans="2:8">
      <c r="B33" s="1055">
        <v>7500000</v>
      </c>
      <c r="C33" s="1055">
        <v>264487</v>
      </c>
      <c r="D33" s="1055">
        <v>293874</v>
      </c>
      <c r="E33" s="1055">
        <v>373640</v>
      </c>
      <c r="F33" s="1055">
        <v>466001</v>
      </c>
      <c r="G33" s="1055">
        <v>545767</v>
      </c>
      <c r="H33" s="1055">
        <v>575154</v>
      </c>
    </row>
    <row r="34" spans="2:8">
      <c r="B34" s="1055">
        <v>10000000</v>
      </c>
      <c r="C34" s="1055">
        <v>331398</v>
      </c>
      <c r="D34" s="1055">
        <v>368220</v>
      </c>
      <c r="E34" s="1055">
        <v>468166</v>
      </c>
      <c r="F34" s="1055">
        <v>583892</v>
      </c>
      <c r="G34" s="1055">
        <v>683838</v>
      </c>
      <c r="H34" s="1055">
        <v>720660</v>
      </c>
    </row>
    <row r="35" spans="2:8">
      <c r="B35" s="1055">
        <v>15000000</v>
      </c>
      <c r="C35" s="1055">
        <v>455177</v>
      </c>
      <c r="D35" s="1055">
        <v>505686</v>
      </c>
      <c r="E35" s="1055">
        <v>642943</v>
      </c>
      <c r="F35" s="1055">
        <v>801873</v>
      </c>
      <c r="G35" s="1055">
        <v>939131</v>
      </c>
      <c r="H35" s="1055">
        <v>989699</v>
      </c>
    </row>
    <row r="36" spans="2:8"/>
    <row r="37" spans="2:8"/>
  </sheetData>
  <sheetProtection sheet="1" formatRows="0"/>
  <mergeCells count="2">
    <mergeCell ref="B14:H14"/>
    <mergeCell ref="B2:H2"/>
  </mergeCells>
  <conditionalFormatting sqref="E7">
    <cfRule type="expression" dxfId="1080" priority="1">
      <formula>E7=0</formula>
    </cfRule>
  </conditionalFormatting>
  <pageMargins left="0.39370078740157483" right="0.19685039370078741" top="0.39370078740157483" bottom="0.47244094488188981" header="0.31496062992125984" footer="0.31496062992125984"/>
  <pageSetup paperSize="9" scale="87" fitToHeight="0" orientation="portrait" r:id="rId1"/>
  <headerFooter scaleWithDoc="0">
    <oddFooter>&amp;L&amp;8©  VHF Bayern - Stand August 2022&amp;R&amp;P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35</vt:i4>
      </vt:variant>
    </vt:vector>
  </HeadingPairs>
  <TitlesOfParts>
    <vt:vector size="48" baseType="lpstr">
      <vt:lpstr>Projektgrundlagen</vt:lpstr>
      <vt:lpstr>A anrechb Kosten</vt:lpstr>
      <vt:lpstr>B HZone</vt:lpstr>
      <vt:lpstr>StB-C1 Grundlstg</vt:lpstr>
      <vt:lpstr>StB-D1 Besondere Lstg</vt:lpstr>
      <vt:lpstr>E Honorarberechnung</vt:lpstr>
      <vt:lpstr>F Honorarübersicht</vt:lpstr>
      <vt:lpstr>G Honorarabrechnung</vt:lpstr>
      <vt:lpstr>H §52 HOAI</vt:lpstr>
      <vt:lpstr>HB-C1 Grundlstg Land</vt:lpstr>
      <vt:lpstr>HB-C2 Grundlstg Bund</vt:lpstr>
      <vt:lpstr>HB-D1 Besondere Lstg Land</vt:lpstr>
      <vt:lpstr>HB-D2 Besondere Lstg Bund</vt:lpstr>
      <vt:lpstr>an_summe_angebot</vt:lpstr>
      <vt:lpstr>'A anrechb Kosten'!Druckbereich</vt:lpstr>
      <vt:lpstr>'B HZone'!Druckbereich</vt:lpstr>
      <vt:lpstr>'E Honorarberechnung'!Druckbereich</vt:lpstr>
      <vt:lpstr>'F Honorarübersicht'!Druckbereich</vt:lpstr>
      <vt:lpstr>'G Honorarabrechnung'!Druckbereich</vt:lpstr>
      <vt:lpstr>'H §52 HOAI'!Druckbereich</vt:lpstr>
      <vt:lpstr>'HB-C1 Grundlstg Land'!Druckbereich</vt:lpstr>
      <vt:lpstr>'HB-C2 Grundlstg Bund'!Druckbereich</vt:lpstr>
      <vt:lpstr>'HB-D1 Besondere Lstg Land'!Druckbereich</vt:lpstr>
      <vt:lpstr>'HB-D2 Besondere Lstg Bund'!Druckbereich</vt:lpstr>
      <vt:lpstr>Projektgrundlagen!Druckbereich</vt:lpstr>
      <vt:lpstr>'StB-C1 Grundlstg'!Druckbereich</vt:lpstr>
      <vt:lpstr>'StB-D1 Besondere Lstg'!Druckbereich</vt:lpstr>
      <vt:lpstr>'E Honorarberechnung'!Drucktitel</vt:lpstr>
      <vt:lpstr>'F Honorarübersicht'!Drucktitel</vt:lpstr>
      <vt:lpstr>'G Honorarabrechnung'!Drucktitel</vt:lpstr>
      <vt:lpstr>'HB-C1 Grundlstg Land'!Drucktitel</vt:lpstr>
      <vt:lpstr>'HB-C2 Grundlstg Bund'!Drucktitel</vt:lpstr>
      <vt:lpstr>'HB-D1 Besondere Lstg Land'!Drucktitel</vt:lpstr>
      <vt:lpstr>'HB-D2 Besondere Lstg Bund'!Drucktitel</vt:lpstr>
      <vt:lpstr>'StB-C1 Grundlstg'!Drucktitel</vt:lpstr>
      <vt:lpstr>'StB-D1 Besondere Lstg'!Drucktitel</vt:lpstr>
      <vt:lpstr>Link_A_anrKosten</vt:lpstr>
      <vt:lpstr>Link_B_HonorarZ</vt:lpstr>
      <vt:lpstr>Link_E_Honorar</vt:lpstr>
      <vt:lpstr>Link_F_Uebersicht</vt:lpstr>
      <vt:lpstr>Link_G_Abrechnung</vt:lpstr>
      <vt:lpstr>Link_H_HOAI</vt:lpstr>
      <vt:lpstr>Link_HBC1_Grundlstg</vt:lpstr>
      <vt:lpstr>Link_HBC2_Grundlstg</vt:lpstr>
      <vt:lpstr>Link_HBD1_BesLstg</vt:lpstr>
      <vt:lpstr>Link_HBD2_BesLstg</vt:lpstr>
      <vt:lpstr>Link_StBC1_Grundlstg</vt:lpstr>
      <vt:lpstr>Link_StBD1_BesLstg</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Referat-23@stmb.bayern.de</dc:creator>
  <cp:lastModifiedBy>Overath, Gabriele (StBA Würzburg)</cp:lastModifiedBy>
  <cp:lastPrinted>2024-03-05T08:36:19Z</cp:lastPrinted>
  <dcterms:created xsi:type="dcterms:W3CDTF">2015-04-17T04:22:38Z</dcterms:created>
  <dcterms:modified xsi:type="dcterms:W3CDTF">2024-09-03T06:09:38Z</dcterms:modified>
</cp:coreProperties>
</file>