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E\ZV2\Beschaffung\Ausschreibungen\Ausschreibungen 2026\2.07.010025#0075 O.V. Betriebsunterstützung DBMS, IT\1. vorbereitende Unterlagen\"/>
    </mc:Choice>
  </mc:AlternateContent>
  <xr:revisionPtr revIDLastSave="0" documentId="8_{3F64D231-E50B-4A45-BF67-88ABC91A78F3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Gewichtung  (Start)" sheetId="2" r:id="rId1"/>
    <sheet name="Prüf - PreisQuotienten" sheetId="6" state="hidden" r:id="rId2"/>
    <sheet name="Prüf  einfacher Richtwer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N37" i="7" l="1"/>
  <c r="E13" i="7"/>
  <c r="F13" i="7"/>
  <c r="G13" i="7"/>
  <c r="H13" i="7"/>
  <c r="I13" i="7"/>
  <c r="E14" i="7"/>
  <c r="F14" i="7"/>
  <c r="G14" i="7"/>
  <c r="H14" i="7"/>
  <c r="I14" i="7"/>
  <c r="E15" i="7"/>
  <c r="F15" i="7"/>
  <c r="G15" i="7"/>
  <c r="H15" i="7"/>
  <c r="I15" i="7"/>
  <c r="E12" i="7"/>
  <c r="F12" i="7"/>
  <c r="G12" i="7"/>
  <c r="H12" i="7"/>
  <c r="I12" i="7"/>
  <c r="Q37" i="7" l="1"/>
  <c r="I10" i="7"/>
  <c r="H10" i="7"/>
  <c r="G10" i="7"/>
  <c r="F10" i="7"/>
  <c r="E10" i="7"/>
  <c r="E6" i="7"/>
  <c r="D34" i="7"/>
  <c r="E19" i="7"/>
  <c r="G20" i="7"/>
  <c r="E21" i="7"/>
  <c r="F21" i="7"/>
  <c r="G21" i="7"/>
  <c r="H21" i="7"/>
  <c r="I21" i="7"/>
  <c r="E22" i="7"/>
  <c r="F22" i="7"/>
  <c r="G22" i="7"/>
  <c r="H22" i="7"/>
  <c r="I22" i="7"/>
  <c r="E23" i="7"/>
  <c r="F23" i="7"/>
  <c r="G23" i="7"/>
  <c r="H23" i="7"/>
  <c r="I23" i="7"/>
  <c r="E24" i="7"/>
  <c r="F24" i="7"/>
  <c r="G24" i="7"/>
  <c r="H24" i="7"/>
  <c r="I24" i="7"/>
  <c r="E20" i="7"/>
  <c r="I20" i="7"/>
  <c r="H20" i="7"/>
  <c r="F20" i="7"/>
  <c r="E16" i="7"/>
  <c r="A11" i="7"/>
  <c r="D27" i="7"/>
  <c r="D14" i="7" s="1"/>
  <c r="N14" i="7" s="1"/>
  <c r="D28" i="7"/>
  <c r="D17" i="7" s="1"/>
  <c r="K17" i="7" s="1"/>
  <c r="D29" i="7"/>
  <c r="D24" i="7" s="1"/>
  <c r="K24" i="7" s="1"/>
  <c r="D26" i="7"/>
  <c r="D7" i="7" s="1"/>
  <c r="N7" i="7" s="1"/>
  <c r="E17" i="7"/>
  <c r="F17" i="7"/>
  <c r="G17" i="7"/>
  <c r="H17" i="7"/>
  <c r="I17" i="7"/>
  <c r="E18" i="7"/>
  <c r="F18" i="7"/>
  <c r="G18" i="7"/>
  <c r="I18" i="7"/>
  <c r="H18" i="7"/>
  <c r="A16" i="7"/>
  <c r="A19" i="7"/>
  <c r="A29" i="7" s="1"/>
  <c r="A6" i="7"/>
  <c r="N17" i="7" l="1"/>
  <c r="D9" i="7"/>
  <c r="N9" i="7" s="1"/>
  <c r="N24" i="7"/>
  <c r="D10" i="7"/>
  <c r="Q7" i="7"/>
  <c r="Q14" i="7"/>
  <c r="Q17" i="7"/>
  <c r="Q24" i="7"/>
  <c r="N10" i="7"/>
  <c r="D22" i="7"/>
  <c r="D8" i="7"/>
  <c r="Q8" i="7" s="1"/>
  <c r="D23" i="7"/>
  <c r="D21" i="7"/>
  <c r="D20" i="7"/>
  <c r="D13" i="7"/>
  <c r="D18" i="7"/>
  <c r="D30" i="7"/>
  <c r="D12" i="7"/>
  <c r="D16" i="7"/>
  <c r="D15" i="7"/>
  <c r="Q9" i="7" l="1"/>
  <c r="Q15" i="7"/>
  <c r="N15" i="7"/>
  <c r="K20" i="7"/>
  <c r="Q20" i="7"/>
  <c r="N20" i="7"/>
  <c r="Q26" i="7"/>
  <c r="K21" i="7"/>
  <c r="Q21" i="7"/>
  <c r="N21" i="7"/>
  <c r="K22" i="7"/>
  <c r="Q22" i="7"/>
  <c r="N22" i="7"/>
  <c r="K10" i="7"/>
  <c r="Q10" i="7"/>
  <c r="K18" i="7"/>
  <c r="K28" i="7" s="1"/>
  <c r="N18" i="7"/>
  <c r="N28" i="7" s="1"/>
  <c r="Q18" i="7"/>
  <c r="Q28" i="7" s="1"/>
  <c r="Q12" i="7"/>
  <c r="N12" i="7"/>
  <c r="Q13" i="7"/>
  <c r="N13" i="7"/>
  <c r="K23" i="7"/>
  <c r="N23" i="7"/>
  <c r="Q23" i="7"/>
  <c r="D6" i="7"/>
  <c r="N8" i="7"/>
  <c r="N26" i="7" s="1"/>
  <c r="D19" i="7"/>
  <c r="D11" i="7"/>
  <c r="K7" i="7"/>
  <c r="K12" i="7"/>
  <c r="K13" i="7"/>
  <c r="K14" i="7"/>
  <c r="K15" i="7"/>
  <c r="E8" i="7"/>
  <c r="F8" i="7"/>
  <c r="G8" i="7"/>
  <c r="H8" i="7"/>
  <c r="I8" i="7"/>
  <c r="K8" i="7"/>
  <c r="K9" i="7"/>
  <c r="A1" i="7"/>
  <c r="I7" i="7"/>
  <c r="H7" i="7"/>
  <c r="G7" i="7"/>
  <c r="F7" i="7"/>
  <c r="E7" i="7"/>
  <c r="N27" i="7" l="1"/>
  <c r="N30" i="7" s="1"/>
  <c r="N39" i="7" s="1"/>
  <c r="Q27" i="7"/>
  <c r="N29" i="7"/>
  <c r="Q29" i="7"/>
  <c r="K26" i="7"/>
  <c r="K27" i="7"/>
  <c r="Q30" i="7" l="1"/>
  <c r="Q39" i="7" s="1"/>
  <c r="K37" i="7"/>
  <c r="N38" i="7" l="1"/>
  <c r="Q38" i="7"/>
  <c r="E38" i="7"/>
  <c r="A36" i="6"/>
  <c r="K38" i="7"/>
  <c r="D16" i="6"/>
  <c r="R32" i="6"/>
  <c r="N32" i="6"/>
  <c r="J32" i="6"/>
  <c r="K29" i="7"/>
  <c r="K30" i="7" s="1"/>
  <c r="A28" i="7"/>
  <c r="A27" i="7"/>
  <c r="A26" i="7"/>
  <c r="R33" i="6" l="1"/>
  <c r="N33" i="6"/>
  <c r="E33" i="6"/>
  <c r="J33" i="6"/>
  <c r="J34" i="6" s="1"/>
  <c r="D24" i="6"/>
  <c r="D23" i="6"/>
  <c r="D22" i="6"/>
  <c r="R20" i="6"/>
  <c r="N20" i="6"/>
  <c r="L20" i="6"/>
  <c r="J20" i="6"/>
  <c r="P20" i="6" s="1"/>
  <c r="H20" i="6"/>
  <c r="R19" i="6"/>
  <c r="N19" i="6"/>
  <c r="L19" i="6"/>
  <c r="J19" i="6"/>
  <c r="P19" i="6" s="1"/>
  <c r="H19" i="6"/>
  <c r="R18" i="6"/>
  <c r="N18" i="6"/>
  <c r="L18" i="6"/>
  <c r="J18" i="6"/>
  <c r="P18" i="6" s="1"/>
  <c r="H18" i="6"/>
  <c r="R17" i="6"/>
  <c r="N17" i="6"/>
  <c r="L17" i="6"/>
  <c r="J17" i="6"/>
  <c r="H17" i="6"/>
  <c r="A16" i="6"/>
  <c r="A24" i="6" s="1"/>
  <c r="R15" i="6"/>
  <c r="N15" i="6"/>
  <c r="L15" i="6"/>
  <c r="J15" i="6"/>
  <c r="P15" i="6" s="1"/>
  <c r="H15" i="6"/>
  <c r="R14" i="6"/>
  <c r="N14" i="6"/>
  <c r="L14" i="6"/>
  <c r="J14" i="6"/>
  <c r="P14" i="6" s="1"/>
  <c r="H14" i="6"/>
  <c r="R13" i="6"/>
  <c r="N13" i="6"/>
  <c r="L13" i="6"/>
  <c r="J13" i="6"/>
  <c r="P13" i="6" s="1"/>
  <c r="H13" i="6"/>
  <c r="R12" i="6"/>
  <c r="N12" i="6"/>
  <c r="L12" i="6"/>
  <c r="J12" i="6"/>
  <c r="H12" i="6"/>
  <c r="D11" i="6"/>
  <c r="A11" i="6"/>
  <c r="A23" i="6" s="1"/>
  <c r="R10" i="6"/>
  <c r="N10" i="6"/>
  <c r="J10" i="6"/>
  <c r="R9" i="6"/>
  <c r="N9" i="6"/>
  <c r="L9" i="6"/>
  <c r="J9" i="6"/>
  <c r="P9" i="6" s="1"/>
  <c r="H9" i="6"/>
  <c r="R8" i="6"/>
  <c r="N8" i="6"/>
  <c r="J8" i="6"/>
  <c r="P8" i="6" s="1"/>
  <c r="H8" i="6"/>
  <c r="G8" i="6"/>
  <c r="F8" i="6"/>
  <c r="L8" i="6" s="1"/>
  <c r="E8" i="6"/>
  <c r="R7" i="6"/>
  <c r="N7" i="6"/>
  <c r="J7" i="6"/>
  <c r="P7" i="6" s="1"/>
  <c r="H7" i="6"/>
  <c r="G7" i="6"/>
  <c r="F7" i="6"/>
  <c r="L7" i="6" s="1"/>
  <c r="E7" i="6"/>
  <c r="D6" i="6"/>
  <c r="A6" i="6"/>
  <c r="A22" i="6" s="1"/>
  <c r="A1" i="6"/>
  <c r="N34" i="6" l="1"/>
  <c r="R34" i="6"/>
  <c r="J36" i="6"/>
  <c r="R23" i="6"/>
  <c r="R24" i="6"/>
  <c r="R22" i="6"/>
  <c r="J23" i="6"/>
  <c r="N23" i="6"/>
  <c r="J24" i="6"/>
  <c r="N24" i="6"/>
  <c r="D25" i="6"/>
  <c r="N22" i="6"/>
  <c r="P12" i="6"/>
  <c r="P17" i="6"/>
  <c r="J22" i="6"/>
  <c r="K39" i="7" l="1"/>
  <c r="R25" i="6"/>
  <c r="R36" i="6" s="1"/>
  <c r="N25" i="6"/>
  <c r="N36" i="6" s="1"/>
  <c r="J25" i="6"/>
  <c r="E11" i="2" l="1"/>
</calcChain>
</file>

<file path=xl/sharedStrings.xml><?xml version="1.0" encoding="utf-8"?>
<sst xmlns="http://schemas.openxmlformats.org/spreadsheetml/2006/main" count="203" uniqueCount="100">
  <si>
    <t>2.</t>
  </si>
  <si>
    <t>Summe</t>
  </si>
  <si>
    <t>Bewertungsmatrix</t>
  </si>
  <si>
    <t>Kandidat 1</t>
  </si>
  <si>
    <t>Gewichtungs-punkte</t>
  </si>
  <si>
    <t>Kriterien bzw. Erwartungen
Bewertungspunkte</t>
  </si>
  <si>
    <t>A-Kriterium  liegt vor?</t>
  </si>
  <si>
    <t>Bewertungs-punkte</t>
  </si>
  <si>
    <t>Leistungs-punkte</t>
  </si>
  <si>
    <t>Bemerkungen</t>
  </si>
  <si>
    <t>Nr.</t>
  </si>
  <si>
    <t>Typ</t>
  </si>
  <si>
    <t>Frage / Kriterium</t>
  </si>
  <si>
    <t>1.1</t>
  </si>
  <si>
    <t>1.2</t>
  </si>
  <si>
    <t>1.3</t>
  </si>
  <si>
    <t>1.4</t>
  </si>
  <si>
    <t>Erläutern Sie die Tätigkeitsschwerpunkte Ihres Unternehmens sowie den Spezialisierungsgrad im Hinblick auf die geforderten Leistungen.</t>
  </si>
  <si>
    <t>2.2</t>
  </si>
  <si>
    <t>2.3</t>
  </si>
  <si>
    <t>2.4</t>
  </si>
  <si>
    <t>B</t>
  </si>
  <si>
    <r>
      <t>Weisen Sie mindestens</t>
    </r>
    <r>
      <rPr>
        <b/>
        <sz val="11"/>
        <color theme="1"/>
        <rFont val="Calibri"/>
        <family val="2"/>
        <scheme val="minor"/>
      </rPr>
      <t xml:space="preserve"> 2 Referenzen</t>
    </r>
    <r>
      <rPr>
        <sz val="11"/>
        <color theme="1"/>
        <rFont val="Calibri"/>
        <family val="2"/>
        <scheme val="minor"/>
      </rPr>
      <t xml:space="preserve"> über vergleichbare oder größere Aufträge mit einem diesem Vergabeverfahren entsprechenden Aufgabenspektrum und deren Dauer nach. Die Referenzprojekte dürfen nicht älter als 3 Jahre sein.  
Stellen Sie ausführlich die nachfolgend aufgelisteten Angaben für jedes dieser Referenzprojekte tabellarisch dar;  verwenden Sie dabei die Vorlage aus Anlage 1 (Nichtverwendung der Vorlage kann zum Ausschluss führen):
• Namen des Auftraggebers (Kennzeichnung von öffentlichen Auftraggebern)
• Größe des Auftragnehmers: mehr als 50 verschiedene Applikationsserver /  mehr als 500 Client-PCs (Antwort ja/nein)
• Gegenstand des Projektes 
• Rolle Ihres Unternehmens (Generalunternehmer, Nachunternehmer, Partner)
• Projektdauer
• Projektvolumen in Personentagen
• Aufgaben Ihres Unternehmens
• Anteil Ihres Unternehmens am Gesamtprojektvolumen in Personentagen
• Angewandte Technologien und Methoden 
• Kontaktdaten von Ansprechpartnern des Referenzkunden (Name, Telefonnummer, E-Mail)
</t>
    </r>
  </si>
  <si>
    <t>Wie stellen Sie die Verfügbarkeit der für dieses Projekt eingeteilten Mitarbeiter sicher? Wie erfolgt die Einsatzplanung? Wie kann auf Ausfälle von Mitarbeitern reagiert werden?</t>
  </si>
  <si>
    <t>Einsatz-planungs-konzept unklar, nicht überzeugend</t>
  </si>
  <si>
    <t>Einsatz-planungs-konzept vorhanden und überzeugend</t>
  </si>
  <si>
    <t>Einsatz-planungs-konzept sehr  überzeugend, Ersatz von Ausfällen sichergestellt</t>
  </si>
  <si>
    <t>3.1</t>
  </si>
  <si>
    <t>3.2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</si>
  <si>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"Administration von Microsoft SQL Server" </t>
    </r>
    <r>
      <rPr>
        <sz val="11"/>
        <color theme="1"/>
        <rFont val="Calibri"/>
        <family val="2"/>
        <scheme val="minor"/>
      </rPr>
      <t>einer qualitativen Bewertung unterzogen.</t>
    </r>
  </si>
  <si>
    <t>beide Profile sind nicht überzeugend</t>
  </si>
  <si>
    <t xml:space="preserve">beide Profile sind mittlerer Güte oder eine nur ein Referenz ist gut </t>
  </si>
  <si>
    <t>beide Profile sind von hoher Güte und überzeugen</t>
  </si>
  <si>
    <t>3.3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</si>
  <si>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"Migration von Microsoft SQL Server Datenbanken" </t>
    </r>
    <r>
      <rPr>
        <sz val="11"/>
        <color theme="1"/>
        <rFont val="Calibri"/>
        <family val="2"/>
        <scheme val="minor"/>
      </rPr>
      <t>einer qualitativen Bewertung unterzogen.</t>
    </r>
  </si>
  <si>
    <t>3.4</t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</si>
  <si>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>"Absicherung von Microsoft SQL Server Umgebungen"</t>
    </r>
    <r>
      <rPr>
        <sz val="11"/>
        <color theme="1"/>
        <rFont val="Calibri"/>
        <family val="2"/>
        <scheme val="minor"/>
      </rPr>
      <t xml:space="preserve"> 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</si>
  <si>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"Bereitstellen von Microsoft SQL Server in virtuellen Umgebungen"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</si>
  <si>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 xml:space="preserve">Unterstützung bei Administration, Konfiguration und Pflege der bestehenden Microsoft SQL Server-Landschaft </t>
    </r>
    <r>
      <rPr>
        <sz val="11"/>
        <color theme="1"/>
        <rFont val="Calibri"/>
        <family val="2"/>
        <scheme val="minor"/>
      </rPr>
      <t>" einer qualitativen Bewertung unterzogen.</t>
    </r>
  </si>
  <si>
    <t>nicht überzeugend</t>
  </si>
  <si>
    <t>mittlerer Güte und teilweise überzeugend</t>
  </si>
  <si>
    <t>hoher Güte und überzeugend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</si>
  <si>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Einhaltung und Weiterentwicklung des Sicherheitsstandards</t>
    </r>
    <r>
      <rPr>
        <sz val="11"/>
        <color theme="1"/>
        <rFont val="Calibri"/>
        <family val="2"/>
        <scheme val="minor"/>
      </rPr>
      <t>" einer qualitativen Bewertung unterzogen.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</si>
  <si>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Leistungs- und Performanceüberwachung</t>
    </r>
    <r>
      <rPr>
        <sz val="11"/>
        <color theme="1"/>
        <rFont val="Calibri"/>
        <family val="2"/>
        <scheme val="minor"/>
      </rPr>
      <t xml:space="preserve">" einer qualitativen Bewertung unterzogen. </t>
    </r>
  </si>
  <si>
    <t>SUMMEN</t>
  </si>
  <si>
    <t>Erreichte Bewertungspunkte</t>
  </si>
  <si>
    <t>Ausschlusskriterien</t>
  </si>
  <si>
    <t>KG 1 - Unternehmensdarstellung und Eignungsprüfung</t>
  </si>
  <si>
    <t>KG 2 - Mitarbeiterqualifikation / Fachkunde</t>
  </si>
  <si>
    <t>Der Punktebereich erstreckt sich von 1000 - 3000</t>
  </si>
  <si>
    <t>Angebotspunkte</t>
  </si>
  <si>
    <t xml:space="preserve">Ergebnis (Leistungspunkte) </t>
  </si>
  <si>
    <t>Gesamtpunkte</t>
  </si>
  <si>
    <t>Kandidat 2</t>
  </si>
  <si>
    <t>Leistungspunkte - Gewichtung der Kriteriengruppen</t>
  </si>
  <si>
    <t>Kandidat 3</t>
  </si>
  <si>
    <t>(1 - 3)</t>
  </si>
  <si>
    <t>2.6</t>
  </si>
  <si>
    <t>Das eingereichte Umsetzungskonzept ist…</t>
  </si>
  <si>
    <t>Die Erläuterungen zum Qualitätsmanagement sind…</t>
  </si>
  <si>
    <t>Angebotspreis - Servicezeit A</t>
  </si>
  <si>
    <t>Angebotspreis - Servicezeit B</t>
  </si>
  <si>
    <t xml:space="preserve">Betrachtete Stunden </t>
  </si>
  <si>
    <t>Angebotspreis (berechnet)</t>
  </si>
  <si>
    <t>Preis - Preisquotientenmethode</t>
  </si>
  <si>
    <t>Ergebnis  (Preispunkte)</t>
  </si>
  <si>
    <t>betrachtete Angebote (Abweichung vom Median) &lt;- Soll Dumping/Wucher ausschließen)</t>
  </si>
  <si>
    <t>Preisuntersuchung</t>
  </si>
  <si>
    <t>3.5</t>
  </si>
  <si>
    <r>
      <t>Abweichung vom Median / außerhalb Schwankungsbereich (</t>
    </r>
    <r>
      <rPr>
        <b/>
        <sz val="11"/>
        <color theme="1"/>
        <rFont val="Calibri"/>
        <family val="2"/>
        <scheme val="minor"/>
      </rPr>
      <t>nicht Bewertungsbestandteil</t>
    </r>
    <r>
      <rPr>
        <sz val="11"/>
        <color theme="1"/>
        <rFont val="Calibri"/>
        <family val="2"/>
        <scheme val="minor"/>
      </rPr>
      <t>)</t>
    </r>
  </si>
  <si>
    <t>( 1 - 5 )</t>
  </si>
  <si>
    <r>
      <t>Die beschriebenen</t>
    </r>
    <r>
      <rPr>
        <b/>
        <sz val="11"/>
        <color theme="1"/>
        <rFont val="Calibri"/>
        <family val="2"/>
        <scheme val="minor"/>
      </rPr>
      <t xml:space="preserve"> Tätigkeitsschwerpunkte des Unternehmens</t>
    </r>
    <r>
      <rPr>
        <sz val="11"/>
        <color theme="1"/>
        <rFont val="Calibri"/>
        <family val="2"/>
        <scheme val="minor"/>
      </rPr>
      <t xml:space="preserve"> sowie den Spezialisierungsgrad im Hinblick auf die geforderten Leistungen wurden umfassend dargestellt.</t>
    </r>
  </si>
  <si>
    <r>
      <t xml:space="preserve">Bewertet werden die eingereichten </t>
    </r>
    <r>
      <rPr>
        <b/>
        <sz val="11"/>
        <color theme="1"/>
        <rFont val="Calibri"/>
        <family val="2"/>
        <scheme val="minor"/>
      </rPr>
      <t>Referenzprojekte</t>
    </r>
    <r>
      <rPr>
        <sz val="11"/>
        <color theme="1"/>
        <rFont val="Calibri"/>
        <family val="2"/>
        <scheme val="minor"/>
      </rPr>
      <t xml:space="preserve"> hinsichtlich ihrer Vergleichbarkeit mit dem ausgeschriebenen Leistungsgegenstand, ihres Umfangs, ihrer Komplexität sowie der nachgewiesenen Erfahrungen in vergleichbaren oder größeren IT-Umgebungen..  
Die Bewertung erfolgt anhand der dargestellten Projektmerkmale:
• Namen des Auftraggebers (Kennzeichnung von öffentlichen Auftraggebern)
• Vergleichbare Größe des genannten Auftraggebers (Antwort ja/nein)
• Gegenstand des Projektes 
• Projektdauer
• Projektvolumen in Personentagen
• Anteil des Unternehmens am Gesamtprojektvolumen in Personentagen
• Rolle &amp; Aufgaben des Unternehmens im Projekt (Generalunternehmer, Nachunternehmer, Partner)
• Angewandte Technologien und Methoden 
• Kontaktdaten von Ansprechpartnern des Referenzkunden (Name, Telefonnummer, E-Mail)
</t>
    </r>
  </si>
  <si>
    <t>KG 3 - Preisgestaltung und Aufwandsplanung</t>
  </si>
  <si>
    <t>KG 4 - Umsetzungskonzept</t>
  </si>
  <si>
    <t>KG 0 - Übergreifende Regelungen / A-Kriterien</t>
  </si>
  <si>
    <r>
      <t xml:space="preserve">Bewertet wird das eingereichte </t>
    </r>
    <r>
      <rPr>
        <b/>
        <sz val="11"/>
        <color theme="1"/>
        <rFont val="Calibri"/>
        <family val="2"/>
        <scheme val="minor"/>
      </rPr>
      <t>Personaleinsatzkonzept</t>
    </r>
    <r>
      <rPr>
        <sz val="11"/>
        <color theme="1"/>
        <rFont val="Calibri"/>
        <family val="2"/>
        <scheme val="minor"/>
      </rPr>
      <t xml:space="preserve"> hinsichtlich seiner Eignung zur organisatorischen Umsetzung der ausgeschriebenen Leistungen:
• Nachvollziehbarkeit und Plausibilität des Gesamtkonzepts
• Darstellung der Projektorganisation (Rollen, Verantwortlichkeiten, Entscheidungswege)
• Benennung zentraler Ansprechpartner (z. B. Projekt- und technische Leitung)
• Qualifikation und Erfahrung des eingesetzten Personals bezogen auf die ausgeschriebenen Leistungen
•  Sicherstellung der Personalverfügbarkeit für Regelbetrieb, Rufbereitschaft und Vor-Ort-Einsätze
• Darstellung geeigneter Vertretungsregelungen zur Gewährleistung der Leistungskontinuität
</t>
    </r>
  </si>
  <si>
    <t>Anzahl B - Kriterien in Gruppe:  4</t>
  </si>
  <si>
    <r>
      <t xml:space="preserve">Bewertet wird die Nachvollziehbarkeit, Plausibilität und Wirtschaftlichkeit der vom Bieter vorgelegten </t>
    </r>
    <r>
      <rPr>
        <b/>
        <sz val="11"/>
        <color theme="1"/>
        <rFont val="Calibri"/>
        <family val="2"/>
        <scheme val="minor"/>
      </rPr>
      <t>Aufwandsplanung</t>
    </r>
    <r>
      <rPr>
        <sz val="11"/>
        <color theme="1"/>
        <rFont val="Calibri"/>
        <family val="2"/>
        <scheme val="minor"/>
      </rPr>
      <t xml:space="preserve"> im Hinblick auf die Skalierbarkeit des Datenbankbetriebs. 
Hierzu zählen u.a. die folgenden Merkmale:
• Nachvollziehbarkeit der Darstellung 
• Transparenz der Kosten- und Aufwandsentwicklung bei zunehmender Anzahl von Instanzen
• Darstellung der Skalierungslogik (insb. ob und wie zusätzlicher Aufwand durch Skalierung entstehen)
• Beschreibung technischer und organisatorischer Maßnahmen zur Effizienzsteigerung
• Bewertung der Auswirkungen dieser Maßnahmen auf die Skalierbarkeit und Wirtschaftlichkeit des Betriebs
• Gesamtbeurteilung der Wirtschaftlichkeit und Effizienz der angebotenen Serviceerbringung</t>
    </r>
  </si>
  <si>
    <t>Der Punktebereich erstreckt sich von 1000 - 5000</t>
  </si>
  <si>
    <t>Einsatzplanungs-konzept unklar, nicht überzeugend</t>
  </si>
  <si>
    <t>Einsatzplanungs-konzept vorhanden und überzeugend</t>
  </si>
  <si>
    <t>Einsatzplanungs-konzept sehr  überzeugend, Ersatz von Ausfällen sichergestellt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</si>
  <si>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Einhaltung und Weiterentwicklung des Sicherheitsstandards</t>
    </r>
    <r>
      <rPr>
        <sz val="11"/>
        <color theme="1"/>
        <rFont val="Calibri"/>
        <family val="2"/>
        <scheme val="minor"/>
      </rPr>
      <t xml:space="preserve">" einer qualitativen Bewertung unterzogen.
</t>
    </r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</si>
  <si>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>Leistungs- und Performanceüberwachung</t>
    </r>
    <r>
      <rPr>
        <sz val="11"/>
        <color theme="1"/>
        <rFont val="Calibri"/>
        <family val="2"/>
        <scheme val="minor"/>
      </rPr>
      <t xml:space="preserve">" einer qualitativen Bewertung unterzogen. 
</t>
    </r>
  </si>
  <si>
    <t xml:space="preserve">Das eingereichte Umsetzungskonzept ist…
</t>
  </si>
  <si>
    <r>
      <t>Das eingereichte Umsetzungskonzept werden zum Thema "</t>
    </r>
    <r>
      <rPr>
        <b/>
        <sz val="11"/>
        <color theme="1"/>
        <rFont val="Calibri"/>
        <family val="2"/>
        <scheme val="minor"/>
      </rPr>
      <t xml:space="preserve">Unterstützung bei Administration, Konfiguration und Pflege der bestehenden DBMS-Landschaft </t>
    </r>
    <r>
      <rPr>
        <sz val="11"/>
        <color theme="1"/>
        <rFont val="Calibri"/>
        <family val="2"/>
        <scheme val="minor"/>
      </rPr>
      <t xml:space="preserve">" einer qualitativen Bewertung unterzogen.
</t>
    </r>
  </si>
  <si>
    <r>
      <t>Das eingereichte Umsetzungskonzept werden zum Thema</t>
    </r>
    <r>
      <rPr>
        <b/>
        <sz val="11"/>
        <color theme="1"/>
        <rFont val="Calibri"/>
        <family val="2"/>
        <scheme val="minor"/>
      </rPr>
      <t xml:space="preserve"> "Leistungen im Entwicklungs- und Applikationsunterstützung" </t>
    </r>
    <r>
      <rPr>
        <sz val="11"/>
        <color theme="1"/>
        <rFont val="Calibri"/>
        <family val="2"/>
        <scheme val="minor"/>
      </rPr>
      <t xml:space="preserve">einer qualitativen Bewertung unterzogen
</t>
    </r>
  </si>
  <si>
    <r>
      <t xml:space="preserve">Bewertet wird die Vollständigkeit, Transparenz, Nachvollziehbarkeit und Wirtschaftlichkeit der </t>
    </r>
    <r>
      <rPr>
        <b/>
        <sz val="11"/>
        <color theme="1"/>
        <rFont val="Calibri"/>
        <family val="2"/>
        <scheme val="minor"/>
      </rPr>
      <t>Preisgestaltung</t>
    </r>
    <r>
      <rPr>
        <sz val="11"/>
        <color theme="1"/>
        <rFont val="Calibri"/>
        <family val="2"/>
        <scheme val="minor"/>
      </rPr>
      <t xml:space="preserve"> unter Berücksichtigung der geforderten Leistungsbestandteile sowie deren Skalierbarkeit.
Hierzu zählen u.a. die folgenden Merkmale:
•  Struktur und Nachvollziehbarkeit der Preisaufgliederung 
•  Vollständigkeit der Preisbestandteile (inkl. Personal, Tools, Lizenzen, Betrieb, Overhead etc.)
•  Transparenz der Kalkulationslogik (Nachvollziehbarkeit, wie sich Preise zusammensetzen)
•  Angemessenheit und Marktkonformität 
•  Nachvollziehbarkeit der Kosten bei Skalierung (mehr/weniger Datenbankinstanzen)
•  Vermeidung von versteckten oder nicht ausgewiesenen Zusatzkosten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</si>
  <si>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"Administration, Konfiguration und Pflege der bestehenden DBMS-Landschaft"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</si>
  <si>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"Einhaltung und Weiterentwicklung des Sicherheitsstandards" </t>
    </r>
    <r>
      <rPr>
        <sz val="11"/>
        <color theme="1"/>
        <rFont val="Calibri"/>
        <family val="2"/>
        <scheme val="minor"/>
      </rPr>
      <t>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</si>
  <si>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>"Leistungs- und Performanceüberwachung"</t>
    </r>
    <r>
      <rPr>
        <sz val="11"/>
        <color theme="1"/>
        <rFont val="Calibri"/>
        <family val="2"/>
        <scheme val="minor"/>
      </rPr>
      <t xml:space="preserve"> einer qualitativen Bewertung unterzogen.</t>
    </r>
  </si>
  <si>
    <r>
      <t xml:space="preserve">Die Profile und insbesondere die zu den Profilen eingereichten Referenzen werden zum Thema </t>
    </r>
    <r>
      <rPr>
        <b/>
        <sz val="11"/>
        <color theme="1"/>
        <rFont val="Calibri"/>
        <family val="2"/>
        <scheme val="minor"/>
      </rPr>
      <t xml:space="preserve">"Entwicklungs- und Applikationsunterstützung" </t>
    </r>
    <r>
      <rPr>
        <sz val="11"/>
        <color theme="1"/>
        <rFont val="Calibri"/>
        <family val="2"/>
        <scheme val="minor"/>
      </rPr>
      <t>einer qualitativen Bewertung unterzogen.</t>
    </r>
  </si>
  <si>
    <t>Das eingereichte Unternehmensdarstellung ist…</t>
  </si>
  <si>
    <t>Einfache Richtwertmethode (Nutzerwert  = Leitung /Preis * 100)</t>
  </si>
  <si>
    <t>Prüfmatrix zur Ausschreibung
"Betriebsunterstützung im Bereich der Datenbankmanagementsysteme (DBMS)"</t>
  </si>
  <si>
    <t>Gewichtung der Kriterientypen untereinander</t>
  </si>
  <si>
    <t xml:space="preserve">1.        </t>
  </si>
  <si>
    <t>Angebotspreis</t>
  </si>
  <si>
    <t>Leistungspunkte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</si>
</sst>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0000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31"/>
      </patternFill>
    </fill>
    <fill>
      <patternFill patternType="solid">
        <fgColor indexed="51"/>
        <bgColor indexed="52"/>
      </patternFill>
    </fill>
    <fill>
      <patternFill patternType="solid">
        <fgColor theme="4" tint="0.59999389629810485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31"/>
      </top>
      <bottom/>
      <diagonal/>
    </border>
    <border>
      <left style="thin">
        <color indexed="22"/>
      </left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3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31"/>
      </right>
      <top style="thin">
        <color indexed="31"/>
      </top>
      <bottom/>
      <diagonal/>
    </border>
    <border>
      <left/>
      <right style="thick">
        <color auto="1"/>
      </right>
      <top style="thin">
        <color indexed="31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22"/>
      </left>
      <right style="medium">
        <color auto="1"/>
      </right>
      <top style="thin">
        <color indexed="31"/>
      </top>
      <bottom/>
      <diagonal/>
    </border>
  </borders>
  <cellStyleXfs count="2">
    <xf numFmtId="0" fontId="0" fillId="0" borderId="0"/>
    <xf numFmtId="0" fontId="18" fillId="0" borderId="0"/>
  </cellStyleXfs>
  <cellXfs count="183">
    <xf numFmtId="0" fontId="0" fillId="0" borderId="0" xfId="0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8" fillId="5" borderId="0" xfId="0" applyNumberFormat="1" applyFont="1" applyFill="1" applyBorder="1" applyAlignment="1">
      <alignment vertical="center"/>
    </xf>
    <xf numFmtId="0" fontId="9" fillId="6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Border="1" applyAlignment="1">
      <alignment horizontal="justify" vertical="center"/>
    </xf>
    <xf numFmtId="0" fontId="1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right" vertical="center"/>
    </xf>
    <xf numFmtId="0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0" xfId="0" applyNumberFormat="1" applyFont="1" applyAlignment="1"/>
    <xf numFmtId="9" fontId="10" fillId="0" borderId="0" xfId="0" applyNumberFormat="1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1" fontId="1" fillId="4" borderId="0" xfId="0" applyNumberFormat="1" applyFont="1" applyFill="1" applyBorder="1" applyAlignment="1">
      <alignment vertical="top"/>
    </xf>
    <xf numFmtId="0" fontId="0" fillId="0" borderId="0" xfId="0" applyBorder="1"/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vertical="top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quotePrefix="1" applyNumberFormat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 wrapText="1"/>
    </xf>
    <xf numFmtId="0" fontId="5" fillId="4" borderId="14" xfId="0" applyNumberFormat="1" applyFont="1" applyFill="1" applyBorder="1" applyAlignment="1">
      <alignment horizontal="left" vertical="top"/>
    </xf>
    <xf numFmtId="1" fontId="1" fillId="4" borderId="14" xfId="0" applyNumberFormat="1" applyFont="1" applyFill="1" applyBorder="1" applyAlignment="1">
      <alignment vertical="top"/>
    </xf>
    <xf numFmtId="0" fontId="0" fillId="0" borderId="14" xfId="0" applyBorder="1"/>
    <xf numFmtId="0" fontId="5" fillId="4" borderId="17" xfId="0" applyNumberFormat="1" applyFont="1" applyFill="1" applyBorder="1" applyAlignment="1">
      <alignment horizontal="left" vertical="top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4" fillId="0" borderId="14" xfId="0" applyFont="1" applyBorder="1"/>
    <xf numFmtId="0" fontId="0" fillId="7" borderId="0" xfId="0" applyFill="1"/>
    <xf numFmtId="0" fontId="16" fillId="7" borderId="13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/>
    </xf>
    <xf numFmtId="0" fontId="16" fillId="7" borderId="14" xfId="0" applyFont="1" applyFill="1" applyBorder="1" applyAlignment="1">
      <alignment horizontal="center"/>
    </xf>
    <xf numFmtId="0" fontId="6" fillId="0" borderId="0" xfId="0" quotePrefix="1" applyNumberFormat="1" applyFont="1" applyBorder="1" applyAlignment="1">
      <alignment vertic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 applyProtection="1">
      <alignment vertical="top" wrapText="1"/>
      <protection locked="0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Border="1" applyAlignment="1">
      <alignment vertical="top"/>
    </xf>
    <xf numFmtId="0" fontId="16" fillId="8" borderId="13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/>
    </xf>
    <xf numFmtId="0" fontId="16" fillId="8" borderId="0" xfId="0" applyFont="1" applyFill="1" applyBorder="1" applyAlignment="1">
      <alignment horizontal="center"/>
    </xf>
    <xf numFmtId="0" fontId="16" fillId="8" borderId="0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/>
    </xf>
    <xf numFmtId="0" fontId="0" fillId="8" borderId="0" xfId="0" applyFill="1"/>
    <xf numFmtId="0" fontId="16" fillId="7" borderId="19" xfId="0" applyFont="1" applyFill="1" applyBorder="1" applyAlignment="1">
      <alignment horizontal="center"/>
    </xf>
    <xf numFmtId="0" fontId="14" fillId="0" borderId="0" xfId="0" applyFont="1" applyBorder="1"/>
    <xf numFmtId="0" fontId="16" fillId="8" borderId="0" xfId="0" applyFont="1" applyFill="1" applyBorder="1" applyAlignment="1">
      <alignment horizontal="right"/>
    </xf>
    <xf numFmtId="0" fontId="5" fillId="4" borderId="19" xfId="0" applyNumberFormat="1" applyFont="1" applyFill="1" applyBorder="1" applyAlignment="1">
      <alignment horizontal="left" vertical="top"/>
    </xf>
    <xf numFmtId="0" fontId="5" fillId="4" borderId="20" xfId="0" applyNumberFormat="1" applyFont="1" applyFill="1" applyBorder="1" applyAlignment="1">
      <alignment horizontal="left" vertical="top"/>
    </xf>
    <xf numFmtId="0" fontId="14" fillId="0" borderId="20" xfId="0" applyFont="1" applyBorder="1"/>
    <xf numFmtId="1" fontId="1" fillId="4" borderId="20" xfId="0" applyNumberFormat="1" applyFont="1" applyFill="1" applyBorder="1" applyAlignment="1">
      <alignment vertical="top"/>
    </xf>
    <xf numFmtId="0" fontId="0" fillId="0" borderId="20" xfId="0" applyBorder="1"/>
    <xf numFmtId="0" fontId="16" fillId="8" borderId="20" xfId="0" applyFont="1" applyFill="1" applyBorder="1" applyAlignment="1">
      <alignment horizontal="center"/>
    </xf>
    <xf numFmtId="0" fontId="3" fillId="0" borderId="21" xfId="0" applyNumberFormat="1" applyFont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right"/>
    </xf>
    <xf numFmtId="0" fontId="14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6" fillId="7" borderId="20" xfId="0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right"/>
    </xf>
    <xf numFmtId="16" fontId="4" fillId="3" borderId="12" xfId="0" quotePrefix="1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left" vertical="top"/>
    </xf>
    <xf numFmtId="0" fontId="20" fillId="4" borderId="0" xfId="0" applyNumberFormat="1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>
      <alignment horizontal="left" vertical="top"/>
    </xf>
    <xf numFmtId="9" fontId="0" fillId="0" borderId="0" xfId="0" applyNumberFormat="1" applyBorder="1"/>
    <xf numFmtId="0" fontId="0" fillId="0" borderId="0" xfId="0" quotePrefix="1" applyBorder="1"/>
    <xf numFmtId="4" fontId="16" fillId="7" borderId="0" xfId="0" applyNumberFormat="1" applyFont="1" applyFill="1" applyBorder="1" applyAlignment="1">
      <alignment horizontal="center" vertical="center"/>
    </xf>
    <xf numFmtId="4" fontId="16" fillId="7" borderId="20" xfId="0" applyNumberFormat="1" applyFont="1" applyFill="1" applyBorder="1" applyAlignment="1">
      <alignment horizontal="center"/>
    </xf>
    <xf numFmtId="4" fontId="16" fillId="7" borderId="0" xfId="0" applyNumberFormat="1" applyFont="1" applyFill="1" applyBorder="1" applyAlignment="1">
      <alignment horizontal="center"/>
    </xf>
    <xf numFmtId="2" fontId="16" fillId="8" borderId="0" xfId="0" applyNumberFormat="1" applyFont="1" applyFill="1" applyBorder="1" applyAlignment="1">
      <alignment horizontal="center" vertical="center"/>
    </xf>
    <xf numFmtId="2" fontId="16" fillId="8" borderId="20" xfId="0" applyNumberFormat="1" applyFont="1" applyFill="1" applyBorder="1" applyAlignment="1">
      <alignment horizontal="center"/>
    </xf>
    <xf numFmtId="2" fontId="16" fillId="8" borderId="0" xfId="0" applyNumberFormat="1" applyFont="1" applyFill="1" applyBorder="1" applyAlignment="1">
      <alignment horizontal="center"/>
    </xf>
    <xf numFmtId="0" fontId="0" fillId="9" borderId="0" xfId="0" applyFill="1"/>
    <xf numFmtId="9" fontId="0" fillId="9" borderId="0" xfId="0" applyNumberFormat="1" applyFill="1" applyBorder="1"/>
    <xf numFmtId="0" fontId="0" fillId="9" borderId="20" xfId="0" applyFill="1" applyBorder="1"/>
    <xf numFmtId="0" fontId="0" fillId="9" borderId="0" xfId="0" applyFill="1" applyBorder="1"/>
    <xf numFmtId="0" fontId="0" fillId="9" borderId="0" xfId="0" applyFill="1" applyAlignment="1">
      <alignment horizontal="right"/>
    </xf>
    <xf numFmtId="164" fontId="0" fillId="0" borderId="0" xfId="0" applyNumberFormat="1" applyBorder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9" borderId="20" xfId="0" applyNumberFormat="1" applyFill="1" applyBorder="1" applyAlignment="1">
      <alignment horizontal="center"/>
    </xf>
    <xf numFmtId="164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20" xfId="0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5" fillId="4" borderId="20" xfId="0" applyNumberFormat="1" applyFont="1" applyFill="1" applyBorder="1" applyAlignment="1">
      <alignment horizontal="left" vertical="center" wrapText="1"/>
    </xf>
    <xf numFmtId="0" fontId="14" fillId="0" borderId="20" xfId="0" quotePrefix="1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1" fontId="1" fillId="4" borderId="20" xfId="0" applyNumberFormat="1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6" fillId="8" borderId="2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0" fontId="0" fillId="9" borderId="20" xfId="0" applyNumberFormat="1" applyFill="1" applyBorder="1" applyAlignment="1">
      <alignment horizontal="center" vertical="center" wrapText="1"/>
    </xf>
    <xf numFmtId="10" fontId="16" fillId="7" borderId="2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 applyBorder="1"/>
    <xf numFmtId="2" fontId="0" fillId="0" borderId="0" xfId="0" quotePrefix="1" applyNumberFormat="1"/>
    <xf numFmtId="0" fontId="0" fillId="9" borderId="0" xfId="0" applyFill="1" applyAlignment="1">
      <alignment horizontal="left"/>
    </xf>
    <xf numFmtId="0" fontId="5" fillId="4" borderId="0" xfId="0" applyNumberFormat="1" applyFont="1" applyFill="1" applyBorder="1" applyAlignment="1">
      <alignment horizontal="left" vertical="top"/>
    </xf>
    <xf numFmtId="0" fontId="5" fillId="4" borderId="0" xfId="0" applyNumberFormat="1" applyFont="1" applyFill="1" applyBorder="1" applyAlignment="1">
      <alignment horizontal="left" vertical="top"/>
    </xf>
    <xf numFmtId="0" fontId="20" fillId="4" borderId="0" xfId="0" applyNumberFormat="1" applyFont="1" applyFill="1" applyBorder="1" applyAlignment="1">
      <alignment horizontal="left" vertical="top" wrapText="1"/>
    </xf>
    <xf numFmtId="1" fontId="1" fillId="4" borderId="13" xfId="0" applyNumberFormat="1" applyFont="1" applyFill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0" fontId="4" fillId="3" borderId="22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right"/>
    </xf>
    <xf numFmtId="0" fontId="0" fillId="0" borderId="23" xfId="0" applyBorder="1"/>
    <xf numFmtId="0" fontId="0" fillId="9" borderId="23" xfId="0" applyFill="1" applyBorder="1" applyAlignment="1">
      <alignment horizontal="right"/>
    </xf>
    <xf numFmtId="0" fontId="4" fillId="3" borderId="24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16" fontId="4" fillId="3" borderId="21" xfId="0" quotePrefix="1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vertical="top"/>
    </xf>
    <xf numFmtId="0" fontId="0" fillId="0" borderId="19" xfId="0" applyBorder="1" applyAlignment="1">
      <alignment horizontal="center" vertical="center"/>
    </xf>
    <xf numFmtId="0" fontId="16" fillId="8" borderId="19" xfId="0" applyFont="1" applyFill="1" applyBorder="1" applyAlignment="1">
      <alignment horizontal="center"/>
    </xf>
    <xf numFmtId="0" fontId="0" fillId="0" borderId="19" xfId="0" applyBorder="1"/>
    <xf numFmtId="0" fontId="0" fillId="9" borderId="19" xfId="0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9" fillId="6" borderId="0" xfId="0" applyFont="1" applyFill="1" applyAlignment="1">
      <alignment vertical="top" wrapText="1"/>
    </xf>
    <xf numFmtId="9" fontId="10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9" fontId="9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horizontal="left" vertical="top" wrapText="1"/>
    </xf>
    <xf numFmtId="0" fontId="9" fillId="6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 wrapText="1"/>
    </xf>
    <xf numFmtId="0" fontId="16" fillId="7" borderId="0" xfId="0" applyFont="1" applyFill="1" applyAlignment="1">
      <alignment horizontal="right"/>
    </xf>
    <xf numFmtId="0" fontId="20" fillId="4" borderId="0" xfId="0" applyNumberFormat="1" applyFont="1" applyFill="1" applyBorder="1" applyAlignment="1">
      <alignment horizontal="left" vertical="top" wrapText="1"/>
    </xf>
    <xf numFmtId="0" fontId="20" fillId="4" borderId="20" xfId="0" applyNumberFormat="1" applyFont="1" applyFill="1" applyBorder="1" applyAlignment="1">
      <alignment horizontal="left" vertical="top" wrapText="1"/>
    </xf>
    <xf numFmtId="0" fontId="20" fillId="4" borderId="14" xfId="0" applyNumberFormat="1" applyFont="1" applyFill="1" applyBorder="1" applyAlignment="1">
      <alignment horizontal="left" vertical="top" wrapText="1"/>
    </xf>
    <xf numFmtId="0" fontId="16" fillId="8" borderId="0" xfId="0" applyFont="1" applyFill="1" applyAlignment="1">
      <alignment horizontal="right"/>
    </xf>
    <xf numFmtId="1" fontId="1" fillId="4" borderId="13" xfId="0" applyNumberFormat="1" applyFont="1" applyFill="1" applyBorder="1" applyAlignment="1">
      <alignment horizontal="right" vertical="top"/>
    </xf>
    <xf numFmtId="1" fontId="1" fillId="4" borderId="0" xfId="0" applyNumberFormat="1" applyFont="1" applyFill="1" applyBorder="1" applyAlignment="1">
      <alignment horizontal="right" vertical="top"/>
    </xf>
    <xf numFmtId="1" fontId="1" fillId="4" borderId="20" xfId="0" applyNumberFormat="1" applyFont="1" applyFill="1" applyBorder="1" applyAlignment="1">
      <alignment horizontal="right" vertical="top"/>
    </xf>
    <xf numFmtId="0" fontId="5" fillId="4" borderId="0" xfId="0" applyNumberFormat="1" applyFont="1" applyFill="1" applyBorder="1" applyAlignment="1">
      <alignment horizontal="left" vertical="top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2" fillId="2" borderId="18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19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Border="1" applyAlignment="1" applyProtection="1">
      <alignment horizontal="center" vertical="top" wrapText="1"/>
      <protection locked="0"/>
    </xf>
    <xf numFmtId="0" fontId="17" fillId="0" borderId="14" xfId="0" applyFont="1" applyFill="1" applyBorder="1" applyAlignment="1" applyProtection="1">
      <alignment horizontal="center" vertical="top" wrapText="1"/>
      <protection locked="0"/>
    </xf>
    <xf numFmtId="0" fontId="16" fillId="7" borderId="0" xfId="0" applyFont="1" applyFill="1" applyBorder="1" applyAlignment="1">
      <alignment horizontal="right"/>
    </xf>
    <xf numFmtId="0" fontId="16" fillId="7" borderId="23" xfId="0" applyFont="1" applyFill="1" applyBorder="1" applyAlignment="1">
      <alignment horizontal="right"/>
    </xf>
    <xf numFmtId="0" fontId="20" fillId="4" borderId="19" xfId="0" applyNumberFormat="1" applyFont="1" applyFill="1" applyBorder="1" applyAlignment="1">
      <alignment horizontal="left" vertical="top" wrapText="1"/>
    </xf>
    <xf numFmtId="0" fontId="5" fillId="4" borderId="23" xfId="0" applyNumberFormat="1" applyFont="1" applyFill="1" applyBorder="1" applyAlignment="1">
      <alignment horizontal="left" vertical="top"/>
    </xf>
    <xf numFmtId="1" fontId="1" fillId="4" borderId="0" xfId="0" applyNumberFormat="1" applyFont="1" applyFill="1" applyBorder="1" applyAlignment="1">
      <alignment horizontal="right" vertical="center"/>
    </xf>
    <xf numFmtId="1" fontId="1" fillId="4" borderId="20" xfId="0" applyNumberFormat="1" applyFont="1" applyFill="1" applyBorder="1" applyAlignment="1">
      <alignment horizontal="right" vertical="center"/>
    </xf>
    <xf numFmtId="0" fontId="17" fillId="0" borderId="20" xfId="0" applyFont="1" applyFill="1" applyBorder="1" applyAlignment="1" applyProtection="1">
      <alignment horizontal="center" vertical="top" wrapText="1"/>
      <protection locked="0"/>
    </xf>
    <xf numFmtId="1" fontId="1" fillId="4" borderId="14" xfId="0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2000000}"/>
  </cellStyles>
  <dxfs count="13"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darkUp">
          <fgColor theme="0" tint="-0.14996795556505021"/>
        </patternFill>
      </fill>
    </dxf>
    <dxf>
      <fill>
        <patternFill patternType="lightUp">
          <f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2"/>
  <sheetViews>
    <sheetView zoomScale="110" zoomScaleNormal="110" workbookViewId="0">
      <selection activeCell="D46" sqref="D46"/>
    </sheetView>
  </sheetViews>
  <sheetFormatPr baseColWidth="10" defaultColWidth="0" defaultRowHeight="20.100000000000001" customHeight="1" x14ac:dyDescent="0.2"/>
  <cols>
    <col min="1" max="1" width="5.7109375" style="21" customWidth="1"/>
    <col min="2" max="2" width="6" style="21" customWidth="1"/>
    <col min="3" max="3" width="24.140625" style="21" customWidth="1"/>
    <col min="4" max="4" width="58.42578125" style="21" customWidth="1"/>
    <col min="5" max="5" width="13.42578125" style="21" customWidth="1"/>
    <col min="6" max="8" width="11.42578125" style="21" customWidth="1"/>
    <col min="9" max="16384" width="0" style="21" hidden="1"/>
  </cols>
  <sheetData>
    <row r="1" spans="1:256" s="7" customFormat="1" ht="84.6" customHeight="1" x14ac:dyDescent="0.25">
      <c r="A1" s="4"/>
      <c r="B1" s="156" t="s">
        <v>95</v>
      </c>
      <c r="C1" s="156"/>
      <c r="D1" s="156"/>
      <c r="E1" s="156"/>
      <c r="F1" s="16"/>
      <c r="G1" s="16"/>
      <c r="H1" s="16"/>
      <c r="K1" s="17"/>
      <c r="L1" s="17"/>
      <c r="IV1" s="18"/>
    </row>
    <row r="2" spans="1:256" s="6" customFormat="1" ht="12.75" customHeight="1" x14ac:dyDescent="0.25">
      <c r="A2" s="5"/>
      <c r="F2" s="7"/>
      <c r="IV2" s="19"/>
    </row>
    <row r="3" spans="1:256" s="6" customFormat="1" ht="31.7" customHeight="1" x14ac:dyDescent="0.25">
      <c r="A3" s="5"/>
      <c r="B3" s="8" t="s">
        <v>54</v>
      </c>
      <c r="C3" s="8"/>
      <c r="D3" s="8"/>
      <c r="E3" s="8"/>
      <c r="F3" s="7"/>
      <c r="IV3" s="19"/>
    </row>
    <row r="4" spans="1:256" s="6" customFormat="1" ht="24" customHeight="1" x14ac:dyDescent="0.25">
      <c r="A4" s="5"/>
      <c r="B4" s="155" t="s">
        <v>75</v>
      </c>
      <c r="C4" s="155"/>
      <c r="D4" s="155"/>
      <c r="E4" s="22">
        <v>0</v>
      </c>
      <c r="F4" s="51" t="s">
        <v>46</v>
      </c>
      <c r="IV4" s="19"/>
    </row>
    <row r="5" spans="1:256" s="6" customFormat="1" ht="24" customHeight="1" x14ac:dyDescent="0.25">
      <c r="A5" s="5"/>
      <c r="B5" s="155" t="s">
        <v>47</v>
      </c>
      <c r="C5" s="155"/>
      <c r="D5" s="155"/>
      <c r="E5" s="22">
        <v>0.2</v>
      </c>
      <c r="IV5" s="19"/>
    </row>
    <row r="6" spans="1:256" s="6" customFormat="1" ht="24" customHeight="1" x14ac:dyDescent="0.25">
      <c r="A6" s="5"/>
      <c r="B6" s="155" t="s">
        <v>48</v>
      </c>
      <c r="C6" s="155"/>
      <c r="D6" s="155"/>
      <c r="E6" s="22">
        <v>0.15</v>
      </c>
      <c r="IV6" s="19"/>
    </row>
    <row r="7" spans="1:256" s="6" customFormat="1" ht="24" customHeight="1" x14ac:dyDescent="0.25">
      <c r="A7" s="5"/>
      <c r="B7" s="155" t="s">
        <v>73</v>
      </c>
      <c r="C7" s="155"/>
      <c r="D7" s="155"/>
      <c r="E7" s="22">
        <v>0.15</v>
      </c>
      <c r="IV7" s="19"/>
    </row>
    <row r="8" spans="1:256" s="6" customFormat="1" ht="24" customHeight="1" x14ac:dyDescent="0.25">
      <c r="A8" s="5"/>
      <c r="B8" s="155" t="s">
        <v>74</v>
      </c>
      <c r="C8" s="155"/>
      <c r="D8" s="155"/>
      <c r="E8" s="22">
        <v>0.5</v>
      </c>
      <c r="IV8" s="19"/>
    </row>
    <row r="9" spans="1:256" s="6" customFormat="1" ht="24" customHeight="1" x14ac:dyDescent="0.25">
      <c r="A9" s="5"/>
      <c r="B9" s="9"/>
      <c r="C9" s="9"/>
      <c r="D9" s="9"/>
      <c r="E9" s="22"/>
      <c r="IV9" s="19"/>
    </row>
    <row r="10" spans="1:256" s="6" customFormat="1" ht="15" customHeight="1" x14ac:dyDescent="0.25">
      <c r="A10" s="5"/>
      <c r="C10" s="10"/>
      <c r="IV10" s="19"/>
    </row>
    <row r="11" spans="1:256" s="6" customFormat="1" ht="18.95" customHeight="1" x14ac:dyDescent="0.25">
      <c r="A11" s="5"/>
      <c r="B11" s="11"/>
      <c r="C11" s="12"/>
      <c r="D11" s="13" t="s">
        <v>1</v>
      </c>
      <c r="E11" s="23">
        <f>SUM(E4:E9)</f>
        <v>1</v>
      </c>
      <c r="IV11" s="19"/>
    </row>
    <row r="12" spans="1:256" s="6" customFormat="1" ht="14.25" customHeight="1" x14ac:dyDescent="0.25">
      <c r="A12" s="5"/>
      <c r="C12" s="12"/>
      <c r="IV12" s="19"/>
    </row>
    <row r="13" spans="1:256" s="6" customFormat="1" ht="14.25" hidden="1" customHeight="1" x14ac:dyDescent="0.25">
      <c r="A13" s="5"/>
      <c r="C13" s="12"/>
      <c r="IV13" s="19"/>
    </row>
    <row r="14" spans="1:256" s="6" customFormat="1" ht="14.25" hidden="1" customHeight="1" x14ac:dyDescent="0.25">
      <c r="A14" s="5"/>
      <c r="C14" s="12"/>
      <c r="IV14" s="19"/>
    </row>
    <row r="15" spans="1:256" s="6" customFormat="1" ht="12.75" hidden="1" customHeight="1" x14ac:dyDescent="0.25">
      <c r="A15" s="5"/>
      <c r="IV15" s="19"/>
    </row>
    <row r="16" spans="1:256" s="6" customFormat="1" ht="12.75" hidden="1" customHeight="1" x14ac:dyDescent="0.25">
      <c r="A16" s="5"/>
      <c r="IV16" s="19"/>
    </row>
    <row r="17" spans="1:256" s="6" customFormat="1" ht="12.75" hidden="1" customHeight="1" x14ac:dyDescent="0.25">
      <c r="A17" s="5"/>
      <c r="IV17" s="19"/>
    </row>
    <row r="18" spans="1:256" s="6" customFormat="1" ht="12.75" hidden="1" customHeight="1" x14ac:dyDescent="0.25">
      <c r="A18" s="5"/>
      <c r="IV18" s="19"/>
    </row>
    <row r="19" spans="1:256" s="6" customFormat="1" ht="12.75" hidden="1" customHeight="1" x14ac:dyDescent="0.25">
      <c r="A19" s="5"/>
      <c r="IV19" s="19"/>
    </row>
    <row r="20" spans="1:256" s="6" customFormat="1" ht="12.75" hidden="1" customHeight="1" x14ac:dyDescent="0.25">
      <c r="A20" s="5"/>
      <c r="IV20" s="19"/>
    </row>
    <row r="21" spans="1:256" s="6" customFormat="1" ht="12.75" hidden="1" customHeight="1" x14ac:dyDescent="0.25">
      <c r="A21" s="5"/>
      <c r="IV21" s="19"/>
    </row>
    <row r="22" spans="1:256" s="6" customFormat="1" ht="12.75" hidden="1" customHeight="1" x14ac:dyDescent="0.25">
      <c r="A22" s="5"/>
      <c r="IV22" s="19"/>
    </row>
    <row r="23" spans="1:256" s="6" customFormat="1" ht="15" hidden="1" customHeight="1" x14ac:dyDescent="0.25">
      <c r="A23" s="5"/>
      <c r="B23" s="12"/>
      <c r="C23" s="7"/>
      <c r="D23" s="7"/>
      <c r="E23" s="7"/>
      <c r="F23" s="7"/>
      <c r="IV23" s="19"/>
    </row>
    <row r="24" spans="1:256" s="6" customFormat="1" ht="15" hidden="1" customHeight="1" x14ac:dyDescent="0.25">
      <c r="A24" s="5"/>
      <c r="B24" s="12"/>
      <c r="C24" s="7"/>
      <c r="D24" s="7"/>
      <c r="E24" s="7"/>
      <c r="F24" s="12"/>
      <c r="IV24" s="19"/>
    </row>
    <row r="25" spans="1:256" s="6" customFormat="1" ht="15" hidden="1" customHeight="1" x14ac:dyDescent="0.25">
      <c r="A25" s="5"/>
      <c r="B25" s="12"/>
      <c r="C25" s="7"/>
      <c r="D25" s="7"/>
      <c r="E25" s="7"/>
      <c r="F25" s="7"/>
      <c r="I25" s="10"/>
      <c r="IV25" s="19"/>
    </row>
    <row r="26" spans="1:256" s="6" customFormat="1" ht="15" hidden="1" customHeight="1" x14ac:dyDescent="0.25">
      <c r="A26" s="5"/>
      <c r="B26" s="12"/>
      <c r="C26" s="7"/>
      <c r="D26" s="7"/>
      <c r="E26" s="7"/>
      <c r="F26" s="7"/>
      <c r="IV26" s="19"/>
    </row>
    <row r="27" spans="1:256" s="6" customFormat="1" ht="15" hidden="1" customHeight="1" x14ac:dyDescent="0.25">
      <c r="A27" s="5"/>
      <c r="B27" s="12"/>
      <c r="C27" s="7"/>
      <c r="D27" s="7"/>
      <c r="E27" s="7"/>
      <c r="F27" s="7"/>
      <c r="IV27" s="19"/>
    </row>
    <row r="28" spans="1:256" s="6" customFormat="1" ht="14.25" hidden="1" customHeight="1" x14ac:dyDescent="0.25">
      <c r="A28" s="5"/>
      <c r="B28" s="12"/>
      <c r="IV28" s="19"/>
    </row>
    <row r="29" spans="1:256" s="6" customFormat="1" ht="15" hidden="1" customHeight="1" x14ac:dyDescent="0.25">
      <c r="A29" s="5"/>
      <c r="C29" s="12"/>
      <c r="IV29" s="19"/>
    </row>
    <row r="30" spans="1:256" s="6" customFormat="1" ht="15" hidden="1" customHeight="1" x14ac:dyDescent="0.25">
      <c r="A30" s="5"/>
      <c r="B30" s="10"/>
      <c r="C30" s="10"/>
      <c r="IV30" s="19"/>
    </row>
    <row r="31" spans="1:256" s="6" customFormat="1" ht="15" hidden="1" customHeight="1" x14ac:dyDescent="0.25">
      <c r="A31" s="5"/>
      <c r="E31" s="10"/>
      <c r="IV31" s="19"/>
    </row>
    <row r="32" spans="1:256" s="6" customFormat="1" ht="14.25" hidden="1" customHeight="1" x14ac:dyDescent="0.25">
      <c r="A32" s="5"/>
      <c r="B32" s="10"/>
      <c r="IV32" s="19"/>
    </row>
    <row r="33" spans="1:256" s="6" customFormat="1" ht="15" hidden="1" customHeight="1" x14ac:dyDescent="0.25">
      <c r="A33" s="5"/>
      <c r="D33" s="12"/>
      <c r="IV33" s="19"/>
    </row>
    <row r="34" spans="1:256" s="6" customFormat="1" ht="15" hidden="1" customHeight="1" x14ac:dyDescent="0.25">
      <c r="A34" s="5"/>
      <c r="C34" s="12"/>
      <c r="D34" s="12"/>
      <c r="E34" s="12"/>
      <c r="F34" s="12"/>
      <c r="G34" s="12"/>
      <c r="IV34" s="19"/>
    </row>
    <row r="35" spans="1:256" s="6" customFormat="1" ht="14.25" hidden="1" customHeight="1" x14ac:dyDescent="0.25">
      <c r="A35" s="5"/>
      <c r="D35" s="12"/>
      <c r="IV35" s="19"/>
    </row>
    <row r="36" spans="1:256" s="6" customFormat="1" ht="15" hidden="1" customHeight="1" x14ac:dyDescent="0.25">
      <c r="A36" s="5"/>
      <c r="D36" s="12"/>
      <c r="IV36" s="19"/>
    </row>
    <row r="37" spans="1:256" s="15" customFormat="1" ht="12.75" customHeight="1" x14ac:dyDescent="0.25">
      <c r="A37" s="14"/>
      <c r="IV37" s="20"/>
    </row>
    <row r="38" spans="1:256" ht="20.100000000000001" customHeight="1" x14ac:dyDescent="0.2">
      <c r="B38" s="144" t="s">
        <v>96</v>
      </c>
      <c r="C38" s="144"/>
      <c r="D38" s="144"/>
      <c r="E38" s="144"/>
    </row>
    <row r="39" spans="1:256" ht="20.100000000000001" customHeight="1" x14ac:dyDescent="0.2">
      <c r="B39" s="145" t="s">
        <v>97</v>
      </c>
      <c r="C39" s="154" t="s">
        <v>98</v>
      </c>
      <c r="D39" s="154"/>
      <c r="E39" s="146">
        <v>0.4</v>
      </c>
    </row>
    <row r="40" spans="1:256" ht="20.100000000000001" customHeight="1" x14ac:dyDescent="0.2">
      <c r="B40" s="147" t="s">
        <v>0</v>
      </c>
      <c r="C40" s="154" t="s">
        <v>99</v>
      </c>
      <c r="D40" s="154"/>
      <c r="E40" s="146">
        <v>0.6</v>
      </c>
    </row>
    <row r="41" spans="1:256" ht="20.100000000000001" customHeight="1" x14ac:dyDescent="0.2">
      <c r="B41" s="148"/>
      <c r="C41" s="149"/>
      <c r="D41" s="148"/>
      <c r="E41" s="148"/>
    </row>
    <row r="42" spans="1:256" ht="20.100000000000001" customHeight="1" x14ac:dyDescent="0.2">
      <c r="B42" s="150"/>
      <c r="C42" s="151"/>
      <c r="D42" s="152" t="s">
        <v>1</v>
      </c>
      <c r="E42" s="153">
        <f>SUM(E39:E40)</f>
        <v>1</v>
      </c>
    </row>
  </sheetData>
  <mergeCells count="8">
    <mergeCell ref="C39:D39"/>
    <mergeCell ref="C40:D40"/>
    <mergeCell ref="B7:D7"/>
    <mergeCell ref="B8:D8"/>
    <mergeCell ref="B1:E1"/>
    <mergeCell ref="B4:D4"/>
    <mergeCell ref="B5:D5"/>
    <mergeCell ref="B6:D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C16C-A186-48CF-B4A1-9D188A2A751E}">
  <dimension ref="A1:S40"/>
  <sheetViews>
    <sheetView zoomScale="90" zoomScaleNormal="90" workbookViewId="0">
      <pane ySplit="5" topLeftCell="A21" activePane="bottomLeft" state="frozen"/>
      <selection pane="bottomLeft" activeCell="A27" sqref="A27"/>
    </sheetView>
  </sheetViews>
  <sheetFormatPr baseColWidth="10" defaultColWidth="11.42578125" defaultRowHeight="15" outlineLevelRow="1" x14ac:dyDescent="0.25"/>
  <cols>
    <col min="1" max="1" width="5.140625" customWidth="1"/>
    <col min="2" max="2" width="5.42578125" customWidth="1"/>
    <col min="3" max="3" width="96.28515625" customWidth="1"/>
    <col min="4" max="4" width="12.85546875" style="25" customWidth="1"/>
    <col min="5" max="7" width="18.85546875" customWidth="1"/>
    <col min="8" max="8" width="19.85546875" style="25" hidden="1" customWidth="1"/>
    <col min="9" max="9" width="15.28515625" customWidth="1"/>
    <col min="10" max="10" width="12.85546875" customWidth="1"/>
    <col min="11" max="11" width="25.140625" customWidth="1"/>
    <col min="12" max="12" width="19.85546875" style="25" hidden="1" customWidth="1"/>
    <col min="13" max="13" width="15.28515625" customWidth="1"/>
    <col min="14" max="14" width="12.85546875" customWidth="1"/>
    <col min="15" max="15" width="25.140625" customWidth="1"/>
    <col min="16" max="16" width="19.85546875" style="25" hidden="1" customWidth="1"/>
    <col min="17" max="17" width="15.28515625" customWidth="1"/>
    <col min="18" max="18" width="12.85546875" customWidth="1"/>
    <col min="19" max="19" width="25.140625" customWidth="1"/>
  </cols>
  <sheetData>
    <row r="1" spans="1:19" ht="50.25" customHeight="1" x14ac:dyDescent="0.25">
      <c r="A1" s="168" t="str">
        <f>'Gewichtung  (Start)'!B1</f>
        <v>Prüfmatrix zur Ausschreibung
"Betriebsunterstützung im Bereich der Datenbankmanagementsysteme (DBMS)"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/>
      <c r="P1"/>
    </row>
    <row r="2" spans="1:19" x14ac:dyDescent="0.25">
      <c r="A2" s="43"/>
      <c r="B2" s="44"/>
      <c r="C2" s="44"/>
      <c r="D2" s="45"/>
      <c r="E2" s="44"/>
      <c r="F2" s="44"/>
      <c r="G2" s="44"/>
      <c r="H2" s="45"/>
      <c r="I2" s="44"/>
      <c r="J2" s="44"/>
      <c r="K2" s="45"/>
      <c r="L2" s="45"/>
      <c r="M2" s="44"/>
      <c r="N2" s="44"/>
      <c r="O2" s="45"/>
      <c r="P2" s="45"/>
      <c r="Q2" s="44"/>
      <c r="R2" s="44"/>
      <c r="S2" s="45"/>
    </row>
    <row r="3" spans="1:19" x14ac:dyDescent="0.25">
      <c r="A3" s="30"/>
      <c r="B3" s="30"/>
      <c r="C3" s="30"/>
      <c r="D3" s="170" t="s">
        <v>2</v>
      </c>
      <c r="E3" s="171"/>
      <c r="F3" s="171"/>
      <c r="G3" s="171"/>
      <c r="H3" s="55"/>
      <c r="I3" s="172" t="s">
        <v>3</v>
      </c>
      <c r="J3" s="173"/>
      <c r="K3" s="174"/>
      <c r="L3" s="55"/>
      <c r="M3" s="172" t="s">
        <v>53</v>
      </c>
      <c r="N3" s="173"/>
      <c r="O3" s="174"/>
      <c r="P3" s="55"/>
      <c r="Q3" s="172" t="s">
        <v>55</v>
      </c>
      <c r="R3" s="173"/>
      <c r="S3" s="174"/>
    </row>
    <row r="4" spans="1:19" ht="45" customHeight="1" x14ac:dyDescent="0.25">
      <c r="A4" s="1"/>
      <c r="B4" s="2"/>
      <c r="C4" s="3"/>
      <c r="D4" s="38" t="s">
        <v>4</v>
      </c>
      <c r="E4" s="166" t="s">
        <v>5</v>
      </c>
      <c r="F4" s="166"/>
      <c r="G4" s="167"/>
      <c r="H4" s="56" t="s">
        <v>6</v>
      </c>
      <c r="I4" s="73" t="s">
        <v>7</v>
      </c>
      <c r="J4" s="52" t="s">
        <v>8</v>
      </c>
      <c r="K4" s="53" t="s">
        <v>9</v>
      </c>
      <c r="L4" s="56" t="s">
        <v>6</v>
      </c>
      <c r="M4" s="73" t="s">
        <v>7</v>
      </c>
      <c r="N4" s="52" t="s">
        <v>8</v>
      </c>
      <c r="O4" s="53" t="s">
        <v>9</v>
      </c>
      <c r="P4" s="56" t="s">
        <v>6</v>
      </c>
      <c r="Q4" s="73" t="s">
        <v>7</v>
      </c>
      <c r="R4" s="52" t="s">
        <v>8</v>
      </c>
      <c r="S4" s="53" t="s">
        <v>9</v>
      </c>
    </row>
    <row r="5" spans="1:19" ht="15.75" x14ac:dyDescent="0.25">
      <c r="A5" s="26" t="s">
        <v>10</v>
      </c>
      <c r="B5" s="27" t="s">
        <v>11</v>
      </c>
      <c r="C5" s="28" t="s">
        <v>12</v>
      </c>
      <c r="D5" s="26"/>
      <c r="E5" s="26">
        <v>1</v>
      </c>
      <c r="F5" s="26">
        <v>2</v>
      </c>
      <c r="G5" s="26">
        <v>3</v>
      </c>
      <c r="H5" s="57"/>
      <c r="I5" s="80" t="s">
        <v>56</v>
      </c>
      <c r="J5" s="28"/>
      <c r="K5" s="28"/>
      <c r="L5" s="28"/>
      <c r="M5" s="80" t="s">
        <v>56</v>
      </c>
      <c r="N5" s="28"/>
      <c r="O5" s="28"/>
      <c r="P5" s="28"/>
      <c r="Q5" s="80" t="s">
        <v>56</v>
      </c>
      <c r="R5" s="28"/>
      <c r="S5" s="28"/>
    </row>
    <row r="6" spans="1:19" ht="21" x14ac:dyDescent="0.25">
      <c r="A6" s="81" t="e">
        <f>'Gewichtung  (Start)'!#REF! &amp; " " &amp;'Gewichtung  (Start)'!$B$5 &amp; " (Gewichtung: " &amp;'Gewichtung  (Start)'!$E$5*100&amp;"%)"</f>
        <v>#REF!</v>
      </c>
      <c r="B6" s="81"/>
      <c r="C6" s="81"/>
      <c r="D6" s="162" t="str">
        <f>"Anzahl B - Kriterien in Gruppe:  " &amp; COUNTIF(B7:B10,"B")</f>
        <v>Anzahl B - Kriterien in Gruppe:  4</v>
      </c>
      <c r="E6" s="163"/>
      <c r="F6" s="163"/>
      <c r="G6" s="163"/>
      <c r="H6" s="42"/>
      <c r="I6" s="67"/>
      <c r="J6" s="81"/>
      <c r="K6" s="68"/>
      <c r="L6" s="81"/>
      <c r="M6" s="67"/>
      <c r="N6" s="81"/>
      <c r="O6" s="39"/>
      <c r="P6" s="42"/>
      <c r="Q6" s="67"/>
      <c r="R6" s="81"/>
      <c r="S6" s="39"/>
    </row>
    <row r="7" spans="1:19" ht="30" outlineLevel="1" x14ac:dyDescent="0.25">
      <c r="A7" s="33" t="s">
        <v>13</v>
      </c>
      <c r="B7" s="32" t="s">
        <v>21</v>
      </c>
      <c r="C7" s="30" t="s">
        <v>17</v>
      </c>
      <c r="D7" s="35">
        <v>50</v>
      </c>
      <c r="E7" s="36" t="str">
        <f>IF(B7&lt;&gt;"A","trifft nicht zu","")</f>
        <v>trifft nicht zu</v>
      </c>
      <c r="F7" s="36" t="str">
        <f>IF(B7&lt;&gt;"A","zum Teil erfüllt","")</f>
        <v>zum Teil erfüllt</v>
      </c>
      <c r="G7" s="75" t="str">
        <f>IF(B7&lt;&gt;"A","voll zutreffend","")</f>
        <v>voll zutreffend</v>
      </c>
      <c r="H7" s="65" t="str">
        <f t="shared" ref="H7:H9" si="0">IF(B7="A","(Antwort: ja/nein)","")</f>
        <v/>
      </c>
      <c r="I7" s="37">
        <v>3</v>
      </c>
      <c r="J7" s="37">
        <f t="shared" ref="J7:J10" si="1">IF(OR($B7="A",$B7="I"),"",$D7*I7)</f>
        <v>150</v>
      </c>
      <c r="K7" s="69"/>
      <c r="L7" s="65" t="str">
        <f t="shared" ref="L7:L9" si="2">IF(F7="A","(Antwort: ja/nein)","")</f>
        <v/>
      </c>
      <c r="M7" s="37">
        <v>2</v>
      </c>
      <c r="N7" s="37">
        <f t="shared" ref="N7:N10" si="3">IF(OR($B7="A",$B7="I"),"",$D7*M7)</f>
        <v>100</v>
      </c>
      <c r="O7" s="69"/>
      <c r="P7" s="65" t="str">
        <f t="shared" ref="P7:P9" si="4">IF(J7="A","(Antwort: ja/nein)","")</f>
        <v/>
      </c>
      <c r="Q7" s="78">
        <v>3</v>
      </c>
      <c r="R7" s="37">
        <f t="shared" ref="R7:R10" si="5">IF(OR($B7="A",$B7="I"),"",$D7*Q7)</f>
        <v>150</v>
      </c>
      <c r="S7" s="46"/>
    </row>
    <row r="8" spans="1:19" ht="275.25" customHeight="1" outlineLevel="1" x14ac:dyDescent="0.25">
      <c r="A8" s="33" t="s">
        <v>14</v>
      </c>
      <c r="B8" s="32" t="s">
        <v>21</v>
      </c>
      <c r="C8" s="30" t="s">
        <v>22</v>
      </c>
      <c r="D8" s="35">
        <v>40</v>
      </c>
      <c r="E8" s="36" t="str">
        <f>IF(B8&lt;&gt;"A","trifft nicht zu","")</f>
        <v>trifft nicht zu</v>
      </c>
      <c r="F8" s="36" t="str">
        <f>IF(B8&lt;&gt;"A","zum Teil erfüllt","")</f>
        <v>zum Teil erfüllt</v>
      </c>
      <c r="G8" s="75" t="str">
        <f>IF(B8&lt;&gt;"A","voll zutreffend","")</f>
        <v>voll zutreffend</v>
      </c>
      <c r="H8" s="65" t="str">
        <f t="shared" si="0"/>
        <v/>
      </c>
      <c r="I8" s="37">
        <v>2</v>
      </c>
      <c r="J8" s="37">
        <f t="shared" si="1"/>
        <v>80</v>
      </c>
      <c r="K8" s="69"/>
      <c r="L8" s="65" t="str">
        <f t="shared" si="2"/>
        <v/>
      </c>
      <c r="M8" s="37">
        <v>2</v>
      </c>
      <c r="N8" s="37">
        <f t="shared" si="3"/>
        <v>80</v>
      </c>
      <c r="O8" s="69"/>
      <c r="P8" s="65" t="str">
        <f t="shared" si="4"/>
        <v/>
      </c>
      <c r="Q8" s="37">
        <v>3</v>
      </c>
      <c r="R8" s="37">
        <f t="shared" si="5"/>
        <v>120</v>
      </c>
      <c r="S8" s="46"/>
    </row>
    <row r="9" spans="1:19" ht="63.75" outlineLevel="1" x14ac:dyDescent="0.25">
      <c r="A9" s="33" t="s">
        <v>15</v>
      </c>
      <c r="B9" s="32" t="s">
        <v>21</v>
      </c>
      <c r="C9" s="30" t="s">
        <v>23</v>
      </c>
      <c r="D9" s="35">
        <v>30</v>
      </c>
      <c r="E9" s="36" t="s">
        <v>24</v>
      </c>
      <c r="F9" s="36" t="s">
        <v>25</v>
      </c>
      <c r="G9" s="75" t="s">
        <v>26</v>
      </c>
      <c r="H9" s="65" t="str">
        <f t="shared" si="0"/>
        <v/>
      </c>
      <c r="I9" s="37">
        <v>2</v>
      </c>
      <c r="J9" s="37">
        <f t="shared" si="1"/>
        <v>60</v>
      </c>
      <c r="K9" s="69"/>
      <c r="L9" s="65" t="str">
        <f t="shared" si="2"/>
        <v/>
      </c>
      <c r="M9" s="37">
        <v>3</v>
      </c>
      <c r="N9" s="37">
        <f t="shared" si="3"/>
        <v>90</v>
      </c>
      <c r="O9" s="69"/>
      <c r="P9" s="65" t="str">
        <f t="shared" si="4"/>
        <v/>
      </c>
      <c r="Q9" s="37">
        <v>3</v>
      </c>
      <c r="R9" s="37">
        <f t="shared" si="5"/>
        <v>90</v>
      </c>
      <c r="S9" s="46"/>
    </row>
    <row r="10" spans="1:19" ht="41.25" customHeight="1" outlineLevel="1" x14ac:dyDescent="0.25">
      <c r="A10" s="33" t="s">
        <v>16</v>
      </c>
      <c r="B10" s="32" t="s">
        <v>21</v>
      </c>
      <c r="C10" s="30" t="s">
        <v>59</v>
      </c>
      <c r="D10" s="35">
        <v>30</v>
      </c>
      <c r="E10" s="36" t="s">
        <v>39</v>
      </c>
      <c r="F10" s="36" t="s">
        <v>40</v>
      </c>
      <c r="G10" s="75" t="s">
        <v>41</v>
      </c>
      <c r="H10" s="65"/>
      <c r="I10" s="37">
        <v>2</v>
      </c>
      <c r="J10" s="37">
        <f t="shared" si="1"/>
        <v>60</v>
      </c>
      <c r="K10" s="69"/>
      <c r="L10" s="65"/>
      <c r="M10" s="37">
        <v>3</v>
      </c>
      <c r="N10" s="37">
        <f t="shared" si="3"/>
        <v>90</v>
      </c>
      <c r="O10" s="69"/>
      <c r="P10" s="65"/>
      <c r="Q10" s="37">
        <v>3</v>
      </c>
      <c r="R10" s="37">
        <f t="shared" si="5"/>
        <v>90</v>
      </c>
      <c r="S10" s="46"/>
    </row>
    <row r="11" spans="1:19" ht="21" x14ac:dyDescent="0.25">
      <c r="A11" s="81" t="e">
        <f>'Gewichtung  (Start)'!#REF! &amp; " " &amp;'Gewichtung  (Start)'!$B$7 &amp; " (Gewichtung: " &amp;'Gewichtung  (Start)'!$E$7*100&amp;"%)"</f>
        <v>#REF!</v>
      </c>
      <c r="B11" s="81"/>
      <c r="C11" s="81"/>
      <c r="D11" s="162" t="str">
        <f>"Anzahl B - Kriterien in Gruppe:  " &amp; COUNTIF(B12:B15,"B")</f>
        <v>Anzahl B - Kriterien in Gruppe:  4</v>
      </c>
      <c r="E11" s="163"/>
      <c r="F11" s="163"/>
      <c r="G11" s="164"/>
      <c r="H11" s="24"/>
      <c r="I11" s="24"/>
      <c r="J11" s="24"/>
      <c r="K11" s="70"/>
      <c r="L11" s="24"/>
      <c r="M11" s="24"/>
      <c r="N11" s="24"/>
      <c r="O11" s="70"/>
      <c r="P11" s="24"/>
      <c r="Q11" s="24"/>
      <c r="R11" s="24"/>
      <c r="S11" s="40"/>
    </row>
    <row r="12" spans="1:19" ht="51" outlineLevel="1" x14ac:dyDescent="0.25">
      <c r="A12" s="33" t="s">
        <v>18</v>
      </c>
      <c r="B12" s="32" t="s">
        <v>21</v>
      </c>
      <c r="C12" s="30" t="s">
        <v>29</v>
      </c>
      <c r="D12" s="35">
        <v>90</v>
      </c>
      <c r="E12" s="36" t="s">
        <v>30</v>
      </c>
      <c r="F12" s="36" t="s">
        <v>31</v>
      </c>
      <c r="G12" s="75" t="s">
        <v>32</v>
      </c>
      <c r="H12" s="65" t="str">
        <f t="shared" ref="H12:H15" si="6">IF(B12="A","(Antwort: ja/nein)","")</f>
        <v/>
      </c>
      <c r="I12" s="37">
        <v>2</v>
      </c>
      <c r="J12" s="37">
        <f t="shared" ref="J12:J15" si="7">IF(OR($B12="A",$B12="I"),"",$D12*I12)</f>
        <v>180</v>
      </c>
      <c r="K12" s="69"/>
      <c r="L12" s="65" t="str">
        <f t="shared" ref="L12:L15" si="8">IF(F12="A","(Antwort: ja/nein)","")</f>
        <v/>
      </c>
      <c r="M12" s="37">
        <v>2</v>
      </c>
      <c r="N12" s="37">
        <f t="shared" ref="N12:N15" si="9">IF(OR($B12="A",$B12="I"),"",$D12*M12)</f>
        <v>180</v>
      </c>
      <c r="O12" s="69"/>
      <c r="P12" s="65" t="str">
        <f t="shared" ref="P12:P15" si="10">IF(J12="A","(Antwort: ja/nein)","")</f>
        <v/>
      </c>
      <c r="Q12" s="37">
        <v>3</v>
      </c>
      <c r="R12" s="37">
        <f t="shared" ref="R12:R15" si="11">IF(OR($B12="A",$B12="I"),"",$D12*Q12)</f>
        <v>270</v>
      </c>
      <c r="S12" s="46"/>
    </row>
    <row r="13" spans="1:19" ht="51" outlineLevel="1" x14ac:dyDescent="0.25">
      <c r="A13" s="33" t="s">
        <v>19</v>
      </c>
      <c r="B13" s="32" t="s">
        <v>21</v>
      </c>
      <c r="C13" s="30" t="s">
        <v>34</v>
      </c>
      <c r="D13" s="35">
        <v>90</v>
      </c>
      <c r="E13" s="36" t="s">
        <v>30</v>
      </c>
      <c r="F13" s="36" t="s">
        <v>31</v>
      </c>
      <c r="G13" s="75" t="s">
        <v>32</v>
      </c>
      <c r="H13" s="65" t="str">
        <f t="shared" si="6"/>
        <v/>
      </c>
      <c r="I13" s="37">
        <v>2</v>
      </c>
      <c r="J13" s="37">
        <f t="shared" si="7"/>
        <v>180</v>
      </c>
      <c r="K13" s="69"/>
      <c r="L13" s="65" t="str">
        <f t="shared" si="8"/>
        <v/>
      </c>
      <c r="M13" s="37">
        <v>2</v>
      </c>
      <c r="N13" s="37">
        <f t="shared" si="9"/>
        <v>180</v>
      </c>
      <c r="O13" s="69"/>
      <c r="P13" s="65" t="str">
        <f t="shared" si="10"/>
        <v/>
      </c>
      <c r="Q13" s="37">
        <v>3</v>
      </c>
      <c r="R13" s="37">
        <f t="shared" si="11"/>
        <v>270</v>
      </c>
      <c r="S13" s="46"/>
    </row>
    <row r="14" spans="1:19" ht="51" outlineLevel="1" x14ac:dyDescent="0.25">
      <c r="A14" s="33" t="s">
        <v>20</v>
      </c>
      <c r="B14" s="32" t="s">
        <v>21</v>
      </c>
      <c r="C14" s="30" t="s">
        <v>36</v>
      </c>
      <c r="D14" s="35">
        <v>90</v>
      </c>
      <c r="E14" s="36" t="s">
        <v>30</v>
      </c>
      <c r="F14" s="36" t="s">
        <v>31</v>
      </c>
      <c r="G14" s="75" t="s">
        <v>32</v>
      </c>
      <c r="H14" s="65" t="str">
        <f t="shared" si="6"/>
        <v/>
      </c>
      <c r="I14" s="37">
        <v>2</v>
      </c>
      <c r="J14" s="37">
        <f t="shared" si="7"/>
        <v>180</v>
      </c>
      <c r="K14" s="69"/>
      <c r="L14" s="65" t="str">
        <f t="shared" si="8"/>
        <v/>
      </c>
      <c r="M14" s="37">
        <v>3</v>
      </c>
      <c r="N14" s="37">
        <f t="shared" si="9"/>
        <v>270</v>
      </c>
      <c r="O14" s="69"/>
      <c r="P14" s="65" t="str">
        <f t="shared" si="10"/>
        <v/>
      </c>
      <c r="Q14" s="37">
        <v>3</v>
      </c>
      <c r="R14" s="37">
        <f t="shared" si="11"/>
        <v>270</v>
      </c>
      <c r="S14" s="46"/>
    </row>
    <row r="15" spans="1:19" ht="51" outlineLevel="1" x14ac:dyDescent="0.25">
      <c r="A15" s="33" t="s">
        <v>57</v>
      </c>
      <c r="B15" s="32" t="s">
        <v>21</v>
      </c>
      <c r="C15" s="30" t="s">
        <v>37</v>
      </c>
      <c r="D15" s="35">
        <v>80</v>
      </c>
      <c r="E15" s="36" t="s">
        <v>30</v>
      </c>
      <c r="F15" s="36" t="s">
        <v>31</v>
      </c>
      <c r="G15" s="75" t="s">
        <v>32</v>
      </c>
      <c r="H15" s="65" t="str">
        <f t="shared" si="6"/>
        <v/>
      </c>
      <c r="I15" s="37">
        <v>2</v>
      </c>
      <c r="J15" s="37">
        <f t="shared" si="7"/>
        <v>160</v>
      </c>
      <c r="K15" s="69"/>
      <c r="L15" s="65" t="str">
        <f t="shared" si="8"/>
        <v/>
      </c>
      <c r="M15" s="37">
        <v>3</v>
      </c>
      <c r="N15" s="37">
        <f t="shared" si="9"/>
        <v>240</v>
      </c>
      <c r="O15" s="69"/>
      <c r="P15" s="65" t="str">
        <f t="shared" si="10"/>
        <v/>
      </c>
      <c r="Q15" s="37">
        <v>3</v>
      </c>
      <c r="R15" s="37">
        <f t="shared" si="11"/>
        <v>240</v>
      </c>
      <c r="S15" s="46"/>
    </row>
    <row r="16" spans="1:19" ht="21" x14ac:dyDescent="0.25">
      <c r="A16" s="165" t="e">
        <f>'Gewichtung  (Start)'!#REF! &amp; " " &amp;'Gewichtung  (Start)'!$B$8 &amp; " (Gewichtung: " &amp;'Gewichtung  (Start)'!$E$8*100&amp;"%)"</f>
        <v>#REF!</v>
      </c>
      <c r="B16" s="165"/>
      <c r="C16" s="165"/>
      <c r="D16" s="162" t="str">
        <f>"Anzahl B - Kriterien in Gruppe:  " &amp;  COUNTIF(B17:B20,"B")</f>
        <v>Anzahl B - Kriterien in Gruppe:  4</v>
      </c>
      <c r="E16" s="163"/>
      <c r="F16" s="163"/>
      <c r="G16" s="164"/>
      <c r="H16" s="24"/>
      <c r="I16" s="24"/>
      <c r="J16" s="24"/>
      <c r="K16" s="70"/>
      <c r="L16" s="24"/>
      <c r="M16" s="24"/>
      <c r="N16" s="24"/>
      <c r="O16" s="70"/>
      <c r="P16" s="24"/>
      <c r="Q16" s="24"/>
      <c r="R16" s="24"/>
      <c r="S16" s="40"/>
    </row>
    <row r="17" spans="1:19" ht="37.5" customHeight="1" outlineLevel="1" x14ac:dyDescent="0.25">
      <c r="A17" s="33" t="s">
        <v>27</v>
      </c>
      <c r="B17" s="32" t="s">
        <v>21</v>
      </c>
      <c r="C17" s="30" t="s">
        <v>38</v>
      </c>
      <c r="D17" s="35">
        <v>125</v>
      </c>
      <c r="E17" s="36" t="s">
        <v>39</v>
      </c>
      <c r="F17" s="36" t="s">
        <v>40</v>
      </c>
      <c r="G17" s="75" t="s">
        <v>41</v>
      </c>
      <c r="H17" s="65" t="str">
        <f>IF(B17="A","(Antwort: ja/nein)","")</f>
        <v/>
      </c>
      <c r="I17" s="37">
        <v>2</v>
      </c>
      <c r="J17" s="37">
        <f>IF(OR($B17="A",$B17="I"),"",$D17*I17)</f>
        <v>250</v>
      </c>
      <c r="K17" s="69"/>
      <c r="L17" s="65" t="str">
        <f>IF(F17="A","(Antwort: ja/nein)","")</f>
        <v/>
      </c>
      <c r="M17" s="37">
        <v>3</v>
      </c>
      <c r="N17" s="37">
        <f>IF(OR($B17="A",$B17="I"),"",$D17*M17)</f>
        <v>375</v>
      </c>
      <c r="O17" s="69"/>
      <c r="P17" s="65" t="str">
        <f>IF(J17="A","(Antwort: ja/nein)","")</f>
        <v/>
      </c>
      <c r="Q17" s="37">
        <v>3</v>
      </c>
      <c r="R17" s="37">
        <f>IF(OR($B17="A",$B17="I"),"",$D17*Q17)</f>
        <v>375</v>
      </c>
      <c r="S17" s="46"/>
    </row>
    <row r="18" spans="1:19" ht="37.5" customHeight="1" outlineLevel="1" x14ac:dyDescent="0.25">
      <c r="A18" s="33" t="s">
        <v>28</v>
      </c>
      <c r="B18" s="32" t="s">
        <v>21</v>
      </c>
      <c r="C18" s="30" t="s">
        <v>42</v>
      </c>
      <c r="D18" s="35">
        <v>125</v>
      </c>
      <c r="E18" s="36" t="s">
        <v>39</v>
      </c>
      <c r="F18" s="36" t="s">
        <v>40</v>
      </c>
      <c r="G18" s="75" t="s">
        <v>41</v>
      </c>
      <c r="H18" s="65" t="str">
        <f>IF(B18="A","(Antwort: ja/nein)","")</f>
        <v/>
      </c>
      <c r="I18" s="37">
        <v>1</v>
      </c>
      <c r="J18" s="37">
        <f>IF(OR($B18="A",$B18="I"),"",$D18*I18)</f>
        <v>125</v>
      </c>
      <c r="K18" s="69"/>
      <c r="L18" s="65" t="str">
        <f>IF(F18="A","(Antwort: ja/nein)","")</f>
        <v/>
      </c>
      <c r="M18" s="37">
        <v>2</v>
      </c>
      <c r="N18" s="37">
        <f>IF(OR($B18="A",$B18="I"),"",$D18*M18)</f>
        <v>250</v>
      </c>
      <c r="O18" s="69"/>
      <c r="P18" s="65" t="str">
        <f>IF(J18="A","(Antwort: ja/nein)","")</f>
        <v/>
      </c>
      <c r="Q18" s="37">
        <v>3</v>
      </c>
      <c r="R18" s="37">
        <f>IF(OR($B18="A",$B18="I"),"",$D18*Q18)</f>
        <v>375</v>
      </c>
      <c r="S18" s="46"/>
    </row>
    <row r="19" spans="1:19" ht="37.5" customHeight="1" outlineLevel="1" x14ac:dyDescent="0.25">
      <c r="A19" s="33" t="s">
        <v>33</v>
      </c>
      <c r="B19" s="32" t="s">
        <v>21</v>
      </c>
      <c r="C19" s="30" t="s">
        <v>43</v>
      </c>
      <c r="D19" s="35">
        <v>125</v>
      </c>
      <c r="E19" s="36" t="s">
        <v>39</v>
      </c>
      <c r="F19" s="36" t="s">
        <v>40</v>
      </c>
      <c r="G19" s="75" t="s">
        <v>41</v>
      </c>
      <c r="H19" s="65" t="str">
        <f>IF(B19="A","(Antwort: ja/nein)","")</f>
        <v/>
      </c>
      <c r="I19" s="37">
        <v>2</v>
      </c>
      <c r="J19" s="37">
        <f>IF(OR($B19="A",$B19="I"),"",$D19*I19)</f>
        <v>250</v>
      </c>
      <c r="K19" s="69"/>
      <c r="L19" s="65" t="str">
        <f>IF(F19="A","(Antwort: ja/nein)","")</f>
        <v/>
      </c>
      <c r="M19" s="37">
        <v>2</v>
      </c>
      <c r="N19" s="37">
        <f>IF(OR($B19="A",$B19="I"),"",$D19*M19)</f>
        <v>250</v>
      </c>
      <c r="O19" s="69"/>
      <c r="P19" s="65" t="str">
        <f>IF(J19="A","(Antwort: ja/nein)","")</f>
        <v/>
      </c>
      <c r="Q19" s="37">
        <v>3</v>
      </c>
      <c r="R19" s="37">
        <f>IF(OR($B19="A",$B19="I"),"",$D19*Q19)</f>
        <v>375</v>
      </c>
      <c r="S19" s="46"/>
    </row>
    <row r="20" spans="1:19" ht="37.5" customHeight="1" outlineLevel="1" x14ac:dyDescent="0.25">
      <c r="A20" s="33" t="s">
        <v>35</v>
      </c>
      <c r="B20" s="32" t="s">
        <v>21</v>
      </c>
      <c r="C20" s="30" t="s">
        <v>58</v>
      </c>
      <c r="D20" s="35">
        <v>125</v>
      </c>
      <c r="E20" s="36" t="s">
        <v>39</v>
      </c>
      <c r="F20" s="36" t="s">
        <v>40</v>
      </c>
      <c r="G20" s="75" t="s">
        <v>41</v>
      </c>
      <c r="H20" s="65" t="str">
        <f>IF(B20="A","(Antwort: ja/nein)","")</f>
        <v/>
      </c>
      <c r="I20" s="37">
        <v>1</v>
      </c>
      <c r="J20" s="37">
        <f>IF(OR($B20="A",$B20="I"),"",$D20*I20)</f>
        <v>125</v>
      </c>
      <c r="K20" s="69"/>
      <c r="L20" s="65" t="str">
        <f>IF(F20="A","(Antwort: ja/nein)","")</f>
        <v/>
      </c>
      <c r="M20" s="37">
        <v>3</v>
      </c>
      <c r="N20" s="37">
        <f>IF(OR($B20="A",$B20="I"),"",$D20*M20)</f>
        <v>375</v>
      </c>
      <c r="O20" s="69"/>
      <c r="P20" s="65" t="str">
        <f>IF(J20="A","(Antwort: ja/nein)","")</f>
        <v/>
      </c>
      <c r="Q20" s="37">
        <v>3</v>
      </c>
      <c r="R20" s="37">
        <f>IF(OR($B20="A",$B20="I"),"",$D20*Q20)</f>
        <v>375</v>
      </c>
      <c r="S20" s="46"/>
    </row>
    <row r="21" spans="1:19" ht="21" x14ac:dyDescent="0.25">
      <c r="A21" s="81" t="s">
        <v>44</v>
      </c>
      <c r="B21" s="81"/>
      <c r="C21" s="81"/>
      <c r="D21" s="29"/>
      <c r="E21" s="81"/>
      <c r="F21" s="81"/>
      <c r="G21" s="68"/>
      <c r="H21" s="158" t="s">
        <v>45</v>
      </c>
      <c r="I21" s="158"/>
      <c r="J21" s="158"/>
      <c r="K21" s="159"/>
      <c r="L21" s="158" t="s">
        <v>45</v>
      </c>
      <c r="M21" s="158"/>
      <c r="N21" s="158"/>
      <c r="O21" s="159"/>
      <c r="P21" s="158" t="s">
        <v>45</v>
      </c>
      <c r="Q21" s="158"/>
      <c r="R21" s="158"/>
      <c r="S21" s="160"/>
    </row>
    <row r="22" spans="1:19" x14ac:dyDescent="0.25">
      <c r="A22" t="e">
        <f>A6</f>
        <v>#REF!</v>
      </c>
      <c r="D22" s="34">
        <f>1000*'Gewichtung  (Start)'!$E$5</f>
        <v>200</v>
      </c>
      <c r="E22" s="31"/>
      <c r="F22" s="31"/>
      <c r="G22" s="76"/>
      <c r="I22" s="31"/>
      <c r="J22" s="31">
        <f>SUM(J7:J10)</f>
        <v>350</v>
      </c>
      <c r="K22" s="71"/>
      <c r="M22" s="31"/>
      <c r="N22" s="31">
        <f>SUM(N7:N10)</f>
        <v>360</v>
      </c>
      <c r="O22" s="71"/>
      <c r="Q22" s="31"/>
      <c r="R22" s="31">
        <f>SUM(R7:R10)</f>
        <v>450</v>
      </c>
      <c r="S22" s="41"/>
    </row>
    <row r="23" spans="1:19" x14ac:dyDescent="0.25">
      <c r="A23" t="e">
        <f>A11</f>
        <v>#REF!</v>
      </c>
      <c r="D23" s="34">
        <f>1000*'Gewichtung  (Start)'!$E$7</f>
        <v>150</v>
      </c>
      <c r="E23" s="31"/>
      <c r="F23" s="31"/>
      <c r="G23" s="76"/>
      <c r="I23" s="31"/>
      <c r="J23" s="31">
        <f>SUM(J12:J15)</f>
        <v>700</v>
      </c>
      <c r="K23" s="71"/>
      <c r="M23" s="31"/>
      <c r="N23" s="31">
        <f>SUM(N12:N15)</f>
        <v>870</v>
      </c>
      <c r="O23" s="71"/>
      <c r="Q23" s="31"/>
      <c r="R23" s="31">
        <f>SUM(R12:R15)</f>
        <v>1050</v>
      </c>
      <c r="S23" s="41"/>
    </row>
    <row r="24" spans="1:19" x14ac:dyDescent="0.25">
      <c r="A24" t="e">
        <f>A16</f>
        <v>#REF!</v>
      </c>
      <c r="D24" s="34">
        <f>1000*'Gewichtung  (Start)'!$E$8</f>
        <v>500</v>
      </c>
      <c r="E24" s="31"/>
      <c r="F24" s="31"/>
      <c r="G24" s="76"/>
      <c r="I24" s="31"/>
      <c r="J24" s="31">
        <f>SUM(J17:J20)</f>
        <v>750</v>
      </c>
      <c r="K24" s="71"/>
      <c r="M24" s="31"/>
      <c r="N24" s="31">
        <f>SUM(N17:N20)</f>
        <v>1250</v>
      </c>
      <c r="O24" s="71"/>
      <c r="Q24" s="31"/>
      <c r="R24" s="31">
        <f>SUM(R17:R20)</f>
        <v>1500</v>
      </c>
      <c r="S24" s="41"/>
    </row>
    <row r="25" spans="1:19" s="63" customFormat="1" ht="18.75" x14ac:dyDescent="0.3">
      <c r="A25" s="161" t="s">
        <v>51</v>
      </c>
      <c r="B25" s="161"/>
      <c r="C25" s="161"/>
      <c r="D25" s="58">
        <f>SUM(D22:D24)</f>
        <v>850</v>
      </c>
      <c r="E25" s="59"/>
      <c r="F25" s="59"/>
      <c r="G25" s="72"/>
      <c r="H25" s="66"/>
      <c r="I25" s="60"/>
      <c r="J25" s="61">
        <f>SUM(J22:J24)</f>
        <v>1800</v>
      </c>
      <c r="K25" s="72"/>
      <c r="L25" s="66"/>
      <c r="M25" s="60"/>
      <c r="N25" s="61">
        <f>SUM(N22:N24)</f>
        <v>2480</v>
      </c>
      <c r="O25" s="72"/>
      <c r="P25" s="66"/>
      <c r="Q25" s="60"/>
      <c r="R25" s="61">
        <f>SUM(R22:R24)</f>
        <v>3000</v>
      </c>
      <c r="S25" s="62"/>
    </row>
    <row r="26" spans="1:19" x14ac:dyDescent="0.25">
      <c r="C26" s="79" t="s">
        <v>49</v>
      </c>
      <c r="G26" s="71"/>
      <c r="I26" s="25"/>
      <c r="J26" s="25"/>
      <c r="K26" s="71"/>
      <c r="O26" s="71"/>
    </row>
    <row r="27" spans="1:19" x14ac:dyDescent="0.25">
      <c r="C27" s="71"/>
      <c r="G27" s="71"/>
      <c r="I27" s="25"/>
      <c r="J27" s="25"/>
      <c r="K27" s="71"/>
      <c r="O27" s="71"/>
    </row>
    <row r="28" spans="1:19" ht="21" x14ac:dyDescent="0.25">
      <c r="A28" s="81"/>
      <c r="B28" s="81"/>
      <c r="C28" s="68" t="s">
        <v>64</v>
      </c>
      <c r="D28" s="24"/>
      <c r="E28" s="81"/>
      <c r="F28" s="81"/>
      <c r="G28" s="68"/>
      <c r="H28" s="82"/>
      <c r="I28" s="81"/>
      <c r="J28" s="82"/>
      <c r="K28" s="68"/>
      <c r="L28" s="82"/>
      <c r="M28" s="81"/>
      <c r="N28" s="82"/>
      <c r="O28" s="68"/>
      <c r="P28" s="82"/>
      <c r="Q28" s="81"/>
      <c r="R28" s="82"/>
      <c r="S28" s="39"/>
    </row>
    <row r="29" spans="1:19" x14ac:dyDescent="0.25">
      <c r="C29" s="71" t="s">
        <v>62</v>
      </c>
      <c r="D29" s="25">
        <v>480</v>
      </c>
      <c r="G29" s="71"/>
      <c r="I29" s="25"/>
      <c r="J29" s="85"/>
      <c r="K29" s="71"/>
      <c r="O29" s="71"/>
    </row>
    <row r="30" spans="1:19" x14ac:dyDescent="0.25">
      <c r="C30" s="71" t="s">
        <v>60</v>
      </c>
      <c r="D30" s="84">
        <v>0.9</v>
      </c>
      <c r="G30" s="71"/>
      <c r="I30" s="25"/>
      <c r="J30" s="97">
        <v>80</v>
      </c>
      <c r="K30" s="102"/>
      <c r="L30" s="97"/>
      <c r="M30" s="101"/>
      <c r="N30" s="101">
        <v>130</v>
      </c>
      <c r="O30" s="102"/>
      <c r="P30" s="97"/>
      <c r="Q30" s="101"/>
      <c r="R30" s="101">
        <v>155</v>
      </c>
      <c r="S30" s="100"/>
    </row>
    <row r="31" spans="1:19" x14ac:dyDescent="0.25">
      <c r="C31" s="71" t="s">
        <v>61</v>
      </c>
      <c r="D31" s="84">
        <v>0.1</v>
      </c>
      <c r="G31" s="71"/>
      <c r="I31" s="25"/>
      <c r="J31" s="97">
        <v>88</v>
      </c>
      <c r="K31" s="102"/>
      <c r="L31" s="97"/>
      <c r="M31" s="101"/>
      <c r="N31" s="101">
        <v>145</v>
      </c>
      <c r="O31" s="102"/>
      <c r="P31" s="97"/>
      <c r="Q31" s="101"/>
      <c r="R31" s="101">
        <v>185</v>
      </c>
      <c r="S31" s="100"/>
    </row>
    <row r="32" spans="1:19" x14ac:dyDescent="0.25">
      <c r="C32" s="71" t="s">
        <v>63</v>
      </c>
      <c r="G32" s="71"/>
      <c r="I32" s="25"/>
      <c r="J32" s="97">
        <f>$D$30*($D$29*J30)+$D$31*($D$29*J31)</f>
        <v>38784</v>
      </c>
      <c r="K32" s="102"/>
      <c r="L32" s="97"/>
      <c r="M32" s="101"/>
      <c r="N32" s="97">
        <f>$D$30*($D$29*N30)+$D$31*($D$29*N31)</f>
        <v>63120</v>
      </c>
      <c r="O32" s="102"/>
      <c r="P32" s="97"/>
      <c r="Q32" s="101"/>
      <c r="R32" s="97">
        <f>$D$30*($D$29*R30)+$D$31*($D$29*R31)</f>
        <v>75840</v>
      </c>
      <c r="S32" s="100"/>
    </row>
    <row r="33" spans="1:19" x14ac:dyDescent="0.25">
      <c r="A33" s="92"/>
      <c r="B33" s="92"/>
      <c r="C33" s="94" t="s">
        <v>66</v>
      </c>
      <c r="D33" s="93">
        <v>0.3</v>
      </c>
      <c r="E33" s="96" t="str">
        <f>"(Median bei: " &amp; MEDIAN(32:32)&amp;")"</f>
        <v>(Median bei: 63120)</v>
      </c>
      <c r="F33" s="92"/>
      <c r="G33" s="94"/>
      <c r="H33" s="95"/>
      <c r="I33" s="95"/>
      <c r="J33" s="98" t="str">
        <f>IF(AND(J$32&gt;=MEDIAN($32:$32)*(1-$D$33),J$32&lt;=MEDIAN($32:$32)*(1+$D$33)),"X","-")</f>
        <v>-</v>
      </c>
      <c r="K33" s="103"/>
      <c r="L33" s="98"/>
      <c r="M33" s="104"/>
      <c r="N33" s="98" t="str">
        <f>IF(AND(N$32&gt;=MEDIAN($32:$32)*(1-$D$33),N$32&lt;=MEDIAN($32:$32)*(1+$D$33)),"X","-")</f>
        <v>X</v>
      </c>
      <c r="O33" s="103"/>
      <c r="P33" s="98"/>
      <c r="Q33" s="104"/>
      <c r="R33" s="98" t="str">
        <f>IF(AND(R$32&gt;=MEDIAN($32:$32)*(1-$D$33),R$32&lt;=MEDIAN($32:$32)*(1+$D$33)),"X","-")</f>
        <v>X</v>
      </c>
      <c r="S33" s="105"/>
    </row>
    <row r="34" spans="1:19" s="63" customFormat="1" ht="18.75" x14ac:dyDescent="0.3">
      <c r="A34" s="161" t="s">
        <v>65</v>
      </c>
      <c r="B34" s="161"/>
      <c r="C34" s="161" t="s">
        <v>50</v>
      </c>
      <c r="D34" s="58"/>
      <c r="E34" s="59"/>
      <c r="F34" s="59"/>
      <c r="G34" s="72"/>
      <c r="H34" s="66"/>
      <c r="I34" s="60"/>
      <c r="J34" s="89" t="str">
        <f>IF(AND(J33="x",J32&gt;0),ROUND(_xlfn.MINIFS(32:32,33:33,"X")/J32*3000,2),"-")</f>
        <v>-</v>
      </c>
      <c r="K34" s="90"/>
      <c r="L34" s="91"/>
      <c r="M34" s="91"/>
      <c r="N34" s="89">
        <f>IF(AND(N33="x",N32&gt;0),ROUND(_xlfn.MINIFS(32:32,33:33,"X")/N32*3000,2),"-")</f>
        <v>3000</v>
      </c>
      <c r="O34" s="90"/>
      <c r="P34" s="91"/>
      <c r="Q34" s="91"/>
      <c r="R34" s="89">
        <f>IF(AND(R33="x",R32&gt;0),ROUND(_xlfn.MINIFS(32:32,33:33,"X")/R32*3000,2),"-")</f>
        <v>2496.84</v>
      </c>
      <c r="S34" s="62"/>
    </row>
    <row r="35" spans="1:19" x14ac:dyDescent="0.25">
      <c r="C35" s="71"/>
      <c r="G35" s="71"/>
      <c r="I35" s="25"/>
      <c r="J35" s="99"/>
      <c r="K35" s="106"/>
      <c r="L35" s="99"/>
      <c r="M35" s="100"/>
      <c r="N35" s="100"/>
      <c r="O35" s="106"/>
      <c r="P35" s="99"/>
      <c r="Q35" s="100"/>
      <c r="R35" s="100"/>
      <c r="S35" s="100"/>
    </row>
    <row r="36" spans="1:19" s="47" customFormat="1" ht="18.75" x14ac:dyDescent="0.3">
      <c r="A36" s="157" t="str">
        <f>"Gesamtpunkte (gewichtet Preis-Leistung) "</f>
        <v xml:space="preserve">Gesamtpunkte (gewichtet Preis-Leistung) </v>
      </c>
      <c r="B36" s="157"/>
      <c r="C36" s="157" t="s">
        <v>52</v>
      </c>
      <c r="D36" s="48"/>
      <c r="E36" s="49"/>
      <c r="F36" s="49"/>
      <c r="G36" s="77"/>
      <c r="H36" s="74"/>
      <c r="I36" s="64"/>
      <c r="J36" s="86" t="str">
        <f>IF(J34="-","-",J25*'Gewichtung  (Start)'!#REF!+J34*'Gewichtung  (Start)'!#REF!)</f>
        <v>-</v>
      </c>
      <c r="K36" s="87"/>
      <c r="L36" s="88"/>
      <c r="M36" s="88"/>
      <c r="N36" s="86" t="e">
        <f>IF(N34="-","-",N25*'Gewichtung  (Start)'!#REF!+N34*'Gewichtung  (Start)'!#REF!)</f>
        <v>#REF!</v>
      </c>
      <c r="O36" s="87"/>
      <c r="P36" s="88"/>
      <c r="Q36" s="88"/>
      <c r="R36" s="86" t="e">
        <f>IF(R34="-","-",R25*'Gewichtung  (Start)'!#REF!+R34*'Gewichtung  (Start)'!#REF!)</f>
        <v>#REF!</v>
      </c>
      <c r="S36" s="50"/>
    </row>
    <row r="38" spans="1:19" s="25" customFormat="1" x14ac:dyDescent="0.25">
      <c r="A38"/>
      <c r="B38"/>
      <c r="C38"/>
      <c r="E38"/>
      <c r="F38"/>
      <c r="G38"/>
      <c r="I38"/>
      <c r="J38"/>
      <c r="K38"/>
      <c r="M38"/>
      <c r="N38"/>
      <c r="O38"/>
      <c r="Q38"/>
      <c r="R38"/>
      <c r="S38"/>
    </row>
    <row r="39" spans="1:19" s="25" customFormat="1" x14ac:dyDescent="0.25">
      <c r="A39"/>
      <c r="B39"/>
      <c r="C39"/>
      <c r="E39"/>
      <c r="F39"/>
      <c r="G39"/>
      <c r="I39"/>
      <c r="J39"/>
      <c r="K39"/>
      <c r="M39"/>
      <c r="N39"/>
      <c r="O39"/>
      <c r="Q39"/>
      <c r="R39"/>
      <c r="S39"/>
    </row>
    <row r="40" spans="1:19" s="25" customFormat="1" x14ac:dyDescent="0.25">
      <c r="A40"/>
      <c r="B40"/>
      <c r="C40"/>
      <c r="E40"/>
      <c r="F40"/>
      <c r="G40"/>
      <c r="I40"/>
      <c r="J40"/>
      <c r="K40"/>
      <c r="M40"/>
      <c r="N40"/>
      <c r="O40"/>
      <c r="Q40"/>
      <c r="R40"/>
      <c r="S40"/>
    </row>
  </sheetData>
  <mergeCells count="16">
    <mergeCell ref="A1:K1"/>
    <mergeCell ref="D3:G3"/>
    <mergeCell ref="I3:K3"/>
    <mergeCell ref="M3:O3"/>
    <mergeCell ref="Q3:S3"/>
    <mergeCell ref="D6:G6"/>
    <mergeCell ref="D11:G11"/>
    <mergeCell ref="A16:C16"/>
    <mergeCell ref="D16:G16"/>
    <mergeCell ref="E4:G4"/>
    <mergeCell ref="A36:C36"/>
    <mergeCell ref="H21:K21"/>
    <mergeCell ref="L21:O21"/>
    <mergeCell ref="P21:S21"/>
    <mergeCell ref="A25:C25"/>
    <mergeCell ref="A34:C34"/>
  </mergeCells>
  <conditionalFormatting sqref="D7:G10 I7:J10 M7:N10 Q7:R10 D12:G15 I12:J15 M12:N15 Q12:R15 D17:G20 I17:J20">
    <cfRule type="expression" dxfId="12" priority="12">
      <formula>IF($B7="A",TRUE,FALSE)</formula>
    </cfRule>
  </conditionalFormatting>
  <conditionalFormatting sqref="H7:H10 L7:L10 P7:P10 H12:H15 L12:L15 P12:P15 H17:H20">
    <cfRule type="expression" dxfId="11" priority="9">
      <formula>IF($B7&lt;&gt;"A",TRUE,FALSE)</formula>
    </cfRule>
  </conditionalFormatting>
  <conditionalFormatting sqref="L17:L20">
    <cfRule type="expression" dxfId="10" priority="5">
      <formula>IF($B17&lt;&gt;"A",TRUE,FALSE)</formula>
    </cfRule>
  </conditionalFormatting>
  <conditionalFormatting sqref="M17:N20">
    <cfRule type="expression" dxfId="9" priority="8">
      <formula>IF($B17="A",TRUE,FALSE)</formula>
    </cfRule>
  </conditionalFormatting>
  <conditionalFormatting sqref="P17:P20">
    <cfRule type="expression" dxfId="8" priority="1">
      <formula>IF($B17&lt;&gt;"A",TRUE,FALSE)</formula>
    </cfRule>
  </conditionalFormatting>
  <conditionalFormatting sqref="Q17:R20">
    <cfRule type="expression" dxfId="7" priority="4">
      <formula>IF($B17="A",TRUE,FALSE)</formula>
    </cfRule>
  </conditionalFormatting>
  <dataValidations disablePrompts="1" count="1">
    <dataValidation type="list" allowBlank="1" showInputMessage="1" showErrorMessage="1" sqref="H7:H10 P17:P20 P12:P15 P7:P10 L17:L20 L12:L15 L7:L10 H17:H20 H12:H15" xr:uid="{33163F23-3500-4F17-8C7E-473E374B8F10}">
      <formula1>$C$38:$C$40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A7E1-5CC0-4030-B8A8-121D68CD5A21}">
  <dimension ref="A1:R48"/>
  <sheetViews>
    <sheetView tabSelected="1" zoomScale="90" zoomScaleNormal="90" workbookViewId="0">
      <pane ySplit="5" topLeftCell="A26" activePane="bottomLeft" state="frozen"/>
      <selection pane="bottomLeft" activeCell="C9" sqref="C9"/>
    </sheetView>
  </sheetViews>
  <sheetFormatPr baseColWidth="10" defaultColWidth="11.42578125" defaultRowHeight="15" outlineLevelRow="1" x14ac:dyDescent="0.25"/>
  <cols>
    <col min="1" max="1" width="5.140625" customWidth="1"/>
    <col min="2" max="2" width="5.42578125" customWidth="1"/>
    <col min="3" max="3" width="96.28515625" customWidth="1"/>
    <col min="4" max="4" width="12.85546875" style="25" customWidth="1"/>
    <col min="5" max="9" width="18.5703125" customWidth="1"/>
    <col min="10" max="10" width="15.28515625" customWidth="1"/>
    <col min="11" max="11" width="12.85546875" customWidth="1"/>
    <col min="12" max="12" width="35.7109375" style="118" customWidth="1"/>
    <col min="13" max="13" width="15.28515625" customWidth="1"/>
    <col min="14" max="14" width="12.85546875" customWidth="1"/>
    <col min="15" max="15" width="35.7109375" style="118" customWidth="1"/>
    <col min="16" max="16" width="15.28515625" customWidth="1"/>
    <col min="17" max="17" width="12.85546875" customWidth="1"/>
    <col min="18" max="18" width="35.7109375" customWidth="1"/>
  </cols>
  <sheetData>
    <row r="1" spans="1:18" ht="56.25" customHeight="1" x14ac:dyDescent="0.25">
      <c r="A1" s="168" t="str">
        <f>'Gewichtung  (Start)'!B1</f>
        <v>Prüfmatrix zur Ausschreibung
"Betriebsunterstützung im Bereich der Datenbankmanagementsysteme (DBMS)"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8" x14ac:dyDescent="0.25">
      <c r="A2" s="43"/>
      <c r="B2" s="44"/>
      <c r="C2" s="44"/>
      <c r="D2" s="45"/>
      <c r="E2" s="44"/>
      <c r="F2" s="44"/>
      <c r="G2" s="44"/>
      <c r="H2" s="44"/>
      <c r="I2" s="44"/>
      <c r="J2" s="44"/>
      <c r="K2" s="44"/>
      <c r="L2" s="111"/>
      <c r="M2" s="44"/>
      <c r="N2" s="44"/>
      <c r="O2" s="111"/>
    </row>
    <row r="3" spans="1:18" x14ac:dyDescent="0.25">
      <c r="A3" s="30"/>
      <c r="B3" s="30"/>
      <c r="C3" s="30"/>
      <c r="D3" s="170" t="s">
        <v>2</v>
      </c>
      <c r="E3" s="171"/>
      <c r="F3" s="171"/>
      <c r="G3" s="171"/>
      <c r="H3" s="171"/>
      <c r="I3" s="171"/>
      <c r="J3" s="172" t="s">
        <v>3</v>
      </c>
      <c r="K3" s="173"/>
      <c r="L3" s="181"/>
      <c r="M3" s="172" t="s">
        <v>53</v>
      </c>
      <c r="N3" s="173"/>
      <c r="O3" s="181"/>
      <c r="P3" s="172" t="s">
        <v>55</v>
      </c>
      <c r="Q3" s="173"/>
      <c r="R3" s="181"/>
    </row>
    <row r="4" spans="1:18" ht="45" customHeight="1" x14ac:dyDescent="0.25">
      <c r="A4" s="1"/>
      <c r="B4" s="2"/>
      <c r="C4" s="3"/>
      <c r="D4" s="38" t="s">
        <v>4</v>
      </c>
      <c r="E4" s="166" t="s">
        <v>5</v>
      </c>
      <c r="F4" s="166"/>
      <c r="G4" s="167"/>
      <c r="H4" s="167"/>
      <c r="I4" s="167"/>
      <c r="J4" s="73" t="s">
        <v>7</v>
      </c>
      <c r="K4" s="52" t="s">
        <v>8</v>
      </c>
      <c r="L4" s="137" t="s">
        <v>9</v>
      </c>
      <c r="M4" s="73" t="s">
        <v>7</v>
      </c>
      <c r="N4" s="52" t="s">
        <v>8</v>
      </c>
      <c r="O4" s="137" t="s">
        <v>9</v>
      </c>
      <c r="P4" s="73" t="s">
        <v>7</v>
      </c>
      <c r="Q4" s="52" t="s">
        <v>8</v>
      </c>
      <c r="R4" s="137" t="s">
        <v>9</v>
      </c>
    </row>
    <row r="5" spans="1:18" ht="15.75" x14ac:dyDescent="0.25">
      <c r="A5" s="26" t="s">
        <v>10</v>
      </c>
      <c r="B5" s="27" t="s">
        <v>11</v>
      </c>
      <c r="C5" s="132" t="s">
        <v>12</v>
      </c>
      <c r="D5" s="27"/>
      <c r="E5" s="26">
        <v>1</v>
      </c>
      <c r="F5" s="26">
        <v>2</v>
      </c>
      <c r="G5" s="26">
        <v>3</v>
      </c>
      <c r="H5" s="26">
        <v>4</v>
      </c>
      <c r="I5" s="136">
        <v>5</v>
      </c>
      <c r="J5" s="138" t="s">
        <v>70</v>
      </c>
      <c r="K5" s="28"/>
      <c r="L5" s="136"/>
      <c r="M5" s="138" t="s">
        <v>70</v>
      </c>
      <c r="N5" s="28"/>
      <c r="O5" s="136"/>
      <c r="P5" s="138" t="s">
        <v>70</v>
      </c>
      <c r="Q5" s="28"/>
      <c r="R5" s="136"/>
    </row>
    <row r="6" spans="1:18" ht="21" x14ac:dyDescent="0.25">
      <c r="A6" s="83" t="str">
        <f>'Gewichtung  (Start)'!B5 &amp; " (Gewichtung: " &amp;'Gewichtung  (Start)'!$E$5*100&amp;"%)"</f>
        <v>KG 1 - Unternehmensdarstellung und Eignungsprüfung (Gewichtung: 20%)</v>
      </c>
      <c r="B6" s="83"/>
      <c r="C6" s="83"/>
      <c r="D6" s="130" t="str">
        <f>IF(SUMIF(B7:B10,"B",D7:D10)&lt;&gt;D26,"!! GP != "&amp;D26 &amp; " !!","")</f>
        <v/>
      </c>
      <c r="E6" s="179" t="str">
        <f>"Anzahl B - Kriterien in Gruppe:  " &amp; COUNTIF(B7:B10,"B")</f>
        <v>Anzahl B - Kriterien in Gruppe:  4</v>
      </c>
      <c r="F6" s="179"/>
      <c r="G6" s="179"/>
      <c r="H6" s="179"/>
      <c r="I6" s="182"/>
      <c r="J6" s="67"/>
      <c r="K6" s="128"/>
      <c r="L6" s="112"/>
      <c r="M6" s="67"/>
      <c r="N6" s="128"/>
      <c r="O6" s="112"/>
      <c r="P6" s="67"/>
      <c r="Q6" s="128"/>
      <c r="R6" s="112"/>
    </row>
    <row r="7" spans="1:18" ht="51.75" customHeight="1" outlineLevel="1" x14ac:dyDescent="0.25">
      <c r="A7" s="33" t="s">
        <v>13</v>
      </c>
      <c r="B7" s="32" t="s">
        <v>21</v>
      </c>
      <c r="C7" s="30" t="s">
        <v>71</v>
      </c>
      <c r="D7" s="131">
        <f t="shared" ref="D7:D9" si="0">IF(B7="A","ja/nein",$D$26/COUNTIF($B$7:$B$10,"B"))</f>
        <v>50</v>
      </c>
      <c r="E7" s="36" t="str">
        <f>IF($B7&lt;&gt;"A","Kriterium wird nicht erfüllt","")</f>
        <v>Kriterium wird nicht erfüllt</v>
      </c>
      <c r="F7" s="36" t="str">
        <f>IF($B7&lt;&gt;"A","Kriterium wird nur in geringem Maße erfüllt","")</f>
        <v>Kriterium wird nur in geringem Maße erfüllt</v>
      </c>
      <c r="G7" s="36" t="str">
        <f>IF($B7&lt;&gt;"A","Kriterium wird teilweise erfüllt","")</f>
        <v>Kriterium wird teilweise erfüllt</v>
      </c>
      <c r="H7" s="36" t="str">
        <f>IF($B7&lt;&gt;"A","Kriterium wird größtenteils erfüllt","")</f>
        <v>Kriterium wird größtenteils erfüllt</v>
      </c>
      <c r="I7" s="75" t="str">
        <f>IF(B7&lt;&gt;"A","Kriterium wird vollständig erfüllt","")</f>
        <v>Kriterium wird vollständig erfüllt</v>
      </c>
      <c r="J7" s="78"/>
      <c r="K7" s="37">
        <f>IF(OR($B7="A",$B7="I"),$J7,$D7*IF(ISNUMBER($J7),$J7,0))</f>
        <v>0</v>
      </c>
      <c r="L7" s="113"/>
      <c r="M7" s="78"/>
      <c r="N7" s="37">
        <f>IF(OR($B7="A",$B7="I"),$M7,$D7*IF(ISNUMBER($M7),$M7,0))</f>
        <v>0</v>
      </c>
      <c r="O7" s="113"/>
      <c r="P7" s="78"/>
      <c r="Q7" s="37">
        <f>IF(OR($B7="A",$B7="I"),$P7,$D7*IF(ISNUMBER($P7),$P7,0))</f>
        <v>0</v>
      </c>
      <c r="R7" s="113"/>
    </row>
    <row r="8" spans="1:18" ht="225" outlineLevel="1" x14ac:dyDescent="0.25">
      <c r="A8" s="33" t="s">
        <v>14</v>
      </c>
      <c r="B8" s="32" t="s">
        <v>21</v>
      </c>
      <c r="C8" s="30" t="s">
        <v>72</v>
      </c>
      <c r="D8" s="131">
        <f t="shared" si="0"/>
        <v>50</v>
      </c>
      <c r="E8" s="36" t="str">
        <f>IF($B8&lt;&gt;"A","Kriterium wird nicht erfüllt","")</f>
        <v>Kriterium wird nicht erfüllt</v>
      </c>
      <c r="F8" s="36" t="str">
        <f>IF($B8&lt;&gt;"A","Kriterium wird nur in geringem Maße erfüllt","")</f>
        <v>Kriterium wird nur in geringem Maße erfüllt</v>
      </c>
      <c r="G8" s="36" t="str">
        <f>IF($B8&lt;&gt;"A","Kriterium wird teilweise erfüllt","")</f>
        <v>Kriterium wird teilweise erfüllt</v>
      </c>
      <c r="H8" s="36" t="str">
        <f>IF($B8&lt;&gt;"A","Kriterium wird größtenteils erfüllt","")</f>
        <v>Kriterium wird größtenteils erfüllt</v>
      </c>
      <c r="I8" s="75" t="str">
        <f>IF(B8&lt;&gt;"A","Kriterium wird vollständig erfüllt","")</f>
        <v>Kriterium wird vollständig erfüllt</v>
      </c>
      <c r="J8" s="78"/>
      <c r="K8" s="37">
        <f>IF(OR($B8="A",$B8="I"),$J8,$D8*IF(ISNUMBER($J8),$J8,0))</f>
        <v>0</v>
      </c>
      <c r="L8" s="113"/>
      <c r="M8" s="78"/>
      <c r="N8" s="37">
        <f t="shared" ref="N8:N10" si="1">IF(OR($B8="A",$B8="I"),$M8,$D8*IF(ISNUMBER($M8),$M8,0))</f>
        <v>0</v>
      </c>
      <c r="O8" s="113"/>
      <c r="P8" s="78"/>
      <c r="Q8" s="37">
        <f t="shared" ref="Q8:Q10" si="2">IF(OR($B8="A",$B8="I"),$P8,$D8*IF(ISNUMBER($P8),$P8,0))</f>
        <v>0</v>
      </c>
      <c r="R8" s="113"/>
    </row>
    <row r="9" spans="1:18" ht="135" outlineLevel="1" x14ac:dyDescent="0.25">
      <c r="A9" s="33" t="s">
        <v>15</v>
      </c>
      <c r="B9" s="32" t="s">
        <v>21</v>
      </c>
      <c r="C9" s="30" t="s">
        <v>76</v>
      </c>
      <c r="D9" s="131">
        <f t="shared" si="0"/>
        <v>50</v>
      </c>
      <c r="E9" s="36" t="s">
        <v>80</v>
      </c>
      <c r="F9" s="36" t="s">
        <v>80</v>
      </c>
      <c r="G9" s="36" t="s">
        <v>81</v>
      </c>
      <c r="H9" s="36" t="s">
        <v>81</v>
      </c>
      <c r="I9" s="75" t="s">
        <v>82</v>
      </c>
      <c r="J9" s="78"/>
      <c r="K9" s="37">
        <f>IF(OR($B9="A",$B9="I"),$J9,$D9*IF(ISNUMBER($J9),$J9,0))</f>
        <v>0</v>
      </c>
      <c r="L9" s="114"/>
      <c r="M9" s="78"/>
      <c r="N9" s="37">
        <f t="shared" si="1"/>
        <v>0</v>
      </c>
      <c r="O9" s="114"/>
      <c r="P9" s="78"/>
      <c r="Q9" s="37">
        <f t="shared" si="2"/>
        <v>0</v>
      </c>
      <c r="R9" s="114"/>
    </row>
    <row r="10" spans="1:18" ht="61.5" customHeight="1" outlineLevel="1" x14ac:dyDescent="0.25">
      <c r="A10" s="33" t="s">
        <v>16</v>
      </c>
      <c r="B10" s="32" t="s">
        <v>21</v>
      </c>
      <c r="C10" s="30" t="s">
        <v>93</v>
      </c>
      <c r="D10" s="131">
        <f>IF(B10="A","ja/nein",$D$26/COUNTIF($B$7:$B$10,"B"))</f>
        <v>50</v>
      </c>
      <c r="E10" s="36" t="str">
        <f>IF($B10&lt;&gt;"A","Kriterium wird nicht erfüllt","")</f>
        <v>Kriterium wird nicht erfüllt</v>
      </c>
      <c r="F10" s="36" t="str">
        <f>IF($B10&lt;&gt;"A","Kriterium wird nur in geringem Maße erfüllt","")</f>
        <v>Kriterium wird nur in geringem Maße erfüllt</v>
      </c>
      <c r="G10" s="36" t="str">
        <f>IF($B10&lt;&gt;"A","Kriterium wird teilweise erfüllt","")</f>
        <v>Kriterium wird teilweise erfüllt</v>
      </c>
      <c r="H10" s="36" t="str">
        <f>IF($B10&lt;&gt;"A","Kriterium wird größtenteils erfüllt","")</f>
        <v>Kriterium wird größtenteils erfüllt</v>
      </c>
      <c r="I10" s="75" t="str">
        <f>IF(B10&lt;&gt;"A","Kriterium wird vollständig erfüllt","")</f>
        <v>Kriterium wird vollständig erfüllt</v>
      </c>
      <c r="J10" s="78"/>
      <c r="K10" s="37">
        <f>IF(OR($B10="A",$B10="I"),$J10,$D10*IF(ISNUMBER($J10),$J10,0))</f>
        <v>0</v>
      </c>
      <c r="L10" s="114"/>
      <c r="M10" s="78"/>
      <c r="N10" s="37">
        <f t="shared" si="1"/>
        <v>0</v>
      </c>
      <c r="O10" s="114"/>
      <c r="P10" s="78"/>
      <c r="Q10" s="37">
        <f t="shared" si="2"/>
        <v>0</v>
      </c>
      <c r="R10" s="114"/>
    </row>
    <row r="11" spans="1:18" ht="21" x14ac:dyDescent="0.25">
      <c r="A11" s="83" t="str">
        <f>'Gewichtung  (Start)'!$B$6 &amp; " (Gewichtung: " &amp;'Gewichtung  (Start)'!$E$6*100&amp;"%)"</f>
        <v>KG 2 - Mitarbeiterqualifikation / Fachkunde (Gewichtung: 15%)</v>
      </c>
      <c r="B11" s="83"/>
      <c r="C11" s="127"/>
      <c r="D11" s="29" t="str">
        <f>IF(SUMIF(B12:B15,"B",D12:D15)&lt;&gt;D27,"!! GP != "&amp;D27 &amp; " !!","")</f>
        <v/>
      </c>
      <c r="E11" s="179" t="s">
        <v>77</v>
      </c>
      <c r="F11" s="179"/>
      <c r="G11" s="179"/>
      <c r="H11" s="179"/>
      <c r="I11" s="180"/>
      <c r="J11" s="139"/>
      <c r="K11" s="24"/>
      <c r="L11" s="115"/>
      <c r="M11" s="139"/>
      <c r="N11" s="24"/>
      <c r="O11" s="115"/>
      <c r="P11" s="139"/>
      <c r="Q11" s="24"/>
      <c r="R11" s="115"/>
    </row>
    <row r="12" spans="1:18" ht="57.75" customHeight="1" outlineLevel="1" x14ac:dyDescent="0.25">
      <c r="A12" s="33" t="s">
        <v>18</v>
      </c>
      <c r="B12" s="32" t="s">
        <v>21</v>
      </c>
      <c r="C12" s="30" t="s">
        <v>89</v>
      </c>
      <c r="D12" s="131">
        <f>IF(B12="A","ja/nein",$D$27/COUNTIF($B$12:$B$15,"B"))</f>
        <v>37.5</v>
      </c>
      <c r="E12" s="36" t="str">
        <f>IF($B12&lt;&gt;"A","unzureichende Qualifikation oder nicht überzeugend","")</f>
        <v>unzureichende Qualifikation oder nicht überzeugend</v>
      </c>
      <c r="F12" s="36" t="str">
        <f>IF($B12&lt;&gt;"A","eingeschränkte Qualifikation oder teilweise fehlende Erfahrung","")</f>
        <v>eingeschränkte Qualifikation oder teilweise fehlende Erfahrung</v>
      </c>
      <c r="G12" s="36" t="str">
        <f>IF($B12&lt;&gt;"A","gute Qualifikation, Anforderungen erfüllt","")</f>
        <v>gute Qualifikation, Anforderungen erfüllt</v>
      </c>
      <c r="H12" s="36" t="str">
        <f>IF($B12&lt;&gt;"A","sehr gute Qualifikation und einschlägige Erfahrung","")</f>
        <v>sehr gute Qualifikation und einschlägige Erfahrung</v>
      </c>
      <c r="I12" s="75" t="str">
        <f>IF(B12&lt;&gt;"A","hervorragende Qualifikation und umfangreiche Erfahrung","")</f>
        <v>hervorragende Qualifikation und umfangreiche Erfahrung</v>
      </c>
      <c r="J12" s="78"/>
      <c r="K12" s="37">
        <f>IF(OR($B12="A",$B12="I"),$J12,$D12*IF(ISNUMBER($J12),$J12,0))</f>
        <v>0</v>
      </c>
      <c r="L12" s="114"/>
      <c r="M12" s="78"/>
      <c r="N12" s="37">
        <f>IF(OR($B12="A",$B12="I"),$M12,$D12*IF(ISNUMBER($M12),$M12,0))</f>
        <v>0</v>
      </c>
      <c r="O12" s="114"/>
      <c r="P12" s="78"/>
      <c r="Q12" s="37">
        <f>IF(OR($B12="A",$B12="I"),$P12,$D12*IF(ISNUMBER($P12),$P12,0))</f>
        <v>0</v>
      </c>
      <c r="R12" s="114"/>
    </row>
    <row r="13" spans="1:18" ht="51" outlineLevel="1" x14ac:dyDescent="0.25">
      <c r="A13" s="33" t="s">
        <v>19</v>
      </c>
      <c r="B13" s="32" t="s">
        <v>21</v>
      </c>
      <c r="C13" s="30" t="s">
        <v>90</v>
      </c>
      <c r="D13" s="131">
        <f>IF(B13="A","ja/nein",$D$27/COUNTIF($B$12:$B$15,"B"))</f>
        <v>37.5</v>
      </c>
      <c r="E13" s="36" t="str">
        <f t="shared" ref="E13:E15" si="3">IF($B13&lt;&gt;"A","unzureichende Qualifikation oder nicht überzeugend","")</f>
        <v>unzureichende Qualifikation oder nicht überzeugend</v>
      </c>
      <c r="F13" s="36" t="str">
        <f t="shared" ref="F13:F15" si="4">IF($B13&lt;&gt;"A","eingeschränkte Qualifikation oder teilweise fehlende Erfahrung","")</f>
        <v>eingeschränkte Qualifikation oder teilweise fehlende Erfahrung</v>
      </c>
      <c r="G13" s="36" t="str">
        <f t="shared" ref="G13:G15" si="5">IF($B13&lt;&gt;"A","gute Qualifikation, Anforderungen erfüllt","")</f>
        <v>gute Qualifikation, Anforderungen erfüllt</v>
      </c>
      <c r="H13" s="36" t="str">
        <f t="shared" ref="H13:H15" si="6">IF($B13&lt;&gt;"A","sehr gute Qualifikation und einschlägige Erfahrung","")</f>
        <v>sehr gute Qualifikation und einschlägige Erfahrung</v>
      </c>
      <c r="I13" s="75" t="str">
        <f t="shared" ref="I13:I15" si="7">IF(B13&lt;&gt;"A","hervorragende Qualifikation und umfangreiche Erfahrung","")</f>
        <v>hervorragende Qualifikation und umfangreiche Erfahrung</v>
      </c>
      <c r="J13" s="78"/>
      <c r="K13" s="37">
        <f>IF(OR($B13="A",$B13="I"),$J13,$D13*IF(ISNUMBER($J13),$J13,0))</f>
        <v>0</v>
      </c>
      <c r="L13" s="114"/>
      <c r="M13" s="78"/>
      <c r="N13" s="37">
        <f t="shared" ref="N13:N15" si="8">IF(OR($B13="A",$B13="I"),$M13,$D13*IF(ISNUMBER($M13),$M13,0))</f>
        <v>0</v>
      </c>
      <c r="O13" s="114"/>
      <c r="P13" s="78"/>
      <c r="Q13" s="37">
        <f t="shared" ref="Q13:Q15" si="9">IF(OR($B13="A",$B13="I"),$P13,$D13*IF(ISNUMBER($P13),$P13,0))</f>
        <v>0</v>
      </c>
      <c r="R13" s="114"/>
    </row>
    <row r="14" spans="1:18" ht="51" outlineLevel="1" x14ac:dyDescent="0.25">
      <c r="A14" s="33" t="s">
        <v>20</v>
      </c>
      <c r="B14" s="32" t="s">
        <v>21</v>
      </c>
      <c r="C14" s="30" t="s">
        <v>91</v>
      </c>
      <c r="D14" s="131">
        <f>IF(B14="A","ja/nein",$D$27/COUNTIF($B$12:$B$15,"B"))</f>
        <v>37.5</v>
      </c>
      <c r="E14" s="36" t="str">
        <f t="shared" si="3"/>
        <v>unzureichende Qualifikation oder nicht überzeugend</v>
      </c>
      <c r="F14" s="36" t="str">
        <f t="shared" si="4"/>
        <v>eingeschränkte Qualifikation oder teilweise fehlende Erfahrung</v>
      </c>
      <c r="G14" s="36" t="str">
        <f t="shared" si="5"/>
        <v>gute Qualifikation, Anforderungen erfüllt</v>
      </c>
      <c r="H14" s="36" t="str">
        <f t="shared" si="6"/>
        <v>sehr gute Qualifikation und einschlägige Erfahrung</v>
      </c>
      <c r="I14" s="75" t="str">
        <f t="shared" si="7"/>
        <v>hervorragende Qualifikation und umfangreiche Erfahrung</v>
      </c>
      <c r="J14" s="78"/>
      <c r="K14" s="37">
        <f>IF(OR($B14="A",$B14="I"),$J14,$D14*IF(ISNUMBER($J14),$J14,0))</f>
        <v>0</v>
      </c>
      <c r="L14" s="114"/>
      <c r="M14" s="78"/>
      <c r="N14" s="37">
        <f t="shared" si="8"/>
        <v>0</v>
      </c>
      <c r="O14" s="114"/>
      <c r="P14" s="78"/>
      <c r="Q14" s="37">
        <f t="shared" si="9"/>
        <v>0</v>
      </c>
      <c r="R14" s="114"/>
    </row>
    <row r="15" spans="1:18" ht="51" outlineLevel="1" x14ac:dyDescent="0.25">
      <c r="A15" s="33" t="s">
        <v>57</v>
      </c>
      <c r="B15" s="32" t="s">
        <v>21</v>
      </c>
      <c r="C15" s="30" t="s">
        <v>92</v>
      </c>
      <c r="D15" s="131">
        <f>IF(B15="A","ja/nein",$D$27/COUNTIF($B$12:$B$15,"B"))</f>
        <v>37.5</v>
      </c>
      <c r="E15" s="36" t="str">
        <f t="shared" si="3"/>
        <v>unzureichende Qualifikation oder nicht überzeugend</v>
      </c>
      <c r="F15" s="36" t="str">
        <f t="shared" si="4"/>
        <v>eingeschränkte Qualifikation oder teilweise fehlende Erfahrung</v>
      </c>
      <c r="G15" s="36" t="str">
        <f t="shared" si="5"/>
        <v>gute Qualifikation, Anforderungen erfüllt</v>
      </c>
      <c r="H15" s="36" t="str">
        <f t="shared" si="6"/>
        <v>sehr gute Qualifikation und einschlägige Erfahrung</v>
      </c>
      <c r="I15" s="75" t="str">
        <f t="shared" si="7"/>
        <v>hervorragende Qualifikation und umfangreiche Erfahrung</v>
      </c>
      <c r="J15" s="78"/>
      <c r="K15" s="37">
        <f>IF(OR($B15="A",$B15="I"),$J15,$D15*IF(ISNUMBER($J15),$J15,0))</f>
        <v>0</v>
      </c>
      <c r="L15" s="114"/>
      <c r="M15" s="78"/>
      <c r="N15" s="37">
        <f t="shared" si="8"/>
        <v>0</v>
      </c>
      <c r="O15" s="114"/>
      <c r="P15" s="78"/>
      <c r="Q15" s="37">
        <f t="shared" si="9"/>
        <v>0</v>
      </c>
      <c r="R15" s="114"/>
    </row>
    <row r="16" spans="1:18" ht="21" x14ac:dyDescent="0.25">
      <c r="A16" s="165" t="str">
        <f>'Gewichtung  (Start)'!$B$7 &amp; " (Gewichtung: " &amp;'Gewichtung  (Start)'!$E$7*100&amp;"%)"</f>
        <v>KG 3 - Preisgestaltung und Aufwandsplanung (Gewichtung: 15%)</v>
      </c>
      <c r="B16" s="165"/>
      <c r="C16" s="165"/>
      <c r="D16" s="29" t="str">
        <f>IF(SUMIF(B17:B18,"B",D17:D18)&lt;&gt;D28,"!! GP != "&amp;D28 &amp; " !!","")</f>
        <v/>
      </c>
      <c r="E16" s="179" t="str">
        <f>"Anzahl B - Kriterien in Gruppe:  " &amp;  COUNTIF(B20:B24,"B")</f>
        <v>Anzahl B - Kriterien in Gruppe:  5</v>
      </c>
      <c r="F16" s="179"/>
      <c r="G16" s="179"/>
      <c r="H16" s="179"/>
      <c r="I16" s="180"/>
      <c r="J16" s="139"/>
      <c r="K16" s="24"/>
      <c r="L16" s="115"/>
      <c r="M16" s="139"/>
      <c r="N16" s="24"/>
      <c r="O16" s="115"/>
      <c r="P16" s="139"/>
      <c r="Q16" s="24"/>
      <c r="R16" s="115"/>
    </row>
    <row r="17" spans="1:18" ht="165" outlineLevel="1" x14ac:dyDescent="0.25">
      <c r="A17" s="33" t="s">
        <v>27</v>
      </c>
      <c r="B17" s="32" t="s">
        <v>21</v>
      </c>
      <c r="C17" s="30" t="s">
        <v>88</v>
      </c>
      <c r="D17" s="35">
        <f>IF(B17="A","ja/nein",$D$28/COUNTIF($B$17:$B$18,"B"))</f>
        <v>75</v>
      </c>
      <c r="E17" s="36" t="str">
        <f>IF($B17&lt;&gt;"A","nicht nachvollziehbar oder unplausibel","")</f>
        <v>nicht nachvollziehbar oder unplausibel</v>
      </c>
      <c r="F17" s="36" t="str">
        <f>IF($B17&lt;&gt;"A","nur eingeschränkt nachvollziehbar, grob und/oder lückenhaft","")</f>
        <v>nur eingeschränkt nachvollziehbar, grob und/oder lückenhaft</v>
      </c>
      <c r="G17" s="36" t="str">
        <f>IF($B17&lt;&gt;"A","grundsätzlich nachvollziehbar, weist jedoch einzelne Unklarheiten auf","")</f>
        <v>grundsätzlich nachvollziehbar, weist jedoch einzelne Unklarheiten auf</v>
      </c>
      <c r="H17" s="36" t="str">
        <f>IF($B17&lt;&gt;"A","gut nachvollziehbar und überwiegend plausibel.","")</f>
        <v>gut nachvollziehbar und überwiegend plausibel.</v>
      </c>
      <c r="I17" s="75" t="str">
        <f>IF(B17&lt;&gt;"A","vollständig, sehr gut nachvollziehbar und plausibel","")</f>
        <v>vollständig, sehr gut nachvollziehbar und plausibel</v>
      </c>
      <c r="J17" s="78"/>
      <c r="K17" s="37">
        <f>IF(OR($B17="A",$B17="I"),$J17,$D17*IF(ISNUMBER($J17),$J17,0))</f>
        <v>0</v>
      </c>
      <c r="L17" s="114"/>
      <c r="M17" s="78"/>
      <c r="N17" s="37">
        <f>IF(OR($B17="A",$B17="I"),$M17,$D17*IF(ISNUMBER($M17),$M17,0))</f>
        <v>0</v>
      </c>
      <c r="O17" s="114"/>
      <c r="P17" s="78"/>
      <c r="Q17" s="37">
        <f>IF(OR($B17="A",$B17="I"),$P17,$D17*IF(ISNUMBER($P17),$P17,0))</f>
        <v>0</v>
      </c>
      <c r="R17" s="114"/>
    </row>
    <row r="18" spans="1:18" ht="165" outlineLevel="1" x14ac:dyDescent="0.25">
      <c r="A18" s="33" t="s">
        <v>28</v>
      </c>
      <c r="B18" s="32" t="s">
        <v>21</v>
      </c>
      <c r="C18" s="30" t="s">
        <v>78</v>
      </c>
      <c r="D18" s="35">
        <f>IF(B18="A","ja/nein",$D$28/COUNTIF($B$17:$B$18,"B"))</f>
        <v>75</v>
      </c>
      <c r="E18" s="36" t="str">
        <f>IF($B18&lt;&gt;"A","nicht nachvollziehbar oder unplausibel","")</f>
        <v>nicht nachvollziehbar oder unplausibel</v>
      </c>
      <c r="F18" s="36" t="str">
        <f>IF($B18&lt;&gt;"A","nur eingeschränkt nachvollziehbar, grob und/oder lückenhaft","")</f>
        <v>nur eingeschränkt nachvollziehbar, grob und/oder lückenhaft</v>
      </c>
      <c r="G18" s="36" t="str">
        <f>IF($B18&lt;&gt;"A","grundsätzlich nachvollziehbar, weist jedoch einzelne Unklarheiten auf","")</f>
        <v>grundsätzlich nachvollziehbar, weist jedoch einzelne Unklarheiten auf</v>
      </c>
      <c r="H18" s="36" t="str">
        <f>IF($B18&lt;&gt;"A","gut nachvollziehbar und überwiegend plausibel.","")</f>
        <v>gut nachvollziehbar und überwiegend plausibel.</v>
      </c>
      <c r="I18" s="75" t="str">
        <f>IF(B18&lt;&gt;"A","vollständig, sehr gut nachvollziehbar und plausibel","")</f>
        <v>vollständig, sehr gut nachvollziehbar und plausibel</v>
      </c>
      <c r="J18" s="78"/>
      <c r="K18" s="37">
        <f>IF(OR($B18="A",$B18="I"),$J18,$D18*IF(ISNUMBER($J18),$J18,0))</f>
        <v>0</v>
      </c>
      <c r="L18" s="114"/>
      <c r="M18" s="78"/>
      <c r="N18" s="37">
        <f>IF(OR($B18="A",$B18="I"),$M18,$D18*IF(ISNUMBER($M18),$M18,0))</f>
        <v>0</v>
      </c>
      <c r="O18" s="114"/>
      <c r="P18" s="78"/>
      <c r="Q18" s="37">
        <f>IF(OR($B18="A",$B18="I"),$P18,$D18*IF(ISNUMBER($P18),$P18,0))</f>
        <v>0</v>
      </c>
      <c r="R18" s="114"/>
    </row>
    <row r="19" spans="1:18" ht="21" x14ac:dyDescent="0.25">
      <c r="A19" s="165" t="str">
        <f>'Gewichtung  (Start)'!$B$8 &amp; " (Gewichtung: " &amp;'Gewichtung  (Start)'!$E$8*100&amp;"%)"</f>
        <v>KG 4 - Umsetzungskonzept (Gewichtung: 50%)</v>
      </c>
      <c r="B19" s="165"/>
      <c r="C19" s="165"/>
      <c r="D19" s="29" t="str">
        <f>IF(SUMIF(B20:B24,"B",D20:D24)&lt;&gt;D29,"!! GP != "&amp;D29 &amp; " !!","")</f>
        <v/>
      </c>
      <c r="E19" s="179" t="str">
        <f>"Anzahl B - Kriterien in Gruppe:  " &amp;  COUNTIF(B20:B24,"B")</f>
        <v>Anzahl B - Kriterien in Gruppe:  5</v>
      </c>
      <c r="F19" s="179"/>
      <c r="G19" s="179"/>
      <c r="H19" s="179"/>
      <c r="I19" s="180"/>
      <c r="J19" s="139"/>
      <c r="K19" s="24"/>
      <c r="L19" s="115"/>
      <c r="M19" s="139"/>
      <c r="N19" s="24"/>
      <c r="O19" s="115"/>
      <c r="P19" s="139"/>
      <c r="Q19" s="24"/>
      <c r="R19" s="115"/>
    </row>
    <row r="20" spans="1:18" ht="64.5" customHeight="1" outlineLevel="1" x14ac:dyDescent="0.25">
      <c r="A20" s="33" t="s">
        <v>27</v>
      </c>
      <c r="B20" s="32" t="s">
        <v>21</v>
      </c>
      <c r="C20" s="30" t="s">
        <v>86</v>
      </c>
      <c r="D20" s="35">
        <f>IF(B20="A","ja/nein",$D$29/COUNTIF($B$20:$B$24,"B"))</f>
        <v>100</v>
      </c>
      <c r="E20" s="36" t="str">
        <f>IF($B20&lt;&gt;"A","nicht nachvollziehbar oder unplausibel","")</f>
        <v>nicht nachvollziehbar oder unplausibel</v>
      </c>
      <c r="F20" s="36" t="str">
        <f>IF($B20&lt;&gt;"A","nur eingeschränkt nachvollziehbar, grob und/oder lückenhaft","")</f>
        <v>nur eingeschränkt nachvollziehbar, grob und/oder lückenhaft</v>
      </c>
      <c r="G20" s="36" t="str">
        <f>IF($B20&lt;&gt;"A","grundsätzlich nachvollziehbar, weist jedoch einzelne Unklarheiten auf","")</f>
        <v>grundsätzlich nachvollziehbar, weist jedoch einzelne Unklarheiten auf</v>
      </c>
      <c r="H20" s="36" t="str">
        <f>IF($B20&lt;&gt;"A","gut nachvollziehbar und überwiegend plausibel.","")</f>
        <v>gut nachvollziehbar und überwiegend plausibel.</v>
      </c>
      <c r="I20" s="75" t="str">
        <f>IF(B20&lt;&gt;"A","vollständig, sehr gut nachvollziehbar und plausibel","")</f>
        <v>vollständig, sehr gut nachvollziehbar und plausibel</v>
      </c>
      <c r="J20" s="78"/>
      <c r="K20" s="37">
        <f t="shared" ref="K20:K24" si="10">IF(OR($B20="A",$B20="I"),$J20,$D20*IF(ISNUMBER($J20),$J20,0))</f>
        <v>0</v>
      </c>
      <c r="L20" s="114"/>
      <c r="M20" s="78"/>
      <c r="N20" s="37">
        <f>IF(OR($B20="A",$B20="I"),$M20,$D20*IF(ISNUMBER($M20),$M20,0))</f>
        <v>0</v>
      </c>
      <c r="O20" s="114"/>
      <c r="P20" s="78"/>
      <c r="Q20" s="37">
        <f>IF(OR($B20="A",$B20="I"),$P20,$D20*IF(ISNUMBER($P20),$P20,0))</f>
        <v>0</v>
      </c>
      <c r="R20" s="114"/>
    </row>
    <row r="21" spans="1:18" ht="64.5" customHeight="1" outlineLevel="1" x14ac:dyDescent="0.25">
      <c r="A21" s="33" t="s">
        <v>28</v>
      </c>
      <c r="B21" s="32" t="s">
        <v>21</v>
      </c>
      <c r="C21" s="30" t="s">
        <v>83</v>
      </c>
      <c r="D21" s="35">
        <f t="shared" ref="D21:D24" si="11">IF(B21="A","ja/nein",$D$29/COUNTIF($B$20:$B$24,"B"))</f>
        <v>100</v>
      </c>
      <c r="E21" s="36" t="str">
        <f t="shared" ref="E21:E24" si="12">IF($B21&lt;&gt;"A","nicht nachvollziehbar oder unplausibel","")</f>
        <v>nicht nachvollziehbar oder unplausibel</v>
      </c>
      <c r="F21" s="36" t="str">
        <f t="shared" ref="F21:F24" si="13">IF($B21&lt;&gt;"A","nur eingeschränkt nachvollziehbar, grob und/oder lückenhaft","")</f>
        <v>nur eingeschränkt nachvollziehbar, grob und/oder lückenhaft</v>
      </c>
      <c r="G21" s="36" t="str">
        <f t="shared" ref="G21:G24" si="14">IF($B21&lt;&gt;"A","grundsätzlich nachvollziehbar, weist jedoch einzelne Unklarheiten auf","")</f>
        <v>grundsätzlich nachvollziehbar, weist jedoch einzelne Unklarheiten auf</v>
      </c>
      <c r="H21" s="36" t="str">
        <f t="shared" ref="H21:H24" si="15">IF($B21&lt;&gt;"A","gut nachvollziehbar und überwiegend plausibel.","")</f>
        <v>gut nachvollziehbar und überwiegend plausibel.</v>
      </c>
      <c r="I21" s="75" t="str">
        <f t="shared" ref="I21:I24" si="16">IF(B21&lt;&gt;"A","vollständig, sehr gut nachvollziehbar und plausibel","")</f>
        <v>vollständig, sehr gut nachvollziehbar und plausibel</v>
      </c>
      <c r="J21" s="78"/>
      <c r="K21" s="37">
        <f t="shared" si="10"/>
        <v>0</v>
      </c>
      <c r="L21" s="114"/>
      <c r="M21" s="78"/>
      <c r="N21" s="37">
        <f t="shared" ref="N21:N24" si="17">IF(OR($B21="A",$B21="I"),$M21,$D21*IF(ISNUMBER($M21),$M21,0))</f>
        <v>0</v>
      </c>
      <c r="O21" s="114"/>
      <c r="P21" s="78"/>
      <c r="Q21" s="37">
        <f t="shared" ref="Q21:Q24" si="18">IF(OR($B21="A",$B21="I"),$P21,$D21*IF(ISNUMBER($P21),$P21,0))</f>
        <v>0</v>
      </c>
      <c r="R21" s="114"/>
    </row>
    <row r="22" spans="1:18" ht="64.5" customHeight="1" outlineLevel="1" x14ac:dyDescent="0.25">
      <c r="A22" s="33" t="s">
        <v>33</v>
      </c>
      <c r="B22" s="32" t="s">
        <v>21</v>
      </c>
      <c r="C22" s="30" t="s">
        <v>84</v>
      </c>
      <c r="D22" s="35">
        <f t="shared" si="11"/>
        <v>100</v>
      </c>
      <c r="E22" s="36" t="str">
        <f t="shared" si="12"/>
        <v>nicht nachvollziehbar oder unplausibel</v>
      </c>
      <c r="F22" s="36" t="str">
        <f t="shared" si="13"/>
        <v>nur eingeschränkt nachvollziehbar, grob und/oder lückenhaft</v>
      </c>
      <c r="G22" s="36" t="str">
        <f t="shared" si="14"/>
        <v>grundsätzlich nachvollziehbar, weist jedoch einzelne Unklarheiten auf</v>
      </c>
      <c r="H22" s="36" t="str">
        <f t="shared" si="15"/>
        <v>gut nachvollziehbar und überwiegend plausibel.</v>
      </c>
      <c r="I22" s="75" t="str">
        <f t="shared" si="16"/>
        <v>vollständig, sehr gut nachvollziehbar und plausibel</v>
      </c>
      <c r="J22" s="78"/>
      <c r="K22" s="37">
        <f t="shared" si="10"/>
        <v>0</v>
      </c>
      <c r="L22" s="114"/>
      <c r="M22" s="78"/>
      <c r="N22" s="37">
        <f t="shared" si="17"/>
        <v>0</v>
      </c>
      <c r="O22" s="114"/>
      <c r="P22" s="78"/>
      <c r="Q22" s="37">
        <f t="shared" si="18"/>
        <v>0</v>
      </c>
      <c r="R22" s="114"/>
    </row>
    <row r="23" spans="1:18" ht="64.5" customHeight="1" outlineLevel="1" x14ac:dyDescent="0.25">
      <c r="A23" s="33" t="s">
        <v>35</v>
      </c>
      <c r="B23" s="32" t="s">
        <v>21</v>
      </c>
      <c r="C23" s="30" t="s">
        <v>87</v>
      </c>
      <c r="D23" s="35">
        <f t="shared" si="11"/>
        <v>100</v>
      </c>
      <c r="E23" s="36" t="str">
        <f t="shared" si="12"/>
        <v>nicht nachvollziehbar oder unplausibel</v>
      </c>
      <c r="F23" s="36" t="str">
        <f t="shared" si="13"/>
        <v>nur eingeschränkt nachvollziehbar, grob und/oder lückenhaft</v>
      </c>
      <c r="G23" s="36" t="str">
        <f t="shared" si="14"/>
        <v>grundsätzlich nachvollziehbar, weist jedoch einzelne Unklarheiten auf</v>
      </c>
      <c r="H23" s="36" t="str">
        <f t="shared" si="15"/>
        <v>gut nachvollziehbar und überwiegend plausibel.</v>
      </c>
      <c r="I23" s="75" t="str">
        <f t="shared" si="16"/>
        <v>vollständig, sehr gut nachvollziehbar und plausibel</v>
      </c>
      <c r="J23" s="78"/>
      <c r="K23" s="37">
        <f t="shared" si="10"/>
        <v>0</v>
      </c>
      <c r="L23" s="114"/>
      <c r="M23" s="78"/>
      <c r="N23" s="37">
        <f t="shared" si="17"/>
        <v>0</v>
      </c>
      <c r="O23" s="114"/>
      <c r="P23" s="78"/>
      <c r="Q23" s="37">
        <f t="shared" si="18"/>
        <v>0</v>
      </c>
      <c r="R23" s="114"/>
    </row>
    <row r="24" spans="1:18" ht="64.5" customHeight="1" outlineLevel="1" x14ac:dyDescent="0.25">
      <c r="A24" s="33" t="s">
        <v>68</v>
      </c>
      <c r="B24" s="32" t="s">
        <v>21</v>
      </c>
      <c r="C24" s="30" t="s">
        <v>85</v>
      </c>
      <c r="D24" s="35">
        <f t="shared" si="11"/>
        <v>100</v>
      </c>
      <c r="E24" s="36" t="str">
        <f t="shared" si="12"/>
        <v>nicht nachvollziehbar oder unplausibel</v>
      </c>
      <c r="F24" s="36" t="str">
        <f t="shared" si="13"/>
        <v>nur eingeschränkt nachvollziehbar, grob und/oder lückenhaft</v>
      </c>
      <c r="G24" s="36" t="str">
        <f t="shared" si="14"/>
        <v>grundsätzlich nachvollziehbar, weist jedoch einzelne Unklarheiten auf</v>
      </c>
      <c r="H24" s="36" t="str">
        <f t="shared" si="15"/>
        <v>gut nachvollziehbar und überwiegend plausibel.</v>
      </c>
      <c r="I24" s="75" t="str">
        <f t="shared" si="16"/>
        <v>vollständig, sehr gut nachvollziehbar und plausibel</v>
      </c>
      <c r="J24" s="78"/>
      <c r="K24" s="37">
        <f t="shared" si="10"/>
        <v>0</v>
      </c>
      <c r="L24" s="114"/>
      <c r="M24" s="78"/>
      <c r="N24" s="37">
        <f t="shared" si="17"/>
        <v>0</v>
      </c>
      <c r="O24" s="114"/>
      <c r="P24" s="78"/>
      <c r="Q24" s="37">
        <f t="shared" si="18"/>
        <v>0</v>
      </c>
      <c r="R24" s="114"/>
    </row>
    <row r="25" spans="1:18" ht="21" x14ac:dyDescent="0.25">
      <c r="A25" s="83" t="s">
        <v>44</v>
      </c>
      <c r="B25" s="83"/>
      <c r="C25" s="83"/>
      <c r="D25" s="29"/>
      <c r="E25" s="83"/>
      <c r="F25" s="83"/>
      <c r="G25" s="127"/>
      <c r="H25" s="127"/>
      <c r="I25" s="68"/>
      <c r="J25" s="177"/>
      <c r="K25" s="158"/>
      <c r="L25" s="159"/>
      <c r="M25" s="177"/>
      <c r="N25" s="158"/>
      <c r="O25" s="159"/>
      <c r="P25" s="177"/>
      <c r="Q25" s="158"/>
      <c r="R25" s="159"/>
    </row>
    <row r="26" spans="1:18" outlineLevel="1" x14ac:dyDescent="0.25">
      <c r="A26" t="str">
        <f>A6</f>
        <v>KG 1 - Unternehmensdarstellung und Eignungsprüfung (Gewichtung: 20%)</v>
      </c>
      <c r="D26" s="34">
        <f>1000*'Gewichtung  (Start)'!$E5</f>
        <v>200</v>
      </c>
      <c r="E26" s="31"/>
      <c r="F26" s="31"/>
      <c r="G26" s="31"/>
      <c r="H26" s="31"/>
      <c r="I26" s="76"/>
      <c r="J26" s="140"/>
      <c r="K26" s="31">
        <f>IF(COUNTIF(K7:K9,"nein")&gt;0,"A-Verstoß",SUM(K7:K9))</f>
        <v>0</v>
      </c>
      <c r="L26" s="116"/>
      <c r="M26" s="140"/>
      <c r="N26" s="31">
        <f>IF(COUNTIF(N7:N9,"nein")&gt;0,"A-Verstoß",SUM(N7:N9))</f>
        <v>0</v>
      </c>
      <c r="O26" s="116"/>
      <c r="P26" s="140"/>
      <c r="Q26" s="31">
        <f>IF(COUNTIF(Q7:Q9,"nein")&gt;0,"A-Verstoß",SUM(Q7:Q9))</f>
        <v>0</v>
      </c>
      <c r="R26" s="116"/>
    </row>
    <row r="27" spans="1:18" outlineLevel="1" x14ac:dyDescent="0.25">
      <c r="A27" t="str">
        <f>A11</f>
        <v>KG 2 - Mitarbeiterqualifikation / Fachkunde (Gewichtung: 15%)</v>
      </c>
      <c r="D27" s="34">
        <f>1000*'Gewichtung  (Start)'!$E6</f>
        <v>150</v>
      </c>
      <c r="E27" s="31"/>
      <c r="F27" s="31"/>
      <c r="G27" s="31"/>
      <c r="H27" s="31"/>
      <c r="I27" s="76"/>
      <c r="J27" s="140"/>
      <c r="K27" s="31">
        <f>IF(COUNTIF(K12:K15,"nein")&gt;0,"A-Verstoß",SUM(K12:K15))</f>
        <v>0</v>
      </c>
      <c r="L27" s="116"/>
      <c r="M27" s="140"/>
      <c r="N27" s="31">
        <f>IF(COUNTIF(N12:N15,"nein")&gt;0,"A-Verstoß",SUM(N12:N15))</f>
        <v>0</v>
      </c>
      <c r="O27" s="116"/>
      <c r="P27" s="140"/>
      <c r="Q27" s="31">
        <f>IF(COUNTIF(Q12:Q15,"nein")&gt;0,"A-Verstoß",SUM(Q12:Q15))</f>
        <v>0</v>
      </c>
      <c r="R27" s="116"/>
    </row>
    <row r="28" spans="1:18" outlineLevel="1" x14ac:dyDescent="0.25">
      <c r="A28" t="str">
        <f>A16</f>
        <v>KG 3 - Preisgestaltung und Aufwandsplanung (Gewichtung: 15%)</v>
      </c>
      <c r="D28" s="34">
        <f>1000*'Gewichtung  (Start)'!$E7</f>
        <v>150</v>
      </c>
      <c r="E28" s="31"/>
      <c r="F28" s="31"/>
      <c r="G28" s="31"/>
      <c r="H28" s="31"/>
      <c r="I28" s="76"/>
      <c r="J28" s="140"/>
      <c r="K28" s="31">
        <f>IF(COUNTIF(K17:K18,"nein")&gt;0,"A-Verstoß",SUM(K17:K18))</f>
        <v>0</v>
      </c>
      <c r="L28" s="116"/>
      <c r="M28" s="140"/>
      <c r="N28" s="31">
        <f>IF(COUNTIF(N17:N18,"nein")&gt;0,"A-Verstoß",SUM(N17:N18))</f>
        <v>0</v>
      </c>
      <c r="O28" s="116"/>
      <c r="P28" s="140"/>
      <c r="Q28" s="31">
        <f>IF(COUNTIF(Q17:Q18,"nein")&gt;0,"A-Verstoß",SUM(Q17:Q18))</f>
        <v>0</v>
      </c>
      <c r="R28" s="116"/>
    </row>
    <row r="29" spans="1:18" outlineLevel="1" x14ac:dyDescent="0.25">
      <c r="A29" t="str">
        <f>A19</f>
        <v>KG 4 - Umsetzungskonzept (Gewichtung: 50%)</v>
      </c>
      <c r="D29" s="34">
        <f>1000*'Gewichtung  (Start)'!$E8</f>
        <v>500</v>
      </c>
      <c r="E29" s="31"/>
      <c r="F29" s="31"/>
      <c r="G29" s="31"/>
      <c r="H29" s="31"/>
      <c r="I29" s="76"/>
      <c r="J29" s="140"/>
      <c r="K29" s="31">
        <f>IF(COUNTIF(K20:K24,"nein")&gt;0,"A-Verstoß",SUM(K20:K24))</f>
        <v>0</v>
      </c>
      <c r="L29" s="116"/>
      <c r="M29" s="140"/>
      <c r="N29" s="31">
        <f>IF(COUNTIF(N20:N24,"nein")&gt;0,"A-Verstoß",SUM(N20:N24))</f>
        <v>0</v>
      </c>
      <c r="O29" s="116"/>
      <c r="P29" s="140"/>
      <c r="Q29" s="31">
        <f>IF(COUNTIF(Q20:Q24,"nein")&gt;0,"A-Verstoß",SUM(Q20:Q24))</f>
        <v>0</v>
      </c>
      <c r="R29" s="116"/>
    </row>
    <row r="30" spans="1:18" s="63" customFormat="1" ht="18.75" x14ac:dyDescent="0.3">
      <c r="A30" s="161" t="s">
        <v>51</v>
      </c>
      <c r="B30" s="161"/>
      <c r="C30" s="161"/>
      <c r="D30" s="58">
        <f>SUM(D26:D29)</f>
        <v>1000</v>
      </c>
      <c r="E30" s="59"/>
      <c r="F30" s="59"/>
      <c r="G30" s="59"/>
      <c r="H30" s="59"/>
      <c r="I30" s="72"/>
      <c r="J30" s="141"/>
      <c r="K30" s="61">
        <f>SUM(K26:K29)</f>
        <v>0</v>
      </c>
      <c r="L30" s="117"/>
      <c r="M30" s="141"/>
      <c r="N30" s="61">
        <f>SUM(N26:N29)</f>
        <v>0</v>
      </c>
      <c r="O30" s="117"/>
      <c r="P30" s="141"/>
      <c r="Q30" s="61">
        <f>SUM(Q26:Q29)</f>
        <v>0</v>
      </c>
      <c r="R30" s="117"/>
    </row>
    <row r="31" spans="1:18" x14ac:dyDescent="0.25">
      <c r="A31" s="25"/>
      <c r="B31" s="25"/>
      <c r="C31" s="133" t="s">
        <v>79</v>
      </c>
      <c r="I31" s="71"/>
      <c r="J31" s="142"/>
      <c r="K31" s="25"/>
      <c r="L31" s="116"/>
      <c r="M31" s="142"/>
      <c r="N31" s="25"/>
      <c r="O31" s="116"/>
      <c r="P31" s="142"/>
      <c r="Q31" s="25"/>
      <c r="R31" s="116"/>
    </row>
    <row r="32" spans="1:18" x14ac:dyDescent="0.25">
      <c r="A32" s="25"/>
      <c r="B32" s="25"/>
      <c r="C32" s="134"/>
      <c r="I32" s="71"/>
      <c r="J32" s="142"/>
      <c r="K32" s="25"/>
      <c r="L32" s="116"/>
      <c r="M32" s="142"/>
      <c r="N32" s="25"/>
      <c r="O32" s="116"/>
      <c r="P32" s="142"/>
      <c r="Q32" s="25"/>
      <c r="R32" s="116"/>
    </row>
    <row r="33" spans="1:18" ht="21" x14ac:dyDescent="0.25">
      <c r="A33" s="165" t="s">
        <v>67</v>
      </c>
      <c r="B33" s="165"/>
      <c r="C33" s="178"/>
      <c r="D33" s="24"/>
      <c r="E33" s="83"/>
      <c r="F33" s="83"/>
      <c r="G33" s="127"/>
      <c r="H33" s="127"/>
      <c r="I33" s="68"/>
      <c r="J33" s="67"/>
      <c r="K33" s="129"/>
      <c r="L33" s="112"/>
      <c r="M33" s="67"/>
      <c r="N33" s="129"/>
      <c r="O33" s="112"/>
      <c r="P33" s="67"/>
      <c r="Q33" s="129"/>
      <c r="R33" s="112"/>
    </row>
    <row r="34" spans="1:18" x14ac:dyDescent="0.25">
      <c r="A34" s="25"/>
      <c r="B34" s="25"/>
      <c r="C34" s="134" t="s">
        <v>62</v>
      </c>
      <c r="D34" s="25">
        <f>150*8</f>
        <v>1200</v>
      </c>
      <c r="I34" s="71"/>
      <c r="J34" s="142"/>
      <c r="K34" s="85"/>
      <c r="L34" s="116"/>
      <c r="M34" s="142"/>
      <c r="N34" s="85"/>
      <c r="O34" s="116"/>
      <c r="P34" s="142"/>
      <c r="Q34" s="85"/>
      <c r="R34" s="116"/>
    </row>
    <row r="35" spans="1:18" x14ac:dyDescent="0.25">
      <c r="A35" s="25"/>
      <c r="B35" s="25"/>
      <c r="C35" s="134" t="s">
        <v>60</v>
      </c>
      <c r="D35" s="84">
        <v>0.9</v>
      </c>
      <c r="I35" s="71"/>
      <c r="J35" s="140"/>
      <c r="K35" s="109">
        <v>0</v>
      </c>
      <c r="L35" s="110"/>
      <c r="M35" s="140"/>
      <c r="N35" s="109">
        <v>0</v>
      </c>
      <c r="O35" s="110"/>
      <c r="P35" s="140"/>
      <c r="Q35" s="109">
        <v>0</v>
      </c>
      <c r="R35" s="110"/>
    </row>
    <row r="36" spans="1:18" x14ac:dyDescent="0.25">
      <c r="A36" s="25"/>
      <c r="B36" s="25"/>
      <c r="C36" s="134" t="s">
        <v>61</v>
      </c>
      <c r="D36" s="84">
        <v>0.1</v>
      </c>
      <c r="I36" s="71"/>
      <c r="J36" s="140"/>
      <c r="K36" s="109">
        <v>0</v>
      </c>
      <c r="L36" s="110"/>
      <c r="M36" s="140"/>
      <c r="N36" s="109">
        <v>0</v>
      </c>
      <c r="O36" s="110"/>
      <c r="P36" s="140"/>
      <c r="Q36" s="109">
        <v>0</v>
      </c>
      <c r="R36" s="110"/>
    </row>
    <row r="37" spans="1:18" x14ac:dyDescent="0.25">
      <c r="A37" s="25"/>
      <c r="B37" s="25"/>
      <c r="C37" s="134" t="s">
        <v>63</v>
      </c>
      <c r="I37" s="71"/>
      <c r="J37" s="140"/>
      <c r="K37" s="109">
        <f>$D$35*($D$34*K35)+$D$36*($D$34*K36)</f>
        <v>0</v>
      </c>
      <c r="L37" s="110"/>
      <c r="M37" s="140"/>
      <c r="N37" s="109">
        <f>$D$35*($D$34*N35)+$D$36*($D$34*N36)</f>
        <v>0</v>
      </c>
      <c r="O37" s="110"/>
      <c r="P37" s="140"/>
      <c r="Q37" s="109">
        <f>$D$35*($D$34*Q35)+$D$36*($D$34*Q36)</f>
        <v>0</v>
      </c>
      <c r="R37" s="110"/>
    </row>
    <row r="38" spans="1:18" x14ac:dyDescent="0.25">
      <c r="A38" s="95"/>
      <c r="B38" s="95"/>
      <c r="C38" s="135" t="s">
        <v>69</v>
      </c>
      <c r="D38" s="93">
        <v>0.2</v>
      </c>
      <c r="E38" s="126" t="str">
        <f>"(Median bei: " &amp;MEDIAN($37:$37) &amp;")"</f>
        <v>(Median bei: 0)</v>
      </c>
      <c r="F38" s="92"/>
      <c r="G38" s="92"/>
      <c r="H38" s="92"/>
      <c r="I38" s="94"/>
      <c r="J38" s="143"/>
      <c r="K38" s="107" t="str">
        <f>IF(AND(K$37&gt;=MEDIAN($37:$37)*(1-$D$38),K$37&lt;=MEDIAN($37:$37)*(1+$D$38)),"X","-")</f>
        <v>X</v>
      </c>
      <c r="L38" s="120"/>
      <c r="M38" s="143"/>
      <c r="N38" s="107" t="str">
        <f>IF(AND(N$37&gt;=MEDIAN($37:$37)*(1-$D$38),N$37&lt;=MEDIAN($37:$37)*(1+$D$38)),"X","-")</f>
        <v>X</v>
      </c>
      <c r="O38" s="120"/>
      <c r="P38" s="143"/>
      <c r="Q38" s="107" t="str">
        <f>IF(AND(Q$37&gt;=MEDIAN($37:$37)*(1-$D$38),Q$37&lt;=MEDIAN($37:$37)*(1+$D$38)),"X","-")</f>
        <v>X</v>
      </c>
      <c r="R38" s="120"/>
    </row>
    <row r="39" spans="1:18" s="47" customFormat="1" ht="18.75" x14ac:dyDescent="0.3">
      <c r="A39" s="175" t="s">
        <v>94</v>
      </c>
      <c r="B39" s="175"/>
      <c r="C39" s="176" t="s">
        <v>52</v>
      </c>
      <c r="D39" s="54"/>
      <c r="E39" s="49"/>
      <c r="F39" s="49"/>
      <c r="G39" s="49"/>
      <c r="H39" s="49"/>
      <c r="I39" s="77"/>
      <c r="J39" s="108"/>
      <c r="K39" s="86" t="str">
        <f>IF(AND(K37&gt;0),K30/K37*100,"-")</f>
        <v>-</v>
      </c>
      <c r="L39" s="121"/>
      <c r="M39" s="108"/>
      <c r="N39" s="86" t="str">
        <f>IF(AND(N37&gt;0),N30/N37*100,"-")</f>
        <v>-</v>
      </c>
      <c r="O39" s="121"/>
      <c r="Q39" s="86" t="str">
        <f>IF(AND(Q37&gt;0),Q30/Q37*100,"-")</f>
        <v>-</v>
      </c>
    </row>
    <row r="40" spans="1:18" s="25" customFormat="1" x14ac:dyDescent="0.25">
      <c r="A40"/>
      <c r="B40"/>
      <c r="C40" s="124"/>
      <c r="E40"/>
      <c r="F40"/>
      <c r="G40"/>
      <c r="H40"/>
      <c r="I40"/>
      <c r="J40"/>
      <c r="K40"/>
      <c r="L40" s="118"/>
      <c r="M40"/>
      <c r="N40"/>
      <c r="O40" s="118"/>
    </row>
    <row r="41" spans="1:18" s="25" customFormat="1" x14ac:dyDescent="0.25">
      <c r="A41"/>
      <c r="B41"/>
      <c r="C41"/>
      <c r="E41"/>
      <c r="F41"/>
      <c r="G41"/>
      <c r="H41"/>
      <c r="I41"/>
      <c r="J41"/>
      <c r="K41"/>
      <c r="L41" s="118"/>
      <c r="M41"/>
      <c r="N41"/>
      <c r="O41" s="118"/>
    </row>
    <row r="42" spans="1:18" s="25" customFormat="1" x14ac:dyDescent="0.25">
      <c r="A42"/>
      <c r="B42"/>
      <c r="C42"/>
      <c r="E42" s="122"/>
      <c r="F42"/>
      <c r="G42"/>
      <c r="H42"/>
      <c r="I42"/>
      <c r="J42"/>
      <c r="K42"/>
      <c r="L42" s="118"/>
      <c r="M42"/>
      <c r="N42"/>
      <c r="O42" s="118"/>
    </row>
    <row r="43" spans="1:18" s="25" customFormat="1" x14ac:dyDescent="0.25">
      <c r="A43"/>
      <c r="B43"/>
      <c r="C43"/>
      <c r="E43"/>
      <c r="F43"/>
      <c r="G43"/>
      <c r="H43"/>
      <c r="I43"/>
      <c r="J43"/>
      <c r="K43" s="123"/>
      <c r="L43" s="118"/>
      <c r="M43"/>
      <c r="N43" s="123"/>
      <c r="O43" s="118"/>
    </row>
    <row r="45" spans="1:18" x14ac:dyDescent="0.25">
      <c r="L45" s="119"/>
      <c r="O45" s="119"/>
    </row>
    <row r="48" spans="1:18" x14ac:dyDescent="0.25">
      <c r="J48" s="125"/>
      <c r="M48" s="125"/>
    </row>
  </sheetData>
  <mergeCells count="18">
    <mergeCell ref="M3:O3"/>
    <mergeCell ref="M25:O25"/>
    <mergeCell ref="P3:R3"/>
    <mergeCell ref="P25:R25"/>
    <mergeCell ref="A1:R1"/>
    <mergeCell ref="E4:I4"/>
    <mergeCell ref="E6:I6"/>
    <mergeCell ref="E11:I11"/>
    <mergeCell ref="D3:I3"/>
    <mergeCell ref="J3:L3"/>
    <mergeCell ref="A30:C30"/>
    <mergeCell ref="A39:C39"/>
    <mergeCell ref="A16:C16"/>
    <mergeCell ref="J25:L25"/>
    <mergeCell ref="A33:C33"/>
    <mergeCell ref="A19:C19"/>
    <mergeCell ref="E16:I16"/>
    <mergeCell ref="E19:I19"/>
  </mergeCells>
  <conditionalFormatting sqref="D7:I10 K7:K10 D12:K15">
    <cfRule type="expression" dxfId="6" priority="15">
      <formula>IF($B7="A",TRUE,FALSE)</formula>
    </cfRule>
  </conditionalFormatting>
  <conditionalFormatting sqref="D17:K18">
    <cfRule type="expression" dxfId="5" priority="6">
      <formula>IF($B17="A",TRUE,FALSE)</formula>
    </cfRule>
  </conditionalFormatting>
  <conditionalFormatting sqref="D20:K24">
    <cfRule type="expression" dxfId="4" priority="5">
      <formula>IF($B20="A",TRUE,FALSE)</formula>
    </cfRule>
  </conditionalFormatting>
  <conditionalFormatting sqref="M17:N18 M20:N24">
    <cfRule type="expression" dxfId="3" priority="3">
      <formula>IF($B17="A",TRUE,FALSE)</formula>
    </cfRule>
  </conditionalFormatting>
  <conditionalFormatting sqref="N7:N10 M12:N15">
    <cfRule type="expression" dxfId="2" priority="4">
      <formula>IF($B7="A",TRUE,FALSE)</formula>
    </cfRule>
  </conditionalFormatting>
  <conditionalFormatting sqref="P17:Q18 P20:Q24">
    <cfRule type="expression" dxfId="1" priority="1">
      <formula>IF($B17="A",TRUE,FALSE)</formula>
    </cfRule>
  </conditionalFormatting>
  <conditionalFormatting sqref="Q7:Q10 P12:Q15">
    <cfRule type="expression" dxfId="0" priority="2">
      <formula>IF($B7="A",TRUE,FALSE)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2733CFFA280441A43EA35051D77E86" ma:contentTypeVersion="8" ma:contentTypeDescription="Ein neues Dokument erstellen." ma:contentTypeScope="" ma:versionID="26a2c2fc3880133b4c89f007bfb15db4">
  <xsd:schema xmlns:xsd="http://www.w3.org/2001/XMLSchema" xmlns:xs="http://www.w3.org/2001/XMLSchema" xmlns:p="http://schemas.microsoft.com/office/2006/metadata/properties" xmlns:ns2="e37ca41d-a92e-444e-8ca5-bdc518b0df07" xmlns:ns3="2db3f737-4d9b-42ac-b7bb-8294d868488c" targetNamespace="http://schemas.microsoft.com/office/2006/metadata/properties" ma:root="true" ma:fieldsID="6327d14007ec1c3e2781171a9549cd33" ns2:_="" ns3:_="">
    <xsd:import namespace="e37ca41d-a92e-444e-8ca5-bdc518b0df07"/>
    <xsd:import namespace="2db3f737-4d9b-42ac-b7bb-8294d86848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ca41d-a92e-444e-8ca5-bdc518b0d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3f737-4d9b-42ac-b7bb-8294d868488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f:fields xmlns:f="http://schemas.fabasoft.com/folio/2007/fields">
  <f:record>
    <f:field ref="doc_FSCFOLIO_1_1001_FieldDocumentNumber" par="" text="1"/>
    <f:field ref="doc_FSCFOLIO_1_1001_FieldSubject" par="" text="" edit="true"/>
    <f:field ref="FSCFOLIO_1_1001_SignaturesFldCtx_FSCFOLIO_1_1001_FieldLastSignature" par="" text=""/>
    <f:field ref="FSCFOLIO_1_1001_SignaturesFldCtx_FSCFOLIO_1_1001_FieldLastSignatureBy" par="" text=""/>
    <f:field ref="FSCFOLIO_1_1001_SignaturesFldCtx_FSCFOLIO_1_1001_FieldLastSignatureAt" par="" date="" text=""/>
    <f:field ref="FSCFOLIO_1_1001_SignaturesFldCtx_FSCFOLIO_1_1001_FieldLastSignatureRemark" par="" text=""/>
    <f:field ref="FSCFOLIO_1_1001_FieldCurrentUser" par="" text="Martin Schwark"/>
    <f:field ref="CCAPRECONFIG_15_1001_Objektname" par="" text="2019_0415_Prüfmatrix_SQL" edit="true"/>
    <f:field ref="DEPRECONFIG_15_1001_Objektname" par="" text="2019_0415_Prüfmatrix_SQL" edit="true"/>
    <f:field ref="objname" par="" text="2019_0415_Prüfmatrix_SQL" edit="true"/>
    <f:field ref="objsubject" par="" text="" edit="true"/>
    <f:field ref="objcreatedby" par="" text="Saman, Roabi"/>
    <f:field ref="objcreatedat" par="" date="2019-05-06T07:08:46" text="06.05.2019 07:08:46"/>
    <f:field ref="objchangedby" par="" text="Saman, Roabi"/>
    <f:field ref="objmodifiedat" par="" date="2019-05-06T07:08:49" text="06.05.2019 07:08:49"/>
  </f:record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Allgemein">
    <f:field ref="FSCFOLIO_1_1001_FieldCurrentUser" text="Aktueller Benutzer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record inx="1">
    <f:field ref="DEPRECONFIG_15_1001_Anrede" par="" text="" edit="true"/>
    <f:field ref="DEPRECONFIG_15_1001_Titel" par="" text="" edit="true"/>
    <f:field ref="DEPRECONFIG_15_1001_Vorname" par="" text="" edit="true"/>
    <f:field ref="DEPRECONFIG_15_1001_Nachname" par="" text="" edit="true"/>
    <f:field ref="DEPRECONFIG_15_1001_Strasse" par="" text=""/>
    <f:field ref="DEPRECONFIG_15_1001_Postleitzahl" par="" text=""/>
    <f:field ref="DEPRECONFIG_15_1001_Ort" par="" text=""/>
    <f:field ref="DEPRECONFIG_15_1001_EMailAdresse" par="" text=""/>
    <f:field ref="DEPRECONFIG_15_1001_Bundesland" par="" text=""/>
    <f:field ref="DEPRECONFIG_15_1001_Land" par="" text=""/>
    <f:field ref="DEPRECONFIG_15_1001_Organisationsname" par="" text=""/>
    <f:field ref="DEPRECONFIG_15_1001_Organisationskurzname" par="" text=""/>
    <f:field ref="FAKTCFG_15_1700_ZweiterVorname" par="" text=""/>
    <f:field ref="FAKTCFG_15_1700_Unterorganisation" par="" text=""/>
    <f:field ref="FAKTCFG_15_1700_Unterorganisation_Kurzname" par="" text=""/>
    <f:field ref="FAKTCFG_15_1700_AlternativnameOrganisation" par="" text=""/>
    <f:field ref="FAKTCFG_15_1700_Funktion" par="" text=""/>
    <f:field ref="FAKTCFG_15_1700_Kategorie" par="" text=""/>
    <f:field ref="FAKTCFG_15_1700_Versandart" par="" text=""/>
    <f:field ref="FAKTCFG_15_1700_Telefonnummer" par="" text=""/>
    <f:field ref="FAKTCFG_15_1700_Adresszusatz" par="" text=""/>
    <f:field ref="FAKTCFG_15_1700_Beschreibung" par="" text=""/>
  </f:record>
  <f:display par="" text="Serialcontext &gt; Adressat/innen">
    <f:field ref="DEPRECONFIG_15_1001_Anrede" text="Anrede"/>
    <f:field ref="DEPRECONFIG_15_1001_Titel" text="Titel"/>
    <f:field ref="DEPRECONFIG_15_1001_Vorname" text="Vorname"/>
    <f:field ref="DEPRECONFIG_15_1001_Nachname" text="Nachname"/>
    <f:field ref="DEPRECONFIG_15_1001_Strasse" text="Strasse"/>
    <f:field ref="DEPRECONFIG_15_1001_Postleitzahl" text="Postleitzahl"/>
    <f:field ref="DEPRECONFIG_15_1001_Ort" text="Ort"/>
    <f:field ref="DEPRECONFIG_15_1001_EMailAdresse" text="E-Mail-Adresse"/>
    <f:field ref="DEPRECONFIG_15_1001_Bundesland" text="Bundesland"/>
    <f:field ref="DEPRECONFIG_15_1001_Land" text="Land"/>
    <f:field ref="DEPRECONFIG_15_1001_Organisationsname" text="Organisationsname"/>
    <f:field ref="DEPRECONFIG_15_1001_Organisationskurzname" text="Organisationskurzname"/>
    <f:field ref="FAKTCFG_15_1700_ZweiterVorname" text="Zweiter Vorname"/>
    <f:field ref="FAKTCFG_15_1700_Unterorganisation" text="Unterorganisation"/>
    <f:field ref="FAKTCFG_15_1700_Unterorganisation_Kurzname" text="Unterorganisation (Kurzname)"/>
    <f:field ref="FAKTCFG_15_1700_AlternativnameOrganisation" text="Alternativer Name Organisation"/>
    <f:field ref="FAKTCFG_15_1700_Funktion" text="Funktion"/>
    <f:field ref="FAKTCFG_15_1700_Kategorie" text="Kategorie"/>
    <f:field ref="FAKTCFG_15_1700_Versandart" text="Versandart"/>
    <f:field ref="FAKTCFG_15_1700_Telefonnummer" text="Telefonnummer"/>
    <f:field ref="FAKTCFG_15_1700_Adresszusatz" text="Adresszusatz"/>
    <f:field ref="FAKTCFG_15_1700_Beschreibung" text="Beschreibung"/>
  </f:display>
</f:fields>
</file>

<file path=customXml/itemProps1.xml><?xml version="1.0" encoding="utf-8"?>
<ds:datastoreItem xmlns:ds="http://schemas.openxmlformats.org/officeDocument/2006/customXml" ds:itemID="{69B1C695-BEF1-47C6-849D-A3B5DDE1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ca41d-a92e-444e-8ca5-bdc518b0df07"/>
    <ds:schemaRef ds:uri="2db3f737-4d9b-42ac-b7bb-8294d8684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8345DA-D826-4146-8A65-546595B27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E9853-13E0-410D-B97F-C634F50A5856}">
  <ds:schemaRefs>
    <ds:schemaRef ds:uri="2db3f737-4d9b-42ac-b7bb-8294d868488c"/>
    <ds:schemaRef ds:uri="http://schemas.microsoft.com/office/infopath/2007/PartnerControls"/>
    <ds:schemaRef ds:uri="e37ca41d-a92e-444e-8ca5-bdc518b0df07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Gewichtung  (Start)</vt:lpstr>
      <vt:lpstr>Prüf - PreisQuotienten</vt:lpstr>
      <vt:lpstr>Prüf  einfacher Richtwert</vt:lpstr>
    </vt:vector>
  </TitlesOfParts>
  <Manager/>
  <Company>Robert Koch-Institut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Schwark, Martin</dc:creator>
  <cp:keywords/>
  <dc:description/>
  <cp:lastModifiedBy>Gotthardt, Marion</cp:lastModifiedBy>
  <cp:revision/>
  <cp:lastPrinted>2026-07-14T10:10:52Z</cp:lastPrinted>
  <dcterms:created xsi:type="dcterms:W3CDTF">2019-04-04T10:50:37Z</dcterms:created>
  <dcterms:modified xsi:type="dcterms:W3CDTF">2026-07-14T10:11:33Z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AKTCFG@15.1700:CashSign">
    <vt:lpwstr/>
  </property>
  <property fmtid="{D5CDD505-2E9C-101B-9397-08002B2CF9AE}" pid="3" name="FSC#FAKTCFG@15.1700:InvoiceNumber">
    <vt:lpwstr/>
  </property>
  <property fmtid="{D5CDD505-2E9C-101B-9397-08002B2CF9AE}" pid="4" name="FSC#FAKTCFG@15.1700:InvoiceAmount">
    <vt:lpwstr/>
  </property>
  <property fmtid="{D5CDD505-2E9C-101B-9397-08002B2CF9AE}" pid="5" name="FSC#FAKTCFG@15.1700:MachOrderNr">
    <vt:lpwstr/>
  </property>
  <property fmtid="{D5CDD505-2E9C-101B-9397-08002B2CF9AE}" pid="6" name="FSC#FAKTCFG@15.1700:AuthorTitle">
    <vt:lpwstr/>
  </property>
  <property fmtid="{D5CDD505-2E9C-101B-9397-08002B2CF9AE}" pid="7" name="FSC#FAKTCFG@15.1700:AuthorFirstname">
    <vt:lpwstr/>
  </property>
  <property fmtid="{D5CDD505-2E9C-101B-9397-08002B2CF9AE}" pid="8" name="FSC#FAKTCFG@15.1700:AuthorSurname">
    <vt:lpwstr/>
  </property>
  <property fmtid="{D5CDD505-2E9C-101B-9397-08002B2CF9AE}" pid="9" name="FSC#FAKTCFG@15.1700:AuthorFunction">
    <vt:lpwstr/>
  </property>
  <property fmtid="{D5CDD505-2E9C-101B-9397-08002B2CF9AE}" pid="10" name="FSC#FAKTCFG@15.1700:AuthorPhone">
    <vt:lpwstr/>
  </property>
  <property fmtid="{D5CDD505-2E9C-101B-9397-08002B2CF9AE}" pid="11" name="FSC#FAKTCFG@15.1700:AuthorProfession">
    <vt:lpwstr/>
  </property>
  <property fmtid="{D5CDD505-2E9C-101B-9397-08002B2CF9AE}" pid="12" name="FSC#FAKTCFG@15.1700:AuthorEMail">
    <vt:lpwstr/>
  </property>
  <property fmtid="{D5CDD505-2E9C-101B-9397-08002B2CF9AE}" pid="13" name="FSC#FAKTCFG@15.1700:OwnerGroupShortName">
    <vt:lpwstr>ZV4</vt:lpwstr>
  </property>
  <property fmtid="{D5CDD505-2E9C-101B-9397-08002B2CF9AE}" pid="14" name="FSC#FAKTCFG@15.1700:OwnerGroupLongName">
    <vt:lpwstr>Referat ZV4 - Informationstechnik</vt:lpwstr>
  </property>
  <property fmtid="{D5CDD505-2E9C-101B-9397-08002B2CF9AE}" pid="15" name="FSC#FAKTCFG@15.1700:ProjectNumber">
    <vt:lpwstr/>
  </property>
  <property fmtid="{D5CDD505-2E9C-101B-9397-08002B2CF9AE}" pid="16" name="FSC#FAKTCFG@15.1700:ProjectHead">
    <vt:lpwstr/>
  </property>
  <property fmtid="{D5CDD505-2E9C-101B-9397-08002B2CF9AE}" pid="17" name="FSC#FAKTCFG@15.1700:ProjectHeadGroup">
    <vt:lpwstr/>
  </property>
  <property fmtid="{D5CDD505-2E9C-101B-9397-08002B2CF9AE}" pid="18" name="FSC#FAKTCFG@15.1700:chargenumberexternalsource">
    <vt:lpwstr/>
  </property>
  <property fmtid="{D5CDD505-2E9C-101B-9397-08002B2CF9AE}" pid="19" name="FSC#FAKTCFG@15.1700:ProjectContactType">
    <vt:lpwstr/>
  </property>
  <property fmtid="{D5CDD505-2E9C-101B-9397-08002B2CF9AE}" pid="20" name="FSC#FAKTCFG@15.1700:ProjectComment">
    <vt:lpwstr/>
  </property>
  <property fmtid="{D5CDD505-2E9C-101B-9397-08002B2CF9AE}" pid="21" name="FSC#FAKTCFG@15.1700:File1stAddrAddressee">
    <vt:lpwstr/>
  </property>
  <property fmtid="{D5CDD505-2E9C-101B-9397-08002B2CF9AE}" pid="22" name="FSC#FAKTCFG@15.1700:File1stAddrAddresseeContact">
    <vt:lpwstr/>
  </property>
  <property fmtid="{D5CDD505-2E9C-101B-9397-08002B2CF9AE}" pid="23" name="FSC#FAKTCFG@15.1700:File1stAddrSubOrganisation">
    <vt:lpwstr/>
  </property>
  <property fmtid="{D5CDD505-2E9C-101B-9397-08002B2CF9AE}" pid="24" name="FSC#FAKTCFG@15.1700:File1stAddrTransmissionMedia">
    <vt:lpwstr/>
  </property>
  <property fmtid="{D5CDD505-2E9C-101B-9397-08002B2CF9AE}" pid="25" name="FSC#FAKTCFG@15.1700:File1stAddrCategory">
    <vt:lpwstr/>
  </property>
  <property fmtid="{D5CDD505-2E9C-101B-9397-08002B2CF9AE}" pid="26" name="FSC#FAKTCFG@15.1700:File1stAddrNote">
    <vt:lpwstr/>
  </property>
  <property fmtid="{D5CDD505-2E9C-101B-9397-08002B2CF9AE}" pid="27" name="FSC#FAKTCFG@15.1700:proposalnumber">
    <vt:lpwstr/>
  </property>
  <property fmtid="{D5CDD505-2E9C-101B-9397-08002B2CF9AE}" pid="28" name="FSC#FAKTCFG@15.1700:FileSubjectArea">
    <vt:lpwstr>2.07.01/Vertragsmanagement (konsumtiv)</vt:lpwstr>
  </property>
  <property fmtid="{D5CDD505-2E9C-101B-9397-08002B2CF9AE}" pid="29" name="FSC#FAKTCFG@15.1700:FileType">
    <vt:lpwstr>Standard</vt:lpwstr>
  </property>
  <property fmtid="{D5CDD505-2E9C-101B-9397-08002B2CF9AE}" pid="30" name="FSC#FAKTCFG@15.1700:FileSubject">
    <vt:lpwstr>Diverse IKT DL-Verträge 2013 ff.</vt:lpwstr>
  </property>
  <property fmtid="{D5CDD505-2E9C-101B-9397-08002B2CF9AE}" pid="31" name="FSC#FAKTCFG@15.1700:FileAccessDefinition">
    <vt:lpwstr>Akte (Fachbereich/Referat)</vt:lpwstr>
  </property>
  <property fmtid="{D5CDD505-2E9C-101B-9397-08002B2CF9AE}" pid="32" name="FSC#FAKTCFG@15.1700:FileResponsibleGroup">
    <vt:lpwstr>ZV4</vt:lpwstr>
  </property>
  <property fmtid="{D5CDD505-2E9C-101B-9397-08002B2CF9AE}" pid="33" name="FSC#FAKTCFG@15.1700:FileOwner">
    <vt:lpwstr>Klinke, Andreas</vt:lpwstr>
  </property>
  <property fmtid="{D5CDD505-2E9C-101B-9397-08002B2CF9AE}" pid="34" name="FSC#FAKTCFG@15.1700:FileOwnerGroup">
    <vt:lpwstr>ZReg</vt:lpwstr>
  </property>
  <property fmtid="{D5CDD505-2E9C-101B-9397-08002B2CF9AE}" pid="35" name="FSC#FAKTCFG@15.1700:FileFileRunTimeFrom">
    <vt:lpwstr>04.09.2013</vt:lpwstr>
  </property>
  <property fmtid="{D5CDD505-2E9C-101B-9397-08002B2CF9AE}" pid="36" name="FSC#FAKTCFG@15.1700:FileFileRunTimeTill">
    <vt:lpwstr/>
  </property>
  <property fmtid="{D5CDD505-2E9C-101B-9397-08002B2CF9AE}" pid="37" name="FSC#FAKTCFG@15.1700:FileDocState">
    <vt:lpwstr>In Bearbeitung</vt:lpwstr>
  </property>
  <property fmtid="{D5CDD505-2E9C-101B-9397-08002B2CF9AE}" pid="38" name="FSC#FAKTCFG@15.1700:FileBOState">
    <vt:lpwstr>Erstellt</vt:lpwstr>
  </property>
  <property fmtid="{D5CDD505-2E9C-101B-9397-08002B2CF9AE}" pid="39" name="FSC#FAKTCFG@15.1700:FileRelatedFiles">
    <vt:lpwstr/>
  </property>
  <property fmtid="{D5CDD505-2E9C-101B-9397-08002B2CF9AE}" pid="40" name="FSC#FAKTCFG@15.1700:FileTerms">
    <vt:lpwstr/>
  </property>
  <property fmtid="{D5CDD505-2E9C-101B-9397-08002B2CF9AE}" pid="41" name="FSC#FAKTCFG@15.1700:FileNotice">
    <vt:lpwstr/>
  </property>
  <property fmtid="{D5CDD505-2E9C-101B-9397-08002B2CF9AE}" pid="42" name="FSC#FAKTCFG@15.1700:FileOriginalFileType">
    <vt:lpwstr>Elektronischer Vorgang/Akte</vt:lpwstr>
  </property>
  <property fmtid="{D5CDD505-2E9C-101B-9397-08002B2CF9AE}" pid="43" name="FSC#FAKTCFG@15.1700:DocumentDocCat">
    <vt:lpwstr>Ausschreibungsunterlagen</vt:lpwstr>
  </property>
  <property fmtid="{D5CDD505-2E9C-101B-9397-08002B2CF9AE}" pid="44" name="FSC#FAKTCFG@15.1700:DecisionAndIncAttachments">
    <vt:lpwstr/>
  </property>
  <property fmtid="{D5CDD505-2E9C-101B-9397-08002B2CF9AE}" pid="45" name="FSC#FAKTCFG@15.1700:Subject">
    <vt:lpwstr>Leistungsbeschreibung</vt:lpwstr>
  </property>
  <property fmtid="{D5CDD505-2E9C-101B-9397-08002B2CF9AE}" pid="46" name="FSC#FAKTCFG@15.1700:AttachmentCount">
    <vt:lpwstr>0</vt:lpwstr>
  </property>
  <property fmtid="{D5CDD505-2E9C-101B-9397-08002B2CF9AE}" pid="47" name="FSC#FAKTCFG@15.1700:CreatedBy">
    <vt:lpwstr>Roabi Saman</vt:lpwstr>
  </property>
  <property fmtid="{D5CDD505-2E9C-101B-9397-08002B2CF9AE}" pid="48" name="FSC#FAKTCFG@15.1700:CreatedBySurname">
    <vt:lpwstr>Saman</vt:lpwstr>
  </property>
  <property fmtid="{D5CDD505-2E9C-101B-9397-08002B2CF9AE}" pid="49" name="FSC#FAKTCFG@15.1700:CreatedByMail">
    <vt:lpwstr>SamanR@rki.de</vt:lpwstr>
  </property>
  <property fmtid="{D5CDD505-2E9C-101B-9397-08002B2CF9AE}" pid="50" name="FSC#FAKTCFG@15.1700:CreatedByCCMail">
    <vt:lpwstr/>
  </property>
  <property fmtid="{D5CDD505-2E9C-101B-9397-08002B2CF9AE}" pid="51" name="FSC#FAKTCFG@15.1700:CreatedByPhone">
    <vt:lpwstr/>
  </property>
  <property fmtid="{D5CDD505-2E9C-101B-9397-08002B2CF9AE}" pid="52" name="FSC#FAKTCFG@15.1700:CreatedByFax">
    <vt:lpwstr/>
  </property>
  <property fmtid="{D5CDD505-2E9C-101B-9397-08002B2CF9AE}" pid="53" name="FSC#FAKTCFG@15.1700:CreatedAt">
    <vt:lpwstr>06.05.2019</vt:lpwstr>
  </property>
  <property fmtid="{D5CDD505-2E9C-101B-9397-08002B2CF9AE}" pid="54" name="FSC#FAKTCFG@15.1700:CreatedAtDE">
    <vt:lpwstr>06. Mai 2019</vt:lpwstr>
  </property>
  <property fmtid="{D5CDD505-2E9C-101B-9397-08002B2CF9AE}" pid="55" name="FSC#FAKTCFG@15.1700:CreatedAtEN">
    <vt:lpwstr>06. May 2019</vt:lpwstr>
  </property>
  <property fmtid="{D5CDD505-2E9C-101B-9397-08002B2CF9AE}" pid="56" name="FSC#FAKTCFG@15.1700:FirstFinalSignProcedure">
    <vt:lpwstr/>
  </property>
  <property fmtid="{D5CDD505-2E9C-101B-9397-08002B2CF9AE}" pid="57" name="FSC#FAKTCFG@15.1700:FirstFinalSignProcedureDate">
    <vt:lpwstr/>
  </property>
  <property fmtid="{D5CDD505-2E9C-101B-9397-08002B2CF9AE}" pid="58" name="FSC#FAKTCFG@15.1700:ProcedureType">
    <vt:lpwstr>Standard</vt:lpwstr>
  </property>
  <property fmtid="{D5CDD505-2E9C-101B-9397-08002B2CF9AE}" pid="59" name="FSC#FAKTCFG@15.1700:ProcedureGroup">
    <vt:lpwstr>ZV</vt:lpwstr>
  </property>
  <property fmtid="{D5CDD505-2E9C-101B-9397-08002B2CF9AE}" pid="60" name="FSC#FAKTCFG@15.1700:ProcedureAppointmentInternal">
    <vt:lpwstr/>
  </property>
  <property fmtid="{D5CDD505-2E9C-101B-9397-08002B2CF9AE}" pid="61" name="FSC#FAKTCFG@15.1700:ProcedureAppointmentExternal">
    <vt:lpwstr/>
  </property>
  <property fmtid="{D5CDD505-2E9C-101B-9397-08002B2CF9AE}" pid="62" name="FSC#FAKTCFG@15.1700:DocumentName">
    <vt:lpwstr>2.07.01/0025#0033-0002 Leistungsbeschreibung</vt:lpwstr>
  </property>
  <property fmtid="{D5CDD505-2E9C-101B-9397-08002B2CF9AE}" pid="63" name="FSC#FAKTCFG@15.1700:DocumentFileReference">
    <vt:lpwstr>2.07.01/0025#0033-0002</vt:lpwstr>
  </property>
  <property fmtid="{D5CDD505-2E9C-101B-9397-08002B2CF9AE}" pid="64" name="FSC#FAKTCFG@15.1700:DocumentShortDescription">
    <vt:lpwstr>Leistungsbeschreibung</vt:lpwstr>
  </property>
  <property fmtid="{D5CDD505-2E9C-101B-9397-08002B2CF9AE}" pid="65" name="FSC#FAKTCFG@15.1700:ProcedureName">
    <vt:lpwstr>2.07.01/0025#0033 Beschaffung Microsoft SQL-Server Dienstleistungen 2019</vt:lpwstr>
  </property>
  <property fmtid="{D5CDD505-2E9C-101B-9397-08002B2CF9AE}" pid="66" name="FSC#FAKTCFG@15.1700:ProcedureFileReference">
    <vt:lpwstr>2.07.01/0025#0033</vt:lpwstr>
  </property>
  <property fmtid="{D5CDD505-2E9C-101B-9397-08002B2CF9AE}" pid="67" name="FSC#FAKTCFG@15.1700:ProcedureShortDescription">
    <vt:lpwstr>Beschaffung Microsoft SQL-Server Dienstleistungen 2019</vt:lpwstr>
  </property>
  <property fmtid="{D5CDD505-2E9C-101B-9397-08002B2CF9AE}" pid="68" name="FSC#FAKTCFG@15.1700:SubjectAreaFileName">
    <vt:lpwstr>2.07.01/0025 Diverse IKT DL - 2013 ff.</vt:lpwstr>
  </property>
  <property fmtid="{D5CDD505-2E9C-101B-9397-08002B2CF9AE}" pid="69" name="FSC#FAKTCFG@15.1700:SubjectAreaFileFileReference">
    <vt:lpwstr>2.07.01/0025</vt:lpwstr>
  </property>
  <property fmtid="{D5CDD505-2E9C-101B-9397-08002B2CF9AE}" pid="70" name="FSC#FAKTCFG@15.1700:SubjectAreaFileShortDescription">
    <vt:lpwstr>Diverse IKT DL - 2013 ff.</vt:lpwstr>
  </property>
  <property fmtid="{D5CDD505-2E9C-101B-9397-08002B2CF9AE}" pid="71" name="FSC#FAKTCFG@15.1700:OEHead">
    <vt:lpwstr>Dr. Michael Goltz</vt:lpwstr>
  </property>
  <property fmtid="{D5CDD505-2E9C-101B-9397-08002B2CF9AE}" pid="72" name="FSC#FAKTCFG@15.1700:OEHeadPhone">
    <vt:lpwstr/>
  </property>
  <property fmtid="{D5CDD505-2E9C-101B-9397-08002B2CF9AE}" pid="73" name="FSC#FAKTCFG@15.1700:OEShortName">
    <vt:lpwstr>ZV4</vt:lpwstr>
  </property>
  <property fmtid="{D5CDD505-2E9C-101B-9397-08002B2CF9AE}" pid="74" name="FSC#FAKTCFG@15.1700:OwnerSurname">
    <vt:lpwstr>Saman</vt:lpwstr>
  </property>
  <property fmtid="{D5CDD505-2E9C-101B-9397-08002B2CF9AE}" pid="75" name="FSC#FAKTCFG@15.1700:OwnerMail">
    <vt:lpwstr>SamanR@rki.de</vt:lpwstr>
  </property>
  <property fmtid="{D5CDD505-2E9C-101B-9397-08002B2CF9AE}" pid="76" name="FSC#FAKTCFG@15.1700:OwnerPhone">
    <vt:lpwstr/>
  </property>
  <property fmtid="{D5CDD505-2E9C-101B-9397-08002B2CF9AE}" pid="77" name="FSC#FAKTCFG@15.1700:OwnerFax">
    <vt:lpwstr/>
  </property>
  <property fmtid="{D5CDD505-2E9C-101B-9397-08002B2CF9AE}" pid="78" name="FSC#FAKTCFG@15.1700:HandoutList">
    <vt:lpwstr/>
  </property>
  <property fmtid="{D5CDD505-2E9C-101B-9397-08002B2CF9AE}" pid="79" name="FSC#FAKTCFG@15.1700:ProcResponsibleName">
    <vt:lpwstr>Roabi Saman</vt:lpwstr>
  </property>
  <property fmtid="{D5CDD505-2E9C-101B-9397-08002B2CF9AE}" pid="80" name="FSC#FAKTCFG@15.1700:ProcResponsiblePhone">
    <vt:lpwstr/>
  </property>
  <property fmtid="{D5CDD505-2E9C-101B-9397-08002B2CF9AE}" pid="81" name="FSC#FAKTCFG@15.1700:ProcResponsibleFax">
    <vt:lpwstr/>
  </property>
  <property fmtid="{D5CDD505-2E9C-101B-9397-08002B2CF9AE}" pid="82" name="FSC#FAKTCFG@15.1700:ProcResponsibleMail">
    <vt:lpwstr/>
  </property>
  <property fmtid="{D5CDD505-2E9C-101B-9397-08002B2CF9AE}" pid="83" name="FSC#FAKTCFG@15.1700:ProcResponsibleGroup">
    <vt:lpwstr>ZV4</vt:lpwstr>
  </property>
  <property fmtid="{D5CDD505-2E9C-101B-9397-08002B2CF9AE}" pid="84" name="FSC#FAKTCFG@15.1700:ProcTypeOfAllocation">
    <vt:lpwstr/>
  </property>
  <property fmtid="{D5CDD505-2E9C-101B-9397-08002B2CF9AE}" pid="85" name="FSC#FAKTCFG@15.1700:ProcDeadlineParticipation">
    <vt:lpwstr/>
  </property>
  <property fmtid="{D5CDD505-2E9C-101B-9397-08002B2CF9AE}" pid="86" name="FSC#FAKTCFG@15.1700:ProcDeadlineForOffer">
    <vt:lpwstr/>
  </property>
  <property fmtid="{D5CDD505-2E9C-101B-9397-08002B2CF9AE}" pid="87" name="FSC#FAKTCFG@15.1700:ProcAcceptanceDeadline">
    <vt:lpwstr/>
  </property>
  <property fmtid="{D5CDD505-2E9C-101B-9397-08002B2CF9AE}" pid="88" name="FSC#FAKTCFG@15.1700:ProcAcceptanceDate">
    <vt:lpwstr/>
  </property>
  <property fmtid="{D5CDD505-2E9C-101B-9397-08002B2CF9AE}" pid="89" name="FSC#FAKTCFG@15.1700:ProcContractValue">
    <vt:lpwstr/>
  </property>
  <property fmtid="{D5CDD505-2E9C-101B-9397-08002B2CF9AE}" pid="90" name="FSC#FAKTCFG@15.1700:ProcGiantEquipmentPosNr">
    <vt:lpwstr/>
  </property>
  <property fmtid="{D5CDD505-2E9C-101B-9397-08002B2CF9AE}" pid="91" name="FSC#FAKTCFG@15.1700:DocTypeOfContract">
    <vt:lpwstr/>
  </property>
  <property fmtid="{D5CDD505-2E9C-101B-9397-08002B2CF9AE}" pid="92" name="FSC#FAKTCFG@15.1700:DocContractStart">
    <vt:lpwstr/>
  </property>
  <property fmtid="{D5CDD505-2E9C-101B-9397-08002B2CF9AE}" pid="93" name="FSC#FAKTCFG@15.1700:DocContractEndExists">
    <vt:lpwstr>Ja</vt:lpwstr>
  </property>
  <property fmtid="{D5CDD505-2E9C-101B-9397-08002B2CF9AE}" pid="94" name="FSC#FAKTCFG@15.1700:DocContractEnd">
    <vt:lpwstr/>
  </property>
  <property fmtid="{D5CDD505-2E9C-101B-9397-08002B2CF9AE}" pid="95" name="FSC#FAKTCFG@15.1700:DocTerminationDateExists">
    <vt:lpwstr>Ja</vt:lpwstr>
  </property>
  <property fmtid="{D5CDD505-2E9C-101B-9397-08002B2CF9AE}" pid="96" name="FSC#FAKTCFG@15.1700:DocTerminationDate">
    <vt:lpwstr/>
  </property>
  <property fmtid="{D5CDD505-2E9C-101B-9397-08002B2CF9AE}" pid="97" name="FSC#FAKTCFG@15.1700:DocExtensionOption">
    <vt:lpwstr/>
  </property>
  <property fmtid="{D5CDD505-2E9C-101B-9397-08002B2CF9AE}" pid="98" name="FSC#FAKTCFG@15.1700:IncomingDate">
    <vt:lpwstr>27.06.2019</vt:lpwstr>
  </property>
  <property fmtid="{D5CDD505-2E9C-101B-9397-08002B2CF9AE}" pid="99" name="FSC#FAKTCFG@15.1700:1stAddrOrgname">
    <vt:lpwstr/>
  </property>
  <property fmtid="{D5CDD505-2E9C-101B-9397-08002B2CF9AE}" pid="100" name="FSC#FAKTCFG@15.1700:1stAddrOrgnameShort">
    <vt:lpwstr/>
  </property>
  <property fmtid="{D5CDD505-2E9C-101B-9397-08002B2CF9AE}" pid="101" name="FSC#FAKTCFG@15.1700:1stAddrOrgnameAlt">
    <vt:lpwstr/>
  </property>
  <property fmtid="{D5CDD505-2E9C-101B-9397-08002B2CF9AE}" pid="102" name="FSC#FAKTCFG@15.1700:1stAddrSubOrg">
    <vt:lpwstr/>
  </property>
  <property fmtid="{D5CDD505-2E9C-101B-9397-08002B2CF9AE}" pid="103" name="FSC#FAKTCFG@15.1700:1stAddrSubOrgShort">
    <vt:lpwstr/>
  </property>
  <property fmtid="{D5CDD505-2E9C-101B-9397-08002B2CF9AE}" pid="104" name="FSC#FAKTCFG@15.1700:1stAddrSalutation">
    <vt:lpwstr/>
  </property>
  <property fmtid="{D5CDD505-2E9C-101B-9397-08002B2CF9AE}" pid="105" name="FSC#FAKTCFG@15.1700:1stAddrTitle">
    <vt:lpwstr/>
  </property>
  <property fmtid="{D5CDD505-2E9C-101B-9397-08002B2CF9AE}" pid="106" name="FSC#FAKTCFG@15.1700:1stAddrFirstname">
    <vt:lpwstr/>
  </property>
  <property fmtid="{D5CDD505-2E9C-101B-9397-08002B2CF9AE}" pid="107" name="FSC#FAKTCFG@15.1700:1stAddrMiddlename">
    <vt:lpwstr/>
  </property>
  <property fmtid="{D5CDD505-2E9C-101B-9397-08002B2CF9AE}" pid="108" name="FSC#FAKTCFG@15.1700:1stAddrName">
    <vt:lpwstr/>
  </property>
  <property fmtid="{D5CDD505-2E9C-101B-9397-08002B2CF9AE}" pid="109" name="FSC#FAKTCFG@15.1700:1stAddrDivision">
    <vt:lpwstr/>
  </property>
  <property fmtid="{D5CDD505-2E9C-101B-9397-08002B2CF9AE}" pid="110" name="FSC#FAKTCFG@15.1700:1stAddrStreet">
    <vt:lpwstr/>
  </property>
  <property fmtid="{D5CDD505-2E9C-101B-9397-08002B2CF9AE}" pid="111" name="FSC#FAKTCFG@15.1700:1stAddrZIPCode">
    <vt:lpwstr/>
  </property>
  <property fmtid="{D5CDD505-2E9C-101B-9397-08002B2CF9AE}" pid="112" name="FSC#FAKTCFG@15.1700:1stAddrCity">
    <vt:lpwstr/>
  </property>
  <property fmtid="{D5CDD505-2E9C-101B-9397-08002B2CF9AE}" pid="113" name="FSC#FAKTCFG@15.1700:1stAddrState">
    <vt:lpwstr/>
  </property>
  <property fmtid="{D5CDD505-2E9C-101B-9397-08002B2CF9AE}" pid="114" name="FSC#FAKTCFG@15.1700:1stAddrCountry">
    <vt:lpwstr/>
  </property>
  <property fmtid="{D5CDD505-2E9C-101B-9397-08002B2CF9AE}" pid="115" name="FSC#FAKTCFG@15.1700:1stAddrCountryEnglish">
    <vt:lpwstr/>
  </property>
  <property fmtid="{D5CDD505-2E9C-101B-9397-08002B2CF9AE}" pid="116" name="FSC#FAKTCFG@15.1700:1stAddrEmail">
    <vt:lpwstr/>
  </property>
  <property fmtid="{D5CDD505-2E9C-101B-9397-08002B2CF9AE}" pid="117" name="FSC#FAKTCFG@15.1700:1stAddrTelephone">
    <vt:lpwstr/>
  </property>
  <property fmtid="{D5CDD505-2E9C-101B-9397-08002B2CF9AE}" pid="118" name="FSC#FAKTCFG@15.1700:1stAddrAddition">
    <vt:lpwstr/>
  </property>
  <property fmtid="{D5CDD505-2E9C-101B-9397-08002B2CF9AE}" pid="119" name="FSC#FAKTCFG@15.1700:1stAddrNote">
    <vt:lpwstr/>
  </property>
  <property fmtid="{D5CDD505-2E9C-101B-9397-08002B2CF9AE}" pid="120" name="FSC#FAKTCFG@15.1700:1stAddrContactLanguage">
    <vt:lpwstr/>
  </property>
  <property fmtid="{D5CDD505-2E9C-101B-9397-08002B2CF9AE}" pid="121" name="FSC#FAKTCFG@15.1700:1stAddrAccountGroup">
    <vt:lpwstr/>
  </property>
  <property fmtid="{D5CDD505-2E9C-101B-9397-08002B2CF9AE}" pid="122" name="FSC#FAKTCFG@15.1700:ForeignNrFirstIncoming">
    <vt:lpwstr/>
  </property>
  <property fmtid="{D5CDD505-2E9C-101B-9397-08002B2CF9AE}" pid="123" name="FSC#FAKTCFG@15.1700:AdmissionDataFileCertificateOwner">
    <vt:lpwstr/>
  </property>
  <property fmtid="{D5CDD505-2E9C-101B-9397-08002B2CF9AE}" pid="124" name="FSC#FAKTCFG@15.1700:AdmissionDataFileCertificationSubject">
    <vt:lpwstr/>
  </property>
  <property fmtid="{D5CDD505-2E9C-101B-9397-08002B2CF9AE}" pid="125" name="FSC#FAKTCFG@15.1700:AdmissionDataFileCertificationAddSubject">
    <vt:lpwstr/>
  </property>
  <property fmtid="{D5CDD505-2E9C-101B-9397-08002B2CF9AE}" pid="126" name="FSC#FAKTCFG@15.1700:AdmissionDataFileOrderType">
    <vt:lpwstr/>
  </property>
  <property fmtid="{D5CDD505-2E9C-101B-9397-08002B2CF9AE}" pid="127" name="FSC#FAKTCFG@15.1700:AdmissionDataFileCertificateValidTime">
    <vt:lpwstr/>
  </property>
  <property fmtid="{D5CDD505-2E9C-101B-9397-08002B2CF9AE}" pid="128" name="FSC#FAKTCFG@15.1700:AdmissionDataFileCertificateReference">
    <vt:lpwstr/>
  </property>
  <property fmtid="{D5CDD505-2E9C-101B-9397-08002B2CF9AE}" pid="129" name="FSC#FAKTCFG@15.1700:AdmissionDataFileSourceCertificate">
    <vt:lpwstr/>
  </property>
  <property fmtid="{D5CDD505-2E9C-101B-9397-08002B2CF9AE}" pid="130" name="FSC#FAKTCFG@15.1700:AdmissionDataFileCertificateGranted">
    <vt:lpwstr/>
  </property>
  <property fmtid="{D5CDD505-2E9C-101B-9397-08002B2CF9AE}" pid="131" name="FSC#FAKTCFG@15.1700:AdmissionDataFileCertifiedSince">
    <vt:lpwstr/>
  </property>
  <property fmtid="{D5CDD505-2E9C-101B-9397-08002B2CF9AE}" pid="132" name="FSC#FAKTCFG@15.1700:AdmissionDataFileCertifiedUntil">
    <vt:lpwstr/>
  </property>
  <property fmtid="{D5CDD505-2E9C-101B-9397-08002B2CF9AE}" pid="133" name="FSC#FAKTCFG@15.1700:AdmissionDataProcSAPNumber">
    <vt:lpwstr/>
  </property>
  <property fmtid="{D5CDD505-2E9C-101B-9397-08002B2CF9AE}" pid="134" name="FSC#FAKTCFG@15.1700:AdmissionDataProcInternalOrderNumber">
    <vt:lpwstr/>
  </property>
  <property fmtid="{D5CDD505-2E9C-101B-9397-08002B2CF9AE}" pid="135" name="FSC#FAKTCFG@15.1700:AdmissionDataProcOrderIncomingDate">
    <vt:lpwstr/>
  </property>
  <property fmtid="{D5CDD505-2E9C-101B-9397-08002B2CF9AE}" pid="136" name="FSC#FAKTCFG@15.1700:AdmissionDataProcEditableSince">
    <vt:lpwstr/>
  </property>
  <property fmtid="{D5CDD505-2E9C-101B-9397-08002B2CF9AE}" pid="137" name="FSC#FAKTCFG@15.1700:AdmissionDataProcEvaluator">
    <vt:lpwstr/>
  </property>
  <property fmtid="{D5CDD505-2E9C-101B-9397-08002B2CF9AE}" pid="138" name="FSC#FAKTCFG@15.1700:AdmissionDataProcEvaluationDate">
    <vt:lpwstr/>
  </property>
  <property fmtid="{D5CDD505-2E9C-101B-9397-08002B2CF9AE}" pid="139" name="FSC#FAKTCFG@15.1700:AdmissionDataProcAuditor">
    <vt:lpwstr/>
  </property>
  <property fmtid="{D5CDD505-2E9C-101B-9397-08002B2CF9AE}" pid="140" name="FSC#FAKTCFG@15.1700:AdmissionDataProcEvaluationResult">
    <vt:lpwstr/>
  </property>
  <property fmtid="{D5CDD505-2E9C-101B-9397-08002B2CF9AE}" pid="141" name="FSC#FAKTCFG@15.1700:AdmissionDataProcCertificator">
    <vt:lpwstr/>
  </property>
  <property fmtid="{D5CDD505-2E9C-101B-9397-08002B2CF9AE}" pid="142" name="FSC#FAKTCFG@15.1700:AdmissionDataProcCertificationDecisionDate">
    <vt:lpwstr/>
  </property>
  <property fmtid="{D5CDD505-2E9C-101B-9397-08002B2CF9AE}" pid="143" name="FSC#FAKTCFG@15.1700:AdmissionDataProcCertificationResult">
    <vt:lpwstr/>
  </property>
  <property fmtid="{D5CDD505-2E9C-101B-9397-08002B2CF9AE}" pid="144" name="FSC#FAKTCFG@15.1700:AdmissionDataProcRevisionNumber">
    <vt:lpwstr/>
  </property>
  <property fmtid="{D5CDD505-2E9C-101B-9397-08002B2CF9AE}" pid="145" name="FSC#FAKTCFG@15.1700:AdmissionDataProcCertificateIssuedAt">
    <vt:lpwstr/>
  </property>
  <property fmtid="{D5CDD505-2E9C-101B-9397-08002B2CF9AE}" pid="146" name="FSC#FAKTCFG@15.1700:AdmissionDataProcCertificateValidFrom">
    <vt:lpwstr/>
  </property>
  <property fmtid="{D5CDD505-2E9C-101B-9397-08002B2CF9AE}" pid="147" name="FSC#FAKTCFG@15.1700:AdmissionDataProcCertificateValidTo">
    <vt:lpwstr/>
  </property>
  <property fmtid="{D5CDD505-2E9C-101B-9397-08002B2CF9AE}" pid="148" name="FSC#FAKTCFG@15.1700:AdmissionDataProcOrderState">
    <vt:lpwstr/>
  </property>
  <property fmtid="{D5CDD505-2E9C-101B-9397-08002B2CF9AE}" pid="149" name="FSC#FAKTCFG@15.1700:AdmissionDataProcProcessingState">
    <vt:lpwstr/>
  </property>
  <property fmtid="{D5CDD505-2E9C-101B-9397-08002B2CF9AE}" pid="150" name="FSC#COOELAK@1.1001:Subject">
    <vt:lpwstr>Diverse IKT DL-Verträge 2013 ff.</vt:lpwstr>
  </property>
  <property fmtid="{D5CDD505-2E9C-101B-9397-08002B2CF9AE}" pid="151" name="FSC#COOELAK@1.1001:FileReference">
    <vt:lpwstr>2.07.01/0025</vt:lpwstr>
  </property>
  <property fmtid="{D5CDD505-2E9C-101B-9397-08002B2CF9AE}" pid="152" name="FSC#COOELAK@1.1001:FileRefYear">
    <vt:lpwstr>2013</vt:lpwstr>
  </property>
  <property fmtid="{D5CDD505-2E9C-101B-9397-08002B2CF9AE}" pid="153" name="FSC#COOELAK@1.1001:FileRefOrdinal">
    <vt:lpwstr>25</vt:lpwstr>
  </property>
  <property fmtid="{D5CDD505-2E9C-101B-9397-08002B2CF9AE}" pid="154" name="FSC#COOELAK@1.1001:FileRefOU">
    <vt:lpwstr>ZReg</vt:lpwstr>
  </property>
  <property fmtid="{D5CDD505-2E9C-101B-9397-08002B2CF9AE}" pid="155" name="FSC#COOELAK@1.1001:Organization">
    <vt:lpwstr/>
  </property>
  <property fmtid="{D5CDD505-2E9C-101B-9397-08002B2CF9AE}" pid="156" name="FSC#COOELAK@1.1001:Owner">
    <vt:lpwstr>Saman, Roabi</vt:lpwstr>
  </property>
  <property fmtid="{D5CDD505-2E9C-101B-9397-08002B2CF9AE}" pid="157" name="FSC#COOELAK@1.1001:OwnerExtension">
    <vt:lpwstr>3566</vt:lpwstr>
  </property>
  <property fmtid="{D5CDD505-2E9C-101B-9397-08002B2CF9AE}" pid="158" name="FSC#COOELAK@1.1001:OwnerFaxExtension">
    <vt:lpwstr/>
  </property>
  <property fmtid="{D5CDD505-2E9C-101B-9397-08002B2CF9AE}" pid="159" name="FSC#COOELAK@1.1001:DispatchedBy">
    <vt:lpwstr/>
  </property>
  <property fmtid="{D5CDD505-2E9C-101B-9397-08002B2CF9AE}" pid="160" name="FSC#COOELAK@1.1001:DispatchedAt">
    <vt:lpwstr/>
  </property>
  <property fmtid="{D5CDD505-2E9C-101B-9397-08002B2CF9AE}" pid="161" name="FSC#COOELAK@1.1001:ApprovedBy">
    <vt:lpwstr/>
  </property>
  <property fmtid="{D5CDD505-2E9C-101B-9397-08002B2CF9AE}" pid="162" name="FSC#COOELAK@1.1001:ApprovedAt">
    <vt:lpwstr/>
  </property>
  <property fmtid="{D5CDD505-2E9C-101B-9397-08002B2CF9AE}" pid="163" name="FSC#COOELAK@1.1001:Department">
    <vt:lpwstr>ZV4 (Referat ZV4 - Informationstechnik)</vt:lpwstr>
  </property>
  <property fmtid="{D5CDD505-2E9C-101B-9397-08002B2CF9AE}" pid="164" name="FSC#COOELAK@1.1001:CreatedAt">
    <vt:lpwstr>06.05.2019</vt:lpwstr>
  </property>
  <property fmtid="{D5CDD505-2E9C-101B-9397-08002B2CF9AE}" pid="165" name="FSC#COOELAK@1.1001:OU">
    <vt:lpwstr>ZV4 (Referat ZV4 - Informationstechnik)</vt:lpwstr>
  </property>
  <property fmtid="{D5CDD505-2E9C-101B-9397-08002B2CF9AE}" pid="166" name="FSC#COOELAK@1.1001:Priority">
    <vt:lpwstr> ()</vt:lpwstr>
  </property>
  <property fmtid="{D5CDD505-2E9C-101B-9397-08002B2CF9AE}" pid="167" name="FSC#COOELAK@1.1001:ObjBarCode">
    <vt:lpwstr>*COO.2219.100.4.248020*</vt:lpwstr>
  </property>
  <property fmtid="{D5CDD505-2E9C-101B-9397-08002B2CF9AE}" pid="168" name="FSC#COOELAK@1.1001:RefBarCode">
    <vt:lpwstr>*COO.2219.100.9.248019*</vt:lpwstr>
  </property>
  <property fmtid="{D5CDD505-2E9C-101B-9397-08002B2CF9AE}" pid="169" name="FSC#COOELAK@1.1001:FileRefBarCode">
    <vt:lpwstr>*2.07.01/0025*</vt:lpwstr>
  </property>
  <property fmtid="{D5CDD505-2E9C-101B-9397-08002B2CF9AE}" pid="170" name="FSC#COOELAK@1.1001:ExternalRef">
    <vt:lpwstr/>
  </property>
  <property fmtid="{D5CDD505-2E9C-101B-9397-08002B2CF9AE}" pid="171" name="FSC#COOELAK@1.1001:IncomingNumber">
    <vt:lpwstr/>
  </property>
  <property fmtid="{D5CDD505-2E9C-101B-9397-08002B2CF9AE}" pid="172" name="FSC#COOELAK@1.1001:IncomingSubject">
    <vt:lpwstr/>
  </property>
  <property fmtid="{D5CDD505-2E9C-101B-9397-08002B2CF9AE}" pid="173" name="FSC#COOELAK@1.1001:ProcessResponsible">
    <vt:lpwstr/>
  </property>
  <property fmtid="{D5CDD505-2E9C-101B-9397-08002B2CF9AE}" pid="174" name="FSC#COOELAK@1.1001:ProcessResponsiblePhone">
    <vt:lpwstr/>
  </property>
  <property fmtid="{D5CDD505-2E9C-101B-9397-08002B2CF9AE}" pid="175" name="FSC#COOELAK@1.1001:ProcessResponsibleMail">
    <vt:lpwstr/>
  </property>
  <property fmtid="{D5CDD505-2E9C-101B-9397-08002B2CF9AE}" pid="176" name="FSC#COOELAK@1.1001:ProcessResponsibleFax">
    <vt:lpwstr/>
  </property>
  <property fmtid="{D5CDD505-2E9C-101B-9397-08002B2CF9AE}" pid="177" name="FSC#COOELAK@1.1001:ApproverFirstName">
    <vt:lpwstr/>
  </property>
  <property fmtid="{D5CDD505-2E9C-101B-9397-08002B2CF9AE}" pid="178" name="FSC#COOELAK@1.1001:ApproverSurName">
    <vt:lpwstr/>
  </property>
  <property fmtid="{D5CDD505-2E9C-101B-9397-08002B2CF9AE}" pid="179" name="FSC#COOELAK@1.1001:ApproverTitle">
    <vt:lpwstr/>
  </property>
  <property fmtid="{D5CDD505-2E9C-101B-9397-08002B2CF9AE}" pid="180" name="FSC#COOELAK@1.1001:ExternalDate">
    <vt:lpwstr/>
  </property>
  <property fmtid="{D5CDD505-2E9C-101B-9397-08002B2CF9AE}" pid="181" name="FSC#COOELAK@1.1001:SettlementApprovedAt">
    <vt:lpwstr/>
  </property>
  <property fmtid="{D5CDD505-2E9C-101B-9397-08002B2CF9AE}" pid="182" name="FSC#COOELAK@1.1001:BaseNumber">
    <vt:lpwstr>2.07.01</vt:lpwstr>
  </property>
  <property fmtid="{D5CDD505-2E9C-101B-9397-08002B2CF9AE}" pid="183" name="FSC#COOELAK@1.1001:CurrentUserRolePos">
    <vt:lpwstr>Bearbeiter/in</vt:lpwstr>
  </property>
  <property fmtid="{D5CDD505-2E9C-101B-9397-08002B2CF9AE}" pid="184" name="FSC#COOELAK@1.1001:CurrentUserEmail">
    <vt:lpwstr>SchwarkM@rki.de</vt:lpwstr>
  </property>
  <property fmtid="{D5CDD505-2E9C-101B-9397-08002B2CF9AE}" pid="185" name="FSC#ELAKGOV@1.1001:PersonalSubjGender">
    <vt:lpwstr/>
  </property>
  <property fmtid="{D5CDD505-2E9C-101B-9397-08002B2CF9AE}" pid="186" name="FSC#ELAKGOV@1.1001:PersonalSubjFirstName">
    <vt:lpwstr/>
  </property>
  <property fmtid="{D5CDD505-2E9C-101B-9397-08002B2CF9AE}" pid="187" name="FSC#ELAKGOV@1.1001:PersonalSubjSurName">
    <vt:lpwstr/>
  </property>
  <property fmtid="{D5CDD505-2E9C-101B-9397-08002B2CF9AE}" pid="188" name="FSC#ELAKGOV@1.1001:PersonalSubjSalutation">
    <vt:lpwstr/>
  </property>
  <property fmtid="{D5CDD505-2E9C-101B-9397-08002B2CF9AE}" pid="189" name="FSC#ELAKGOV@1.1001:PersonalSubjAddress">
    <vt:lpwstr/>
  </property>
  <property fmtid="{D5CDD505-2E9C-101B-9397-08002B2CF9AE}" pid="190" name="FSC#ATSTATECFG@1.1001:Office">
    <vt:lpwstr>Referat ZV4 - Informationstechnik</vt:lpwstr>
  </property>
  <property fmtid="{D5CDD505-2E9C-101B-9397-08002B2CF9AE}" pid="191" name="FSC#ATSTATECFG@1.1001:Agent">
    <vt:lpwstr/>
  </property>
  <property fmtid="{D5CDD505-2E9C-101B-9397-08002B2CF9AE}" pid="192" name="FSC#ATSTATECFG@1.1001:AgentPhone">
    <vt:lpwstr/>
  </property>
  <property fmtid="{D5CDD505-2E9C-101B-9397-08002B2CF9AE}" pid="193" name="FSC#ATSTATECFG@1.1001:DepartmentFax">
    <vt:lpwstr/>
  </property>
  <property fmtid="{D5CDD505-2E9C-101B-9397-08002B2CF9AE}" pid="194" name="FSC#ATSTATECFG@1.1001:DepartmentEmail">
    <vt:lpwstr/>
  </property>
  <property fmtid="{D5CDD505-2E9C-101B-9397-08002B2CF9AE}" pid="195" name="FSC#ATSTATECFG@1.1001:SubfileDate">
    <vt:lpwstr>06.05.2019</vt:lpwstr>
  </property>
  <property fmtid="{D5CDD505-2E9C-101B-9397-08002B2CF9AE}" pid="196" name="FSC#ATSTATECFG@1.1001:SubfileSubject">
    <vt:lpwstr>Leistungsbeschreibung</vt:lpwstr>
  </property>
  <property fmtid="{D5CDD505-2E9C-101B-9397-08002B2CF9AE}" pid="197" name="FSC#ATSTATECFG@1.1001:DepartmentZipCode">
    <vt:lpwstr/>
  </property>
  <property fmtid="{D5CDD505-2E9C-101B-9397-08002B2CF9AE}" pid="198" name="FSC#ATSTATECFG@1.1001:DepartmentCountry">
    <vt:lpwstr/>
  </property>
  <property fmtid="{D5CDD505-2E9C-101B-9397-08002B2CF9AE}" pid="199" name="FSC#ATSTATECFG@1.1001:DepartmentCity">
    <vt:lpwstr/>
  </property>
  <property fmtid="{D5CDD505-2E9C-101B-9397-08002B2CF9AE}" pid="200" name="FSC#ATSTATECFG@1.1001:DepartmentStreet">
    <vt:lpwstr/>
  </property>
  <property fmtid="{D5CDD505-2E9C-101B-9397-08002B2CF9AE}" pid="201" name="FSC#ATSTATECFG@1.1001:DepartmentDVR">
    <vt:lpwstr/>
  </property>
  <property fmtid="{D5CDD505-2E9C-101B-9397-08002B2CF9AE}" pid="202" name="FSC#ATSTATECFG@1.1001:DepartmentUID">
    <vt:lpwstr/>
  </property>
  <property fmtid="{D5CDD505-2E9C-101B-9397-08002B2CF9AE}" pid="203" name="FSC#ATSTATECFG@1.1001:SubfileReference">
    <vt:lpwstr>2.07.01/0025#0033-0002</vt:lpwstr>
  </property>
  <property fmtid="{D5CDD505-2E9C-101B-9397-08002B2CF9AE}" pid="204" name="FSC#ATSTATECFG@1.1001:Clause">
    <vt:lpwstr/>
  </property>
  <property fmtid="{D5CDD505-2E9C-101B-9397-08002B2CF9AE}" pid="205" name="FSC#ATSTATECFG@1.1001:ApprovedSignature">
    <vt:lpwstr/>
  </property>
  <property fmtid="{D5CDD505-2E9C-101B-9397-08002B2CF9AE}" pid="206" name="FSC#ATSTATECFG@1.1001:BankAccount">
    <vt:lpwstr/>
  </property>
  <property fmtid="{D5CDD505-2E9C-101B-9397-08002B2CF9AE}" pid="207" name="FSC#ATSTATECFG@1.1001:BankAccountOwner">
    <vt:lpwstr/>
  </property>
  <property fmtid="{D5CDD505-2E9C-101B-9397-08002B2CF9AE}" pid="208" name="FSC#ATSTATECFG@1.1001:BankInstitute">
    <vt:lpwstr/>
  </property>
  <property fmtid="{D5CDD505-2E9C-101B-9397-08002B2CF9AE}" pid="209" name="FSC#ATSTATECFG@1.1001:BankAccountID">
    <vt:lpwstr/>
  </property>
  <property fmtid="{D5CDD505-2E9C-101B-9397-08002B2CF9AE}" pid="210" name="FSC#ATSTATECFG@1.1001:BankAccountIBAN">
    <vt:lpwstr/>
  </property>
  <property fmtid="{D5CDD505-2E9C-101B-9397-08002B2CF9AE}" pid="211" name="FSC#ATSTATECFG@1.1001:BankAccountBIC">
    <vt:lpwstr/>
  </property>
  <property fmtid="{D5CDD505-2E9C-101B-9397-08002B2CF9AE}" pid="212" name="FSC#ATSTATECFG@1.1001:BankName">
    <vt:lpwstr/>
  </property>
  <property fmtid="{D5CDD505-2E9C-101B-9397-08002B2CF9AE}" pid="213" name="FSC#COOELAK@1.1001:ObjectAddressees">
    <vt:lpwstr/>
  </property>
  <property fmtid="{D5CDD505-2E9C-101B-9397-08002B2CF9AE}" pid="214" name="FSC#COOELAK@1.1001:replyreference">
    <vt:lpwstr/>
  </property>
  <property fmtid="{D5CDD505-2E9C-101B-9397-08002B2CF9AE}" pid="215" name="FSC#FSCGOVDE@1.1001:FileRefOUEmail">
    <vt:lpwstr/>
  </property>
  <property fmtid="{D5CDD505-2E9C-101B-9397-08002B2CF9AE}" pid="216" name="FSC#FSCGOVDE@1.1001:ProcedureReference">
    <vt:lpwstr>2.07.01/0025#0033</vt:lpwstr>
  </property>
  <property fmtid="{D5CDD505-2E9C-101B-9397-08002B2CF9AE}" pid="217" name="FSC#FSCGOVDE@1.1001:FileSubject">
    <vt:lpwstr>Diverse IKT DL-Verträge 2013 ff.</vt:lpwstr>
  </property>
  <property fmtid="{D5CDD505-2E9C-101B-9397-08002B2CF9AE}" pid="218" name="FSC#FSCGOVDE@1.1001:ProcedureSubject">
    <vt:lpwstr>Beschaffung Microsoft SQL-Server Dienstleistungen 2019</vt:lpwstr>
  </property>
  <property fmtid="{D5CDD505-2E9C-101B-9397-08002B2CF9AE}" pid="219" name="FSC#FSCGOVDE@1.1001:SignFinalVersionBy">
    <vt:lpwstr/>
  </property>
  <property fmtid="{D5CDD505-2E9C-101B-9397-08002B2CF9AE}" pid="220" name="FSC#FSCGOVDE@1.1001:SignFinalVersionAt">
    <vt:lpwstr/>
  </property>
  <property fmtid="{D5CDD505-2E9C-101B-9397-08002B2CF9AE}" pid="221" name="FSC#FSCGOVDE@1.1001:ProcedureRefBarCode">
    <vt:lpwstr>2.07.01/0025#0033</vt:lpwstr>
  </property>
  <property fmtid="{D5CDD505-2E9C-101B-9397-08002B2CF9AE}" pid="222" name="FSC#FSCGOVDE@1.1001:FileAddSubj">
    <vt:lpwstr/>
  </property>
  <property fmtid="{D5CDD505-2E9C-101B-9397-08002B2CF9AE}" pid="223" name="FSC#FSCGOVDE@1.1001:DocumentSubj">
    <vt:lpwstr>Leistungsbeschreibung</vt:lpwstr>
  </property>
  <property fmtid="{D5CDD505-2E9C-101B-9397-08002B2CF9AE}" pid="224" name="FSC#FSCGOVDE@1.1001:FileRel">
    <vt:lpwstr/>
  </property>
  <property fmtid="{D5CDD505-2E9C-101B-9397-08002B2CF9AE}" pid="225" name="FSC#DEPRECONFIG@15.1001:DocumentTitle">
    <vt:lpwstr>2019_0503_Leistbeschreib_SQL-Server_v2</vt:lpwstr>
  </property>
  <property fmtid="{D5CDD505-2E9C-101B-9397-08002B2CF9AE}" pid="226" name="FSC#DEPRECONFIG@15.1001:ProcedureTitle">
    <vt:lpwstr/>
  </property>
  <property fmtid="{D5CDD505-2E9C-101B-9397-08002B2CF9AE}" pid="227" name="FSC#DEPRECONFIG@15.1001:AuthorTitle">
    <vt:lpwstr/>
  </property>
  <property fmtid="{D5CDD505-2E9C-101B-9397-08002B2CF9AE}" pid="228" name="FSC#DEPRECONFIG@15.1001:AuthorSalution">
    <vt:lpwstr/>
  </property>
  <property fmtid="{D5CDD505-2E9C-101B-9397-08002B2CF9AE}" pid="229" name="FSC#DEPRECONFIG@15.1001:AuthorName">
    <vt:lpwstr>Roabi Saman</vt:lpwstr>
  </property>
  <property fmtid="{D5CDD505-2E9C-101B-9397-08002B2CF9AE}" pid="230" name="FSC#DEPRECONFIG@15.1001:AuthorMail">
    <vt:lpwstr>SamanR@rki.de</vt:lpwstr>
  </property>
  <property fmtid="{D5CDD505-2E9C-101B-9397-08002B2CF9AE}" pid="231" name="FSC#DEPRECONFIG@15.1001:AuthorTelephone">
    <vt:lpwstr>3566</vt:lpwstr>
  </property>
  <property fmtid="{D5CDD505-2E9C-101B-9397-08002B2CF9AE}" pid="232" name="FSC#DEPRECONFIG@15.1001:AuthorFax">
    <vt:lpwstr/>
  </property>
  <property fmtid="{D5CDD505-2E9C-101B-9397-08002B2CF9AE}" pid="233" name="FSC#DEPRECONFIG@15.1001:AuthorOE">
    <vt:lpwstr>ZV4 (Referat ZV4 - Informationstechnik)</vt:lpwstr>
  </property>
  <property fmtid="{D5CDD505-2E9C-101B-9397-08002B2CF9AE}" pid="234" name="FSC#COOSYSTEM@1.1:Container">
    <vt:lpwstr>COO.2219.100.4.248020</vt:lpwstr>
  </property>
  <property fmtid="{D5CDD505-2E9C-101B-9397-08002B2CF9AE}" pid="235" name="FSC#FSCFOLIO@1.1001:docpropproject">
    <vt:lpwstr/>
  </property>
  <property fmtid="{D5CDD505-2E9C-101B-9397-08002B2CF9AE}" pid="236" name="ContentTypeId">
    <vt:lpwstr>0x0101006A2733CFFA280441A43EA35051D77E86</vt:lpwstr>
  </property>
</Properties>
</file>